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pladet/Desktop/RSM BAM/Courses/Spring Semester/Thesis/Master Thesis/Data/"/>
    </mc:Choice>
  </mc:AlternateContent>
  <xr:revisionPtr revIDLastSave="0" documentId="13_ncr:1_{EB622DBB-70C7-0946-9AE8-9E7E7CC52427}" xr6:coauthVersionLast="47" xr6:coauthVersionMax="47" xr10:uidLastSave="{00000000-0000-0000-0000-000000000000}"/>
  <bookViews>
    <workbookView xWindow="0" yWindow="500" windowWidth="51200" windowHeight="28300" xr2:uid="{608BF703-88FC-0E44-B6C7-B881F4665629}"/>
  </bookViews>
  <sheets>
    <sheet name="Aircraft Economics (FC)" sheetId="2" r:id="rId1"/>
    <sheet name="Adjusted List Prices" sheetId="6" r:id="rId2"/>
    <sheet name="Lease Rates" sheetId="1" r:id="rId3"/>
    <sheet name="Insurance Rates" sheetId="8" r:id="rId4"/>
    <sheet name="Maintenance Costs" sheetId="4" r:id="rId5"/>
    <sheet name="Rates &amp; Costs (T-Intervals)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4" i="2" l="1"/>
  <c r="E3" i="2" a="1"/>
  <c r="E3" i="2" s="1"/>
  <c r="E4" i="2" a="1"/>
  <c r="E4" i="2" s="1"/>
  <c r="E5" i="2" a="1"/>
  <c r="E5" i="2" s="1"/>
  <c r="E6" i="2" a="1"/>
  <c r="E6" i="2" s="1"/>
  <c r="E7" i="2" a="1"/>
  <c r="E7" i="2" s="1"/>
  <c r="E8" i="2" a="1"/>
  <c r="E8" i="2" s="1"/>
  <c r="E9" i="2" a="1"/>
  <c r="E9" i="2" s="1"/>
  <c r="E10" i="2" a="1"/>
  <c r="E10" i="2" s="1"/>
  <c r="E11" i="2" a="1"/>
  <c r="E11" i="2" s="1"/>
  <c r="E12" i="2" a="1"/>
  <c r="E12" i="2" s="1"/>
  <c r="E13" i="2" a="1"/>
  <c r="E13" i="2" s="1"/>
  <c r="E14" i="2" a="1"/>
  <c r="E14" i="2" s="1"/>
  <c r="E15" i="2" a="1"/>
  <c r="E15" i="2" s="1"/>
  <c r="E16" i="2" a="1"/>
  <c r="E16" i="2" s="1"/>
  <c r="E17" i="2" a="1"/>
  <c r="E17" i="2" s="1"/>
  <c r="E18" i="2" a="1"/>
  <c r="E18" i="2" s="1"/>
  <c r="E19" i="2" a="1"/>
  <c r="E19" i="2" s="1"/>
  <c r="E20" i="2" a="1"/>
  <c r="E20" i="2" s="1"/>
  <c r="E21" i="2" a="1"/>
  <c r="E21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27" i="2" a="1"/>
  <c r="E27" i="2" s="1"/>
  <c r="E28" i="2" a="1"/>
  <c r="E28" i="2" s="1"/>
  <c r="E29" i="2" a="1"/>
  <c r="E29" i="2" s="1"/>
  <c r="E30" i="2" a="1"/>
  <c r="E30" i="2" s="1"/>
  <c r="E31" i="2" a="1"/>
  <c r="E31" i="2" s="1"/>
  <c r="E32" i="2" a="1"/>
  <c r="E32" i="2" s="1"/>
  <c r="E33" i="2" a="1"/>
  <c r="E33" i="2" s="1"/>
  <c r="E34" i="2" a="1"/>
  <c r="E34" i="2" s="1"/>
  <c r="E35" i="2" a="1"/>
  <c r="E35" i="2" s="1"/>
  <c r="E36" i="2" a="1"/>
  <c r="E36" i="2" s="1"/>
  <c r="E37" i="2" a="1"/>
  <c r="E37" i="2" s="1"/>
  <c r="E38" i="2" a="1"/>
  <c r="E38" i="2" s="1"/>
  <c r="E39" i="2" a="1"/>
  <c r="E39" i="2" s="1"/>
  <c r="E40" i="2" a="1"/>
  <c r="E40" i="2" s="1"/>
  <c r="E41" i="2" a="1"/>
  <c r="E41" i="2" s="1"/>
  <c r="E42" i="2" a="1"/>
  <c r="E42" i="2" s="1"/>
  <c r="E43" i="2" a="1"/>
  <c r="E43" i="2" s="1"/>
  <c r="E44" i="2" a="1"/>
  <c r="E44" i="2" s="1"/>
  <c r="E45" i="2" a="1"/>
  <c r="E45" i="2" s="1"/>
  <c r="E46" i="2" a="1"/>
  <c r="E46" i="2" s="1"/>
  <c r="E47" i="2" a="1"/>
  <c r="E47" i="2" s="1"/>
  <c r="E48" i="2" a="1"/>
  <c r="E48" i="2" s="1"/>
  <c r="E49" i="2" a="1"/>
  <c r="E49" i="2" s="1"/>
  <c r="E50" i="2" a="1"/>
  <c r="E50" i="2" s="1"/>
  <c r="E51" i="2" a="1"/>
  <c r="E51" i="2" s="1"/>
  <c r="E52" i="2" a="1"/>
  <c r="E52" i="2" s="1"/>
  <c r="E53" i="2" a="1"/>
  <c r="E53" i="2" s="1"/>
  <c r="E54" i="2" a="1"/>
  <c r="E54" i="2" s="1"/>
  <c r="E55" i="2" a="1"/>
  <c r="E55" i="2" s="1"/>
  <c r="E56" i="2" a="1"/>
  <c r="E56" i="2" s="1"/>
  <c r="E57" i="2" a="1"/>
  <c r="E57" i="2" s="1"/>
  <c r="E58" i="2" a="1"/>
  <c r="E58" i="2" s="1"/>
  <c r="E59" i="2" a="1"/>
  <c r="E59" i="2" s="1"/>
  <c r="E60" i="2" a="1"/>
  <c r="E60" i="2" s="1"/>
  <c r="E61" i="2" a="1"/>
  <c r="E61" i="2" s="1"/>
  <c r="E62" i="2" a="1"/>
  <c r="E62" i="2" s="1"/>
  <c r="E63" i="2" a="1"/>
  <c r="E63" i="2" s="1"/>
  <c r="E64" i="2" a="1"/>
  <c r="E64" i="2" s="1"/>
  <c r="E2" i="2" a="1"/>
  <c r="E2" i="2"/>
  <c r="C4" i="5"/>
  <c r="C5" i="5" s="1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" i="5"/>
  <c r="B3" i="5"/>
  <c r="B4" i="5" s="1"/>
  <c r="B5" i="5" s="1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D16" i="5" l="1"/>
  <c r="D17" i="5" s="1"/>
  <c r="D18" i="5" s="1"/>
  <c r="D19" i="5" s="1"/>
  <c r="D20" i="5" s="1"/>
  <c r="D21" i="5" s="1"/>
  <c r="D22" i="5" s="1"/>
  <c r="D23" i="5" s="1"/>
  <c r="D24" i="5" s="1"/>
  <c r="D25" i="5" s="1"/>
  <c r="D26" i="5" s="1"/>
  <c r="D27" i="5" s="1"/>
  <c r="D28" i="5" s="1"/>
  <c r="D29" i="5" s="1"/>
  <c r="D30" i="5" s="1"/>
  <c r="D31" i="5" s="1"/>
  <c r="D32" i="5" s="1"/>
  <c r="D15" i="5"/>
  <c r="D10" i="5"/>
  <c r="D11" i="5"/>
  <c r="D12" i="5"/>
  <c r="D13" i="5"/>
  <c r="D14" i="5" s="1"/>
  <c r="D9" i="5"/>
  <c r="D4" i="5"/>
  <c r="D5" i="5" s="1"/>
  <c r="D6" i="5" s="1"/>
  <c r="D7" i="5" s="1"/>
  <c r="D8" i="5" s="1"/>
  <c r="D3" i="5"/>
  <c r="E2" i="1"/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D32" i="4" s="1"/>
  <c r="G32" i="4" s="1"/>
  <c r="C33" i="4"/>
  <c r="D33" i="4" s="1"/>
  <c r="G33" i="4" s="1"/>
  <c r="C34" i="4"/>
  <c r="D34" i="4" s="1"/>
  <c r="G34" i="4" s="1"/>
  <c r="C35" i="4"/>
  <c r="C36" i="4"/>
  <c r="D36" i="4" s="1"/>
  <c r="G36" i="4" s="1"/>
  <c r="C37" i="4"/>
  <c r="D37" i="4" s="1"/>
  <c r="G37" i="4" s="1"/>
  <c r="C38" i="4"/>
  <c r="D38" i="4" s="1"/>
  <c r="G38" i="4" s="1"/>
  <c r="C39" i="4"/>
  <c r="C40" i="4"/>
  <c r="D40" i="4" s="1"/>
  <c r="G40" i="4" s="1"/>
  <c r="C41" i="4"/>
  <c r="D41" i="4" s="1"/>
  <c r="G41" i="4" s="1"/>
  <c r="C42" i="4"/>
  <c r="D42" i="4" s="1"/>
  <c r="G42" i="4" s="1"/>
  <c r="C43" i="4"/>
  <c r="C44" i="4"/>
  <c r="D44" i="4" s="1"/>
  <c r="G44" i="4" s="1"/>
  <c r="C45" i="4"/>
  <c r="D45" i="4" s="1"/>
  <c r="G45" i="4" s="1"/>
  <c r="C46" i="4"/>
  <c r="D46" i="4" s="1"/>
  <c r="G46" i="4" s="1"/>
  <c r="C47" i="4"/>
  <c r="C48" i="4"/>
  <c r="D48" i="4" s="1"/>
  <c r="G48" i="4" s="1"/>
  <c r="C49" i="4"/>
  <c r="D49" i="4" s="1"/>
  <c r="G49" i="4" s="1"/>
  <c r="C50" i="4"/>
  <c r="D50" i="4" s="1"/>
  <c r="G50" i="4" s="1"/>
  <c r="C51" i="4"/>
  <c r="C52" i="4"/>
  <c r="D52" i="4" s="1"/>
  <c r="G52" i="4" s="1"/>
  <c r="C53" i="4"/>
  <c r="D53" i="4" s="1"/>
  <c r="G53" i="4" s="1"/>
  <c r="C54" i="4"/>
  <c r="D54" i="4" s="1"/>
  <c r="G54" i="4" s="1"/>
  <c r="C55" i="4"/>
  <c r="C56" i="4"/>
  <c r="D56" i="4" s="1"/>
  <c r="G56" i="4" s="1"/>
  <c r="C57" i="4"/>
  <c r="D57" i="4" s="1"/>
  <c r="G57" i="4" s="1"/>
  <c r="C58" i="4"/>
  <c r="D58" i="4" s="1"/>
  <c r="G58" i="4" s="1"/>
  <c r="C59" i="4"/>
  <c r="C60" i="4"/>
  <c r="D60" i="4" s="1"/>
  <c r="G60" i="4" s="1"/>
  <c r="C61" i="4"/>
  <c r="D61" i="4" s="1"/>
  <c r="G61" i="4" s="1"/>
  <c r="C62" i="4"/>
  <c r="D62" i="4" s="1"/>
  <c r="G62" i="4" s="1"/>
  <c r="C63" i="4"/>
  <c r="C64" i="4"/>
  <c r="D64" i="4" s="1"/>
  <c r="G64" i="4" s="1"/>
  <c r="C2" i="4"/>
  <c r="C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D32" i="8" s="1"/>
  <c r="F32" i="8" s="1"/>
  <c r="C33" i="8"/>
  <c r="D33" i="8" s="1"/>
  <c r="F33" i="8" s="1"/>
  <c r="C34" i="8"/>
  <c r="D34" i="8" s="1"/>
  <c r="F34" i="8" s="1"/>
  <c r="C35" i="8"/>
  <c r="C36" i="8"/>
  <c r="D36" i="8" s="1"/>
  <c r="F36" i="8" s="1"/>
  <c r="C37" i="8"/>
  <c r="D37" i="8" s="1"/>
  <c r="F37" i="8" s="1"/>
  <c r="C38" i="8"/>
  <c r="D38" i="8" s="1"/>
  <c r="F38" i="8" s="1"/>
  <c r="C39" i="8"/>
  <c r="D39" i="8" s="1"/>
  <c r="F39" i="8" s="1"/>
  <c r="C40" i="8"/>
  <c r="D40" i="8" s="1"/>
  <c r="F40" i="8" s="1"/>
  <c r="C41" i="8"/>
  <c r="D41" i="8" s="1"/>
  <c r="F41" i="8" s="1"/>
  <c r="C42" i="8"/>
  <c r="D42" i="8" s="1"/>
  <c r="F42" i="8" s="1"/>
  <c r="C43" i="8"/>
  <c r="D43" i="8" s="1"/>
  <c r="F43" i="8" s="1"/>
  <c r="C44" i="8"/>
  <c r="D44" i="8" s="1"/>
  <c r="F44" i="8" s="1"/>
  <c r="C45" i="8"/>
  <c r="D45" i="8" s="1"/>
  <c r="F45" i="8" s="1"/>
  <c r="C46" i="8"/>
  <c r="D46" i="8" s="1"/>
  <c r="F46" i="8" s="1"/>
  <c r="C47" i="8"/>
  <c r="D47" i="8" s="1"/>
  <c r="F47" i="8" s="1"/>
  <c r="C48" i="8"/>
  <c r="D48" i="8" s="1"/>
  <c r="F48" i="8" s="1"/>
  <c r="C49" i="8"/>
  <c r="D49" i="8" s="1"/>
  <c r="F49" i="8" s="1"/>
  <c r="C50" i="8"/>
  <c r="D50" i="8" s="1"/>
  <c r="F50" i="8" s="1"/>
  <c r="C51" i="8"/>
  <c r="C52" i="8"/>
  <c r="D52" i="8" s="1"/>
  <c r="F52" i="8" s="1"/>
  <c r="C53" i="8"/>
  <c r="D53" i="8" s="1"/>
  <c r="F53" i="8" s="1"/>
  <c r="C54" i="8"/>
  <c r="D54" i="8" s="1"/>
  <c r="F54" i="8" s="1"/>
  <c r="C55" i="8"/>
  <c r="C56" i="8"/>
  <c r="D56" i="8" s="1"/>
  <c r="F56" i="8" s="1"/>
  <c r="C57" i="8"/>
  <c r="D57" i="8" s="1"/>
  <c r="F57" i="8" s="1"/>
  <c r="C58" i="8"/>
  <c r="D58" i="8" s="1"/>
  <c r="F58" i="8" s="1"/>
  <c r="C59" i="8"/>
  <c r="D59" i="8" s="1"/>
  <c r="F59" i="8" s="1"/>
  <c r="C60" i="8"/>
  <c r="D60" i="8" s="1"/>
  <c r="F60" i="8" s="1"/>
  <c r="C61" i="8"/>
  <c r="D61" i="8" s="1"/>
  <c r="F61" i="8" s="1"/>
  <c r="C62" i="8"/>
  <c r="D62" i="8" s="1"/>
  <c r="F62" i="8" s="1"/>
  <c r="C63" i="8"/>
  <c r="D63" i="8" s="1"/>
  <c r="F63" i="8" s="1"/>
  <c r="C64" i="8"/>
  <c r="D64" i="8" s="1"/>
  <c r="F64" i="8" s="1"/>
  <c r="C2" i="1"/>
  <c r="D2" i="1" s="1"/>
  <c r="F2" i="1" s="1"/>
  <c r="C3" i="1"/>
  <c r="D3" i="1" s="1"/>
  <c r="F3" i="1" s="1"/>
  <c r="C4" i="1"/>
  <c r="D4" i="1" s="1"/>
  <c r="F4" i="1" s="1"/>
  <c r="E4" i="1"/>
  <c r="C5" i="1"/>
  <c r="D5" i="1" s="1"/>
  <c r="F5" i="1" s="1"/>
  <c r="C6" i="1"/>
  <c r="D6" i="1" s="1"/>
  <c r="F6" i="1" s="1"/>
  <c r="E6" i="1"/>
  <c r="C7" i="1"/>
  <c r="D7" i="1" s="1"/>
  <c r="F7" i="1" s="1"/>
  <c r="C8" i="1"/>
  <c r="D8" i="1" s="1"/>
  <c r="F8" i="1" s="1"/>
  <c r="C9" i="1"/>
  <c r="D9" i="1" s="1"/>
  <c r="F9" i="1" s="1"/>
  <c r="C10" i="1"/>
  <c r="D10" i="1" s="1"/>
  <c r="F10" i="1" s="1"/>
  <c r="C11" i="1"/>
  <c r="D11" i="1" s="1"/>
  <c r="F11" i="1" s="1"/>
  <c r="C12" i="1"/>
  <c r="D12" i="1" s="1"/>
  <c r="F12" i="1" s="1"/>
  <c r="C13" i="1"/>
  <c r="D13" i="1" s="1"/>
  <c r="F13" i="1" s="1"/>
  <c r="C14" i="1"/>
  <c r="D14" i="1" s="1"/>
  <c r="F14" i="1" s="1"/>
  <c r="C15" i="1"/>
  <c r="D15" i="1" s="1"/>
  <c r="F15" i="1" s="1"/>
  <c r="C16" i="1"/>
  <c r="D16" i="1" s="1"/>
  <c r="F16" i="1" s="1"/>
  <c r="C17" i="1"/>
  <c r="D17" i="1" s="1"/>
  <c r="F17" i="1" s="1"/>
  <c r="C18" i="1"/>
  <c r="D18" i="1" s="1"/>
  <c r="F18" i="1" s="1"/>
  <c r="C19" i="1"/>
  <c r="D19" i="1" s="1"/>
  <c r="F19" i="1" s="1"/>
  <c r="C20" i="1"/>
  <c r="D20" i="1" s="1"/>
  <c r="F20" i="1" s="1"/>
  <c r="C21" i="1"/>
  <c r="D21" i="1" s="1"/>
  <c r="F21" i="1" s="1"/>
  <c r="C22" i="1"/>
  <c r="D22" i="1" s="1"/>
  <c r="F22" i="1" s="1"/>
  <c r="C23" i="1"/>
  <c r="D23" i="1" s="1"/>
  <c r="F23" i="1" s="1"/>
  <c r="C24" i="1"/>
  <c r="D24" i="1" s="1"/>
  <c r="F24" i="1" s="1"/>
  <c r="C25" i="1"/>
  <c r="D25" i="1" s="1"/>
  <c r="F25" i="1" s="1"/>
  <c r="C26" i="1"/>
  <c r="D26" i="1" s="1"/>
  <c r="F26" i="1" s="1"/>
  <c r="C27" i="1"/>
  <c r="D27" i="1" s="1"/>
  <c r="F27" i="1" s="1"/>
  <c r="C28" i="1"/>
  <c r="D28" i="1" s="1"/>
  <c r="F28" i="1" s="1"/>
  <c r="C29" i="1"/>
  <c r="D29" i="1" s="1"/>
  <c r="F29" i="1" s="1"/>
  <c r="C30" i="1"/>
  <c r="D30" i="1" s="1"/>
  <c r="F30" i="1" s="1"/>
  <c r="C31" i="1"/>
  <c r="D31" i="1" s="1"/>
  <c r="F31" i="1" s="1"/>
  <c r="C32" i="1"/>
  <c r="D32" i="1" s="1"/>
  <c r="F32" i="1" s="1"/>
  <c r="C33" i="1"/>
  <c r="D33" i="1" s="1"/>
  <c r="F33" i="1" s="1"/>
  <c r="C34" i="1"/>
  <c r="D34" i="1" s="1"/>
  <c r="F34" i="1" s="1"/>
  <c r="C35" i="1"/>
  <c r="D35" i="1" s="1"/>
  <c r="F35" i="1" s="1"/>
  <c r="C36" i="1"/>
  <c r="D36" i="1" s="1"/>
  <c r="F36" i="1" s="1"/>
  <c r="C37" i="1"/>
  <c r="D37" i="1" s="1"/>
  <c r="F37" i="1" s="1"/>
  <c r="C38" i="1"/>
  <c r="D38" i="1" s="1"/>
  <c r="F38" i="1" s="1"/>
  <c r="C39" i="1"/>
  <c r="D39" i="1" s="1"/>
  <c r="F39" i="1" s="1"/>
  <c r="C40" i="1"/>
  <c r="D40" i="1" s="1"/>
  <c r="F40" i="1" s="1"/>
  <c r="C41" i="1"/>
  <c r="D41" i="1" s="1"/>
  <c r="F41" i="1" s="1"/>
  <c r="C42" i="1"/>
  <c r="D42" i="1" s="1"/>
  <c r="F42" i="1" s="1"/>
  <c r="C43" i="1"/>
  <c r="D43" i="1" s="1"/>
  <c r="F43" i="1" s="1"/>
  <c r="C44" i="1"/>
  <c r="D44" i="1" s="1"/>
  <c r="F44" i="1" s="1"/>
  <c r="C45" i="1"/>
  <c r="D45" i="1" s="1"/>
  <c r="F45" i="1" s="1"/>
  <c r="C46" i="1"/>
  <c r="D46" i="1" s="1"/>
  <c r="F46" i="1" s="1"/>
  <c r="C47" i="1"/>
  <c r="D47" i="1" s="1"/>
  <c r="F47" i="1" s="1"/>
  <c r="C48" i="1"/>
  <c r="D48" i="1" s="1"/>
  <c r="F48" i="1" s="1"/>
  <c r="C49" i="1"/>
  <c r="D49" i="1" s="1"/>
  <c r="F49" i="1" s="1"/>
  <c r="C50" i="1"/>
  <c r="D50" i="1" s="1"/>
  <c r="F50" i="1" s="1"/>
  <c r="C51" i="1"/>
  <c r="D51" i="1" s="1"/>
  <c r="F51" i="1" s="1"/>
  <c r="C52" i="1"/>
  <c r="D52" i="1" s="1"/>
  <c r="F52" i="1" s="1"/>
  <c r="C53" i="1"/>
  <c r="D53" i="1" s="1"/>
  <c r="F53" i="1" s="1"/>
  <c r="C54" i="1"/>
  <c r="D54" i="1" s="1"/>
  <c r="F54" i="1" s="1"/>
  <c r="C55" i="1"/>
  <c r="D55" i="1" s="1"/>
  <c r="F55" i="1" s="1"/>
  <c r="C56" i="1"/>
  <c r="D56" i="1" s="1"/>
  <c r="F56" i="1" s="1"/>
  <c r="C57" i="1"/>
  <c r="D57" i="1" s="1"/>
  <c r="F57" i="1" s="1"/>
  <c r="C58" i="1"/>
  <c r="D58" i="1" s="1"/>
  <c r="F58" i="1" s="1"/>
  <c r="C59" i="1"/>
  <c r="D59" i="1" s="1"/>
  <c r="F59" i="1" s="1"/>
  <c r="E59" i="1"/>
  <c r="C60" i="1"/>
  <c r="D60" i="1" s="1"/>
  <c r="F60" i="1" s="1"/>
  <c r="C61" i="1"/>
  <c r="D61" i="1" s="1"/>
  <c r="F61" i="1" s="1"/>
  <c r="C62" i="1"/>
  <c r="D62" i="1" s="1"/>
  <c r="F62" i="1" s="1"/>
  <c r="C63" i="1"/>
  <c r="D63" i="1" s="1"/>
  <c r="F63" i="1" s="1"/>
  <c r="E63" i="1"/>
  <c r="C64" i="1"/>
  <c r="D64" i="1" s="1"/>
  <c r="F64" i="1" s="1"/>
  <c r="E64" i="1"/>
  <c r="D63" i="4"/>
  <c r="G63" i="4" s="1"/>
  <c r="D59" i="4"/>
  <c r="G59" i="4" s="1"/>
  <c r="D55" i="4"/>
  <c r="G55" i="4" s="1"/>
  <c r="D51" i="4"/>
  <c r="G51" i="4" s="1"/>
  <c r="D47" i="4"/>
  <c r="G47" i="4" s="1"/>
  <c r="D43" i="4"/>
  <c r="G43" i="4" s="1"/>
  <c r="D39" i="4"/>
  <c r="G39" i="4" s="1"/>
  <c r="D35" i="4"/>
  <c r="G35" i="4" s="1"/>
  <c r="E64" i="8"/>
  <c r="E62" i="8"/>
  <c r="E60" i="8"/>
  <c r="E58" i="8"/>
  <c r="E56" i="8"/>
  <c r="D55" i="8"/>
  <c r="F55" i="8" s="1"/>
  <c r="D51" i="8"/>
  <c r="F51" i="8" s="1"/>
  <c r="E44" i="8"/>
  <c r="E42" i="8"/>
  <c r="E40" i="8"/>
  <c r="E38" i="8"/>
  <c r="D35" i="8"/>
  <c r="F35" i="8" s="1"/>
  <c r="D62" i="2"/>
  <c r="D63" i="2"/>
  <c r="D64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E21" i="6"/>
  <c r="E19" i="6"/>
  <c r="E15" i="6"/>
  <c r="G15" i="6" s="1"/>
  <c r="I15" i="6" s="1"/>
  <c r="E42" i="1" s="1"/>
  <c r="E17" i="6"/>
  <c r="E14" i="6"/>
  <c r="E16" i="6"/>
  <c r="E13" i="6"/>
  <c r="E12" i="6"/>
  <c r="E9" i="6"/>
  <c r="E8" i="6"/>
  <c r="E7" i="6"/>
  <c r="E6" i="6"/>
  <c r="E5" i="6"/>
  <c r="G5" i="6" s="1"/>
  <c r="I5" i="6" s="1"/>
  <c r="E13" i="1" s="1"/>
  <c r="E4" i="6"/>
  <c r="G4" i="6" s="1"/>
  <c r="I4" i="6" s="1"/>
  <c r="E8" i="1" s="1"/>
  <c r="E3" i="6"/>
  <c r="G3" i="6" s="1"/>
  <c r="I3" i="6" s="1"/>
  <c r="E5" i="1" s="1"/>
  <c r="E2" i="6"/>
  <c r="E11" i="6"/>
  <c r="E10" i="6"/>
  <c r="E20" i="6"/>
  <c r="G20" i="6" s="1"/>
  <c r="I20" i="6" s="1"/>
  <c r="E56" i="1" s="1"/>
  <c r="E18" i="6"/>
  <c r="G18" i="6" s="1"/>
  <c r="E22" i="6"/>
  <c r="G22" i="6" s="1"/>
  <c r="I22" i="6" s="1"/>
  <c r="E62" i="1" s="1"/>
  <c r="G16" i="6"/>
  <c r="I16" i="6" s="1"/>
  <c r="E45" i="1" s="1"/>
  <c r="G14" i="6"/>
  <c r="I14" i="6" s="1"/>
  <c r="E38" i="1" s="1"/>
  <c r="G17" i="6"/>
  <c r="I17" i="6" s="1"/>
  <c r="E47" i="1" s="1"/>
  <c r="G19" i="6"/>
  <c r="I19" i="6" s="1"/>
  <c r="E54" i="1" s="1"/>
  <c r="G21" i="6"/>
  <c r="I21" i="6" s="1"/>
  <c r="E61" i="1" s="1"/>
  <c r="G2" i="6"/>
  <c r="I2" i="6" s="1"/>
  <c r="E3" i="1" s="1"/>
  <c r="G8" i="1" l="1"/>
  <c r="G56" i="1"/>
  <c r="G3" i="1"/>
  <c r="E57" i="1"/>
  <c r="E48" i="1"/>
  <c r="E43" i="1"/>
  <c r="G43" i="1" s="1"/>
  <c r="E41" i="1"/>
  <c r="G41" i="1" s="1"/>
  <c r="E11" i="1"/>
  <c r="E9" i="1"/>
  <c r="E60" i="1"/>
  <c r="E55" i="1"/>
  <c r="E53" i="1"/>
  <c r="E46" i="1"/>
  <c r="E44" i="1"/>
  <c r="G44" i="1" s="1"/>
  <c r="E39" i="1"/>
  <c r="G39" i="1" s="1"/>
  <c r="E12" i="1"/>
  <c r="E58" i="1"/>
  <c r="E49" i="1"/>
  <c r="G49" i="1" s="1"/>
  <c r="E40" i="1"/>
  <c r="G40" i="1" s="1"/>
  <c r="E10" i="1"/>
  <c r="G58" i="1"/>
  <c r="G42" i="1"/>
  <c r="G10" i="1"/>
  <c r="E7" i="1"/>
  <c r="G61" i="1"/>
  <c r="G54" i="1"/>
  <c r="G45" i="1"/>
  <c r="G38" i="1"/>
  <c r="G13" i="1"/>
  <c r="G6" i="1"/>
  <c r="G57" i="1"/>
  <c r="G9" i="1"/>
  <c r="G62" i="1"/>
  <c r="G53" i="1"/>
  <c r="G46" i="1"/>
  <c r="G5" i="1"/>
  <c r="G64" i="1"/>
  <c r="G59" i="1"/>
  <c r="G48" i="1"/>
  <c r="G11" i="1"/>
  <c r="G60" i="1"/>
  <c r="G55" i="1"/>
  <c r="G12" i="1"/>
  <c r="G7" i="1"/>
  <c r="G63" i="1"/>
  <c r="G47" i="1"/>
  <c r="G4" i="1"/>
  <c r="I18" i="6"/>
  <c r="E52" i="4"/>
  <c r="E50" i="4"/>
  <c r="E51" i="8"/>
  <c r="G51" i="8" s="1"/>
  <c r="I51" i="8" s="1"/>
  <c r="E51" i="4"/>
  <c r="E52" i="8"/>
  <c r="E50" i="8"/>
  <c r="E46" i="8"/>
  <c r="E48" i="8"/>
  <c r="G48" i="8" s="1"/>
  <c r="I48" i="8" s="1"/>
  <c r="E54" i="8"/>
  <c r="E2" i="8"/>
  <c r="E39" i="4"/>
  <c r="E41" i="4"/>
  <c r="E43" i="4"/>
  <c r="E45" i="4"/>
  <c r="H45" i="4" s="1"/>
  <c r="E47" i="4"/>
  <c r="E49" i="4"/>
  <c r="E53" i="4"/>
  <c r="E55" i="4"/>
  <c r="H55" i="4" s="1"/>
  <c r="E57" i="4"/>
  <c r="E59" i="4"/>
  <c r="E61" i="4"/>
  <c r="E63" i="4"/>
  <c r="E39" i="8"/>
  <c r="E41" i="8"/>
  <c r="E43" i="8"/>
  <c r="E45" i="8"/>
  <c r="E47" i="8"/>
  <c r="E49" i="8"/>
  <c r="E53" i="8"/>
  <c r="E55" i="8"/>
  <c r="G55" i="8" s="1"/>
  <c r="I55" i="8" s="1"/>
  <c r="E57" i="8"/>
  <c r="E59" i="8"/>
  <c r="E61" i="8"/>
  <c r="E63" i="8"/>
  <c r="G63" i="8" s="1"/>
  <c r="I63" i="8" s="1"/>
  <c r="H50" i="4"/>
  <c r="G50" i="8"/>
  <c r="I50" i="8" s="1"/>
  <c r="G52" i="8"/>
  <c r="I52" i="8" s="1"/>
  <c r="G54" i="8"/>
  <c r="I54" i="8" s="1"/>
  <c r="G56" i="8"/>
  <c r="I56" i="8" s="1"/>
  <c r="G58" i="8"/>
  <c r="I58" i="8" s="1"/>
  <c r="G60" i="8"/>
  <c r="I60" i="8" s="1"/>
  <c r="G64" i="8"/>
  <c r="I64" i="8" s="1"/>
  <c r="E38" i="4"/>
  <c r="H38" i="4" s="1"/>
  <c r="E40" i="4"/>
  <c r="E42" i="4"/>
  <c r="E44" i="4"/>
  <c r="E46" i="4"/>
  <c r="H46" i="4" s="1"/>
  <c r="E48" i="4"/>
  <c r="E54" i="4"/>
  <c r="E56" i="4"/>
  <c r="E58" i="4"/>
  <c r="H58" i="4" s="1"/>
  <c r="E60" i="4"/>
  <c r="E62" i="4"/>
  <c r="E64" i="4"/>
  <c r="H53" i="4"/>
  <c r="H39" i="4"/>
  <c r="H47" i="4"/>
  <c r="H40" i="4"/>
  <c r="H48" i="4"/>
  <c r="H42" i="4"/>
  <c r="H54" i="4"/>
  <c r="H64" i="4"/>
  <c r="H62" i="4"/>
  <c r="H63" i="4"/>
  <c r="H60" i="4"/>
  <c r="H41" i="4"/>
  <c r="H43" i="4"/>
  <c r="H49" i="4"/>
  <c r="H51" i="4"/>
  <c r="H57" i="4"/>
  <c r="H59" i="4"/>
  <c r="H44" i="4"/>
  <c r="H52" i="4"/>
  <c r="H56" i="4"/>
  <c r="H61" i="4"/>
  <c r="G38" i="8"/>
  <c r="I38" i="8" s="1"/>
  <c r="G40" i="8"/>
  <c r="I40" i="8" s="1"/>
  <c r="G42" i="8"/>
  <c r="I42" i="8" s="1"/>
  <c r="G44" i="8"/>
  <c r="I44" i="8" s="1"/>
  <c r="G46" i="8"/>
  <c r="I46" i="8" s="1"/>
  <c r="G62" i="8"/>
  <c r="I62" i="8" s="1"/>
  <c r="G39" i="8"/>
  <c r="I39" i="8" s="1"/>
  <c r="G41" i="8"/>
  <c r="I41" i="8" s="1"/>
  <c r="G43" i="8"/>
  <c r="I43" i="8" s="1"/>
  <c r="G45" i="8"/>
  <c r="I45" i="8" s="1"/>
  <c r="G47" i="8"/>
  <c r="I47" i="8" s="1"/>
  <c r="G49" i="8"/>
  <c r="I49" i="8" s="1"/>
  <c r="G53" i="8"/>
  <c r="I53" i="8" s="1"/>
  <c r="G57" i="8"/>
  <c r="I57" i="8" s="1"/>
  <c r="G59" i="8"/>
  <c r="I59" i="8" s="1"/>
  <c r="G61" i="8"/>
  <c r="I61" i="8" s="1"/>
  <c r="G2" i="1"/>
  <c r="E52" i="1" l="1"/>
  <c r="G52" i="1" s="1"/>
  <c r="E51" i="1"/>
  <c r="G51" i="1" s="1"/>
  <c r="E50" i="1"/>
  <c r="G50" i="1" s="1"/>
  <c r="D4" i="2"/>
  <c r="G13" i="6"/>
  <c r="D2" i="8"/>
  <c r="D2" i="4"/>
  <c r="G2" i="4" s="1"/>
  <c r="D31" i="4"/>
  <c r="G31" i="4" s="1"/>
  <c r="D29" i="4"/>
  <c r="G29" i="4" s="1"/>
  <c r="D28" i="4"/>
  <c r="G28" i="4" s="1"/>
  <c r="D27" i="4"/>
  <c r="G27" i="4" s="1"/>
  <c r="D26" i="4"/>
  <c r="G26" i="4" s="1"/>
  <c r="D24" i="4"/>
  <c r="G24" i="4" s="1"/>
  <c r="D23" i="4"/>
  <c r="G23" i="4" s="1"/>
  <c r="D22" i="4"/>
  <c r="G22" i="4" s="1"/>
  <c r="D21" i="4"/>
  <c r="G21" i="4" s="1"/>
  <c r="D20" i="4"/>
  <c r="G20" i="4" s="1"/>
  <c r="D19" i="4"/>
  <c r="G19" i="4" s="1"/>
  <c r="D18" i="4"/>
  <c r="G18" i="4" s="1"/>
  <c r="D16" i="4"/>
  <c r="G16" i="4" s="1"/>
  <c r="D15" i="4"/>
  <c r="G15" i="4" s="1"/>
  <c r="D14" i="4"/>
  <c r="G14" i="4" s="1"/>
  <c r="D12" i="4"/>
  <c r="G12" i="4" s="1"/>
  <c r="D10" i="4"/>
  <c r="G10" i="4" s="1"/>
  <c r="D9" i="4"/>
  <c r="G9" i="4" s="1"/>
  <c r="D8" i="4"/>
  <c r="G8" i="4" s="1"/>
  <c r="D7" i="4"/>
  <c r="G7" i="4" s="1"/>
  <c r="D6" i="4"/>
  <c r="G6" i="4" s="1"/>
  <c r="D5" i="4"/>
  <c r="G5" i="4" s="1"/>
  <c r="D4" i="4"/>
  <c r="G4" i="4" s="1"/>
  <c r="D3" i="4"/>
  <c r="G3" i="4" s="1"/>
  <c r="D31" i="8"/>
  <c r="F31" i="8" s="1"/>
  <c r="D30" i="8"/>
  <c r="F30" i="8" s="1"/>
  <c r="D29" i="8"/>
  <c r="D28" i="8"/>
  <c r="F28" i="8" s="1"/>
  <c r="D27" i="8"/>
  <c r="D26" i="8"/>
  <c r="D25" i="8"/>
  <c r="D24" i="8"/>
  <c r="D23" i="8"/>
  <c r="F23" i="8" s="1"/>
  <c r="D22" i="8"/>
  <c r="F22" i="8" s="1"/>
  <c r="D21" i="8"/>
  <c r="D20" i="8"/>
  <c r="F20" i="8" s="1"/>
  <c r="D19" i="8"/>
  <c r="F19" i="8" s="1"/>
  <c r="D18" i="8"/>
  <c r="F18" i="8" s="1"/>
  <c r="D17" i="8"/>
  <c r="F17" i="8" s="1"/>
  <c r="D16" i="8"/>
  <c r="F16" i="8" s="1"/>
  <c r="D15" i="8"/>
  <c r="F15" i="8" s="1"/>
  <c r="D14" i="8"/>
  <c r="F14" i="8" s="1"/>
  <c r="D13" i="8"/>
  <c r="D12" i="8"/>
  <c r="D11" i="8"/>
  <c r="F11" i="8" s="1"/>
  <c r="D10" i="8"/>
  <c r="F10" i="8" s="1"/>
  <c r="D9" i="8"/>
  <c r="D8" i="8"/>
  <c r="F8" i="8" s="1"/>
  <c r="D7" i="8"/>
  <c r="F7" i="8" s="1"/>
  <c r="D6" i="8"/>
  <c r="F6" i="8" s="1"/>
  <c r="D5" i="8"/>
  <c r="D4" i="8"/>
  <c r="F4" i="8" s="1"/>
  <c r="D3" i="8"/>
  <c r="F3" i="8" s="1"/>
  <c r="D25" i="2"/>
  <c r="D3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6" i="2"/>
  <c r="D27" i="2"/>
  <c r="D28" i="2"/>
  <c r="D29" i="2"/>
  <c r="D30" i="2"/>
  <c r="D31" i="2"/>
  <c r="D2" i="2"/>
  <c r="D30" i="4"/>
  <c r="G30" i="4" s="1"/>
  <c r="D17" i="4"/>
  <c r="G17" i="4" s="1"/>
  <c r="G6" i="6"/>
  <c r="I6" i="6" s="1"/>
  <c r="G7" i="6"/>
  <c r="I7" i="6" s="1"/>
  <c r="G8" i="6"/>
  <c r="G9" i="6"/>
  <c r="G10" i="6"/>
  <c r="I10" i="6" s="1"/>
  <c r="G12" i="6"/>
  <c r="E17" i="1" l="1"/>
  <c r="G17" i="1" s="1"/>
  <c r="E19" i="1"/>
  <c r="G19" i="1" s="1"/>
  <c r="E18" i="1"/>
  <c r="G18" i="1" s="1"/>
  <c r="E26" i="1"/>
  <c r="G26" i="1" s="1"/>
  <c r="E28" i="1"/>
  <c r="G28" i="1" s="1"/>
  <c r="E27" i="1"/>
  <c r="G27" i="1" s="1"/>
  <c r="E15" i="1"/>
  <c r="G15" i="1" s="1"/>
  <c r="E14" i="1"/>
  <c r="G14" i="1" s="1"/>
  <c r="E16" i="1"/>
  <c r="G16" i="1" s="1"/>
  <c r="E34" i="4"/>
  <c r="H34" i="4" s="1"/>
  <c r="E32" i="4"/>
  <c r="H32" i="4" s="1"/>
  <c r="E34" i="8"/>
  <c r="G34" i="8" s="1"/>
  <c r="I34" i="8" s="1"/>
  <c r="E33" i="8"/>
  <c r="G33" i="8" s="1"/>
  <c r="I33" i="8" s="1"/>
  <c r="E33" i="4"/>
  <c r="H33" i="4" s="1"/>
  <c r="E32" i="8"/>
  <c r="G32" i="8" s="1"/>
  <c r="I32" i="8" s="1"/>
  <c r="I13" i="6"/>
  <c r="E36" i="4"/>
  <c r="H36" i="4" s="1"/>
  <c r="E37" i="8"/>
  <c r="G37" i="8" s="1"/>
  <c r="I37" i="8" s="1"/>
  <c r="E35" i="8"/>
  <c r="G35" i="8" s="1"/>
  <c r="I35" i="8" s="1"/>
  <c r="E36" i="8"/>
  <c r="G36" i="8" s="1"/>
  <c r="I36" i="8" s="1"/>
  <c r="E37" i="4"/>
  <c r="H37" i="4" s="1"/>
  <c r="E35" i="4"/>
  <c r="H35" i="4" s="1"/>
  <c r="F2" i="8"/>
  <c r="E6" i="8"/>
  <c r="G6" i="8" s="1"/>
  <c r="I6" i="8" s="1"/>
  <c r="I12" i="6"/>
  <c r="E15" i="8"/>
  <c r="G15" i="8" s="1"/>
  <c r="I15" i="8" s="1"/>
  <c r="I9" i="6"/>
  <c r="E27" i="8"/>
  <c r="E18" i="8"/>
  <c r="G18" i="8" s="1"/>
  <c r="I18" i="8" s="1"/>
  <c r="I8" i="6"/>
  <c r="E2" i="4"/>
  <c r="D13" i="4"/>
  <c r="G13" i="4" s="1"/>
  <c r="D25" i="4"/>
  <c r="G25" i="4" s="1"/>
  <c r="F12" i="8"/>
  <c r="F24" i="8"/>
  <c r="F13" i="8"/>
  <c r="D11" i="4"/>
  <c r="G11" i="4" s="1"/>
  <c r="F29" i="8"/>
  <c r="E24" i="8"/>
  <c r="E25" i="8"/>
  <c r="E23" i="8"/>
  <c r="G23" i="8" s="1"/>
  <c r="I23" i="8" s="1"/>
  <c r="F23" i="2" s="1" a="1"/>
  <c r="F23" i="2" s="1"/>
  <c r="E25" i="4"/>
  <c r="E12" i="8"/>
  <c r="E13" i="8"/>
  <c r="E11" i="8"/>
  <c r="G11" i="8" s="1"/>
  <c r="I11" i="8" s="1"/>
  <c r="E4" i="8"/>
  <c r="G4" i="8" s="1"/>
  <c r="I4" i="8" s="1"/>
  <c r="E3" i="8"/>
  <c r="G3" i="8" s="1"/>
  <c r="I3" i="8" s="1"/>
  <c r="E17" i="8"/>
  <c r="G17" i="8" s="1"/>
  <c r="I17" i="8" s="1"/>
  <c r="E19" i="8"/>
  <c r="G19" i="8" s="1"/>
  <c r="I19" i="8" s="1"/>
  <c r="E21" i="8"/>
  <c r="E28" i="8"/>
  <c r="G28" i="8" s="1"/>
  <c r="I28" i="8" s="1"/>
  <c r="E5" i="8"/>
  <c r="E7" i="8"/>
  <c r="G7" i="8" s="1"/>
  <c r="I7" i="8" s="1"/>
  <c r="E26" i="8"/>
  <c r="E14" i="8"/>
  <c r="G14" i="8" s="1"/>
  <c r="I14" i="8" s="1"/>
  <c r="E16" i="8"/>
  <c r="G16" i="8" s="1"/>
  <c r="I16" i="8" s="1"/>
  <c r="E20" i="8"/>
  <c r="G20" i="8" s="1"/>
  <c r="I20" i="8" s="1"/>
  <c r="E22" i="8"/>
  <c r="G22" i="8" s="1"/>
  <c r="I22" i="8" s="1"/>
  <c r="F27" i="8"/>
  <c r="F26" i="8"/>
  <c r="F25" i="8"/>
  <c r="F21" i="8"/>
  <c r="F9" i="8"/>
  <c r="F5" i="8"/>
  <c r="E5" i="4"/>
  <c r="H5" i="4" s="1"/>
  <c r="E6" i="4"/>
  <c r="H6" i="4" s="1"/>
  <c r="E7" i="4"/>
  <c r="H7" i="4" s="1"/>
  <c r="E4" i="4"/>
  <c r="H4" i="4" s="1"/>
  <c r="E3" i="4"/>
  <c r="H3" i="4" s="1"/>
  <c r="E18" i="4"/>
  <c r="H18" i="4" s="1"/>
  <c r="E17" i="4"/>
  <c r="H17" i="4" s="1"/>
  <c r="E19" i="4"/>
  <c r="H19" i="4" s="1"/>
  <c r="E13" i="4"/>
  <c r="E27" i="4"/>
  <c r="H27" i="4" s="1"/>
  <c r="E23" i="4"/>
  <c r="H23" i="4" s="1"/>
  <c r="E15" i="4"/>
  <c r="H15" i="4" s="1"/>
  <c r="E11" i="4"/>
  <c r="E26" i="4"/>
  <c r="H26" i="4" s="1"/>
  <c r="E22" i="4"/>
  <c r="H22" i="4" s="1"/>
  <c r="E14" i="4"/>
  <c r="H14" i="4" s="1"/>
  <c r="E21" i="4"/>
  <c r="H21" i="4" s="1"/>
  <c r="E28" i="4"/>
  <c r="H28" i="4" s="1"/>
  <c r="E24" i="4"/>
  <c r="H24" i="4" s="1"/>
  <c r="E20" i="4"/>
  <c r="H20" i="4" s="1"/>
  <c r="E16" i="4"/>
  <c r="H16" i="4" s="1"/>
  <c r="E12" i="4"/>
  <c r="H12" i="4" s="1"/>
  <c r="G11" i="6"/>
  <c r="I11" i="6" s="1"/>
  <c r="F59" i="2" l="1" a="1"/>
  <c r="F59" i="2" s="1"/>
  <c r="F4" i="2" a="1"/>
  <c r="F4" i="2" s="1"/>
  <c r="G6" i="2" a="1"/>
  <c r="G6" i="2" s="1"/>
  <c r="H13" i="4"/>
  <c r="G5" i="2" a="1"/>
  <c r="G5" i="2" s="1"/>
  <c r="G4" i="2" a="1"/>
  <c r="G4" i="2" s="1"/>
  <c r="F34" i="2" a="1"/>
  <c r="F34" i="2" s="1"/>
  <c r="F49" i="2" a="1"/>
  <c r="F49" i="2" s="1"/>
  <c r="G49" i="2" a="1"/>
  <c r="G49" i="2" s="1"/>
  <c r="F55" i="2" a="1"/>
  <c r="F55" i="2" s="1"/>
  <c r="E29" i="1"/>
  <c r="G29" i="1" s="1"/>
  <c r="E31" i="1"/>
  <c r="G31" i="1" s="1"/>
  <c r="E30" i="1"/>
  <c r="G30" i="1" s="1"/>
  <c r="E36" i="1"/>
  <c r="G36" i="1" s="1"/>
  <c r="E35" i="1"/>
  <c r="G35" i="1" s="1"/>
  <c r="E37" i="1"/>
  <c r="G37" i="1" s="1"/>
  <c r="E20" i="1"/>
  <c r="G20" i="1" s="1"/>
  <c r="E22" i="1"/>
  <c r="G22" i="1" s="1"/>
  <c r="E21" i="1"/>
  <c r="G21" i="1" s="1"/>
  <c r="E33" i="1"/>
  <c r="G33" i="1" s="1"/>
  <c r="E32" i="1"/>
  <c r="G32" i="1" s="1"/>
  <c r="E34" i="1"/>
  <c r="G34" i="1" s="1"/>
  <c r="E24" i="1"/>
  <c r="G24" i="1" s="1"/>
  <c r="E23" i="1"/>
  <c r="G23" i="1" s="1"/>
  <c r="E25" i="1"/>
  <c r="G25" i="1" s="1"/>
  <c r="G28" i="2" a="1"/>
  <c r="G28" i="2" s="1"/>
  <c r="G54" i="2" a="1"/>
  <c r="G54" i="2" s="1"/>
  <c r="G60" i="2" a="1"/>
  <c r="G60" i="2" s="1"/>
  <c r="G40" i="2" a="1"/>
  <c r="G40" i="2" s="1"/>
  <c r="G23" i="2" a="1"/>
  <c r="G23" i="2" s="1"/>
  <c r="G39" i="2" a="1"/>
  <c r="G39" i="2" s="1"/>
  <c r="G34" i="2" a="1"/>
  <c r="G34" i="2" s="1"/>
  <c r="G26" i="2" a="1"/>
  <c r="G26" i="2" s="1"/>
  <c r="G22" i="2" a="1"/>
  <c r="G22" i="2" s="1"/>
  <c r="G18" i="2" a="1"/>
  <c r="G18" i="2" s="1"/>
  <c r="G19" i="2" a="1"/>
  <c r="G19" i="2" s="1"/>
  <c r="G27" i="2" a="1"/>
  <c r="G27" i="2" s="1"/>
  <c r="G44" i="2" a="1"/>
  <c r="G44" i="2" s="1"/>
  <c r="G48" i="2" a="1"/>
  <c r="G48" i="2" s="1"/>
  <c r="G59" i="2" a="1"/>
  <c r="G59" i="2" s="1"/>
  <c r="H2" i="4"/>
  <c r="G2" i="2" s="1" a="1"/>
  <c r="G2" i="2" s="1"/>
  <c r="E31" i="4"/>
  <c r="H31" i="4" s="1"/>
  <c r="G31" i="2" s="1" a="1"/>
  <c r="G31" i="2" s="1"/>
  <c r="E29" i="8"/>
  <c r="E29" i="4"/>
  <c r="H29" i="4" s="1"/>
  <c r="G29" i="2" s="1" a="1"/>
  <c r="G29" i="2" s="1"/>
  <c r="E31" i="8"/>
  <c r="G31" i="8" s="1"/>
  <c r="I31" i="8" s="1"/>
  <c r="F35" i="2" s="1" a="1"/>
  <c r="F35" i="2" s="1"/>
  <c r="E30" i="8"/>
  <c r="G30" i="8" s="1"/>
  <c r="I30" i="8" s="1"/>
  <c r="F36" i="2" s="1" a="1"/>
  <c r="F36" i="2" s="1"/>
  <c r="E30" i="4"/>
  <c r="H30" i="4" s="1"/>
  <c r="G30" i="2" s="1" a="1"/>
  <c r="G30" i="2" s="1"/>
  <c r="G2" i="8"/>
  <c r="I2" i="8" s="1"/>
  <c r="F2" i="2" s="1" a="1"/>
  <c r="F2" i="2" s="1"/>
  <c r="G21" i="8"/>
  <c r="I21" i="8" s="1"/>
  <c r="F20" i="2" s="1" a="1"/>
  <c r="F20" i="2" s="1"/>
  <c r="G27" i="8"/>
  <c r="I27" i="8" s="1"/>
  <c r="F19" i="2" s="1" a="1"/>
  <c r="F19" i="2" s="1"/>
  <c r="G5" i="8"/>
  <c r="I5" i="8" s="1"/>
  <c r="F60" i="2" s="1" a="1"/>
  <c r="F60" i="2" s="1"/>
  <c r="G26" i="8"/>
  <c r="I26" i="8" s="1"/>
  <c r="H25" i="4"/>
  <c r="G25" i="2" s="1" a="1"/>
  <c r="G25" i="2" s="1"/>
  <c r="G12" i="8"/>
  <c r="I12" i="8" s="1"/>
  <c r="F11" i="2" s="1" a="1"/>
  <c r="F11" i="2" s="1"/>
  <c r="G13" i="8"/>
  <c r="I13" i="8" s="1"/>
  <c r="F13" i="2" s="1" a="1"/>
  <c r="F13" i="2" s="1"/>
  <c r="G29" i="8"/>
  <c r="I29" i="8" s="1"/>
  <c r="F63" i="2" s="1" a="1"/>
  <c r="F63" i="2" s="1"/>
  <c r="G24" i="8"/>
  <c r="I24" i="8" s="1"/>
  <c r="F42" i="2" s="1" a="1"/>
  <c r="F42" i="2" s="1"/>
  <c r="G25" i="8"/>
  <c r="I25" i="8" s="1"/>
  <c r="H11" i="4"/>
  <c r="G11" i="2" s="1" a="1"/>
  <c r="G11" i="2" s="1"/>
  <c r="E10" i="8"/>
  <c r="G10" i="8" s="1"/>
  <c r="I10" i="8" s="1"/>
  <c r="E8" i="8"/>
  <c r="E9" i="8"/>
  <c r="G9" i="8" s="1"/>
  <c r="I9" i="8" s="1"/>
  <c r="F9" i="2" s="1" a="1"/>
  <c r="F9" i="2" s="1"/>
  <c r="E8" i="4"/>
  <c r="H8" i="4" s="1"/>
  <c r="G8" i="2" s="1" a="1"/>
  <c r="G8" i="2" s="1"/>
  <c r="E10" i="4"/>
  <c r="H10" i="4" s="1"/>
  <c r="G10" i="2" s="1" a="1"/>
  <c r="G10" i="2" s="1"/>
  <c r="E9" i="4"/>
  <c r="H9" i="4" s="1"/>
  <c r="G61" i="2" l="1" a="1"/>
  <c r="G61" i="2" s="1"/>
  <c r="G43" i="2" a="1"/>
  <c r="G43" i="2" s="1"/>
  <c r="G16" i="2" a="1"/>
  <c r="G16" i="2" s="1"/>
  <c r="G53" i="2" a="1"/>
  <c r="G53" i="2" s="1"/>
  <c r="F40" i="2" a="1"/>
  <c r="F40" i="2" s="1"/>
  <c r="F43" i="2" a="1"/>
  <c r="F43" i="2" s="1"/>
  <c r="G42" i="2" a="1"/>
  <c r="G42" i="2" s="1"/>
  <c r="F28" i="2" a="1"/>
  <c r="F28" i="2" s="1"/>
  <c r="H11" i="2"/>
  <c r="G24" i="2" a="1"/>
  <c r="G24" i="2" s="1"/>
  <c r="G3" i="2" a="1"/>
  <c r="G3" i="2" s="1"/>
  <c r="G9" i="2" a="1"/>
  <c r="G9" i="2" s="1"/>
  <c r="F3" i="2" a="1"/>
  <c r="F3" i="2" s="1"/>
  <c r="G47" i="2" a="1"/>
  <c r="G47" i="2" s="1"/>
  <c r="G51" i="2" a="1"/>
  <c r="G51" i="2" s="1"/>
  <c r="G7" i="2" a="1"/>
  <c r="G7" i="2" s="1"/>
  <c r="F7" i="2" a="1"/>
  <c r="F7" i="2" s="1"/>
  <c r="G12" i="2" a="1"/>
  <c r="G12" i="2" s="1"/>
  <c r="G45" i="2" a="1"/>
  <c r="G45" i="2" s="1"/>
  <c r="G13" i="2" a="1"/>
  <c r="G13" i="2" s="1"/>
  <c r="H13" i="2" s="1"/>
  <c r="H60" i="2"/>
  <c r="F48" i="2" a="1"/>
  <c r="F48" i="2" s="1"/>
  <c r="H48" i="2" s="1"/>
  <c r="H19" i="2"/>
  <c r="G63" i="2" a="1"/>
  <c r="G63" i="2" s="1"/>
  <c r="F33" i="2" a="1"/>
  <c r="F33" i="2" s="1"/>
  <c r="G41" i="2" a="1"/>
  <c r="G41" i="2" s="1"/>
  <c r="G32" i="2" a="1"/>
  <c r="G32" i="2" s="1"/>
  <c r="F18" i="2" a="1"/>
  <c r="F18" i="2" s="1"/>
  <c r="H18" i="2" s="1"/>
  <c r="G33" i="2" a="1"/>
  <c r="G33" i="2" s="1"/>
  <c r="F41" i="2" a="1"/>
  <c r="F41" i="2" s="1"/>
  <c r="H59" i="2"/>
  <c r="G62" i="2" a="1"/>
  <c r="G62" i="2" s="1"/>
  <c r="G21" i="2" a="1"/>
  <c r="G21" i="2" s="1"/>
  <c r="F62" i="2" a="1"/>
  <c r="F62" i="2" s="1"/>
  <c r="F10" i="2" a="1"/>
  <c r="F10" i="2" s="1"/>
  <c r="G55" i="2" a="1"/>
  <c r="G55" i="2" s="1"/>
  <c r="G37" i="2" a="1"/>
  <c r="G37" i="2" s="1"/>
  <c r="F53" i="2" a="1"/>
  <c r="F53" i="2" s="1"/>
  <c r="G57" i="2" a="1"/>
  <c r="G57" i="2" s="1"/>
  <c r="G58" i="2" a="1"/>
  <c r="G58" i="2" s="1"/>
  <c r="H40" i="2"/>
  <c r="F5" i="2" a="1"/>
  <c r="F5" i="2" s="1"/>
  <c r="F61" i="2" a="1"/>
  <c r="F61" i="2" s="1"/>
  <c r="F12" i="2" a="1"/>
  <c r="F12" i="2" s="1"/>
  <c r="F54" i="2" a="1"/>
  <c r="F54" i="2" s="1"/>
  <c r="H54" i="2" s="1"/>
  <c r="F27" i="2" a="1"/>
  <c r="F27" i="2" s="1"/>
  <c r="F39" i="2" a="1"/>
  <c r="F39" i="2" s="1"/>
  <c r="H39" i="2" s="1"/>
  <c r="G56" i="2" a="1"/>
  <c r="G56" i="2" s="1"/>
  <c r="G35" i="2" a="1"/>
  <c r="G35" i="2" s="1"/>
  <c r="G64" i="2" a="1"/>
  <c r="G64" i="2" s="1"/>
  <c r="F64" i="2" a="1"/>
  <c r="F64" i="2" s="1"/>
  <c r="F57" i="2" a="1"/>
  <c r="F57" i="2" s="1"/>
  <c r="H42" i="2"/>
  <c r="G36" i="2" a="1"/>
  <c r="G36" i="2" s="1"/>
  <c r="H5" i="2"/>
  <c r="H4" i="2"/>
  <c r="H28" i="2"/>
  <c r="F25" i="2" a="1"/>
  <c r="F25" i="2" s="1"/>
  <c r="F50" i="2" a="1"/>
  <c r="F50" i="2" s="1"/>
  <c r="F30" i="2" a="1"/>
  <c r="F30" i="2" s="1"/>
  <c r="F46" i="2" a="1"/>
  <c r="F46" i="2" s="1"/>
  <c r="G52" i="2" a="1"/>
  <c r="G52" i="2" s="1"/>
  <c r="G17" i="2" a="1"/>
  <c r="G17" i="2" s="1"/>
  <c r="H23" i="2"/>
  <c r="H49" i="2"/>
  <c r="F37" i="2" a="1"/>
  <c r="F37" i="2" s="1"/>
  <c r="F22" i="2" a="1"/>
  <c r="F22" i="2" s="1"/>
  <c r="F17" i="2" a="1"/>
  <c r="F17" i="2" s="1"/>
  <c r="F29" i="2" a="1"/>
  <c r="F29" i="2" s="1"/>
  <c r="F52" i="2" a="1"/>
  <c r="F52" i="2" s="1"/>
  <c r="F26" i="2" a="1"/>
  <c r="F26" i="2" s="1"/>
  <c r="H26" i="2" s="1"/>
  <c r="F44" i="2" a="1"/>
  <c r="F44" i="2" s="1"/>
  <c r="H44" i="2" s="1"/>
  <c r="F24" i="2" a="1"/>
  <c r="F24" i="2" s="1"/>
  <c r="F51" i="2" a="1"/>
  <c r="F51" i="2" s="1"/>
  <c r="F21" i="2" a="1"/>
  <c r="F21" i="2" s="1"/>
  <c r="F47" i="2" a="1"/>
  <c r="F47" i="2" s="1"/>
  <c r="F31" i="2" a="1"/>
  <c r="F31" i="2" s="1"/>
  <c r="F38" i="2" a="1"/>
  <c r="F38" i="2" s="1"/>
  <c r="G50" i="2" a="1"/>
  <c r="G50" i="2" s="1"/>
  <c r="G20" i="2" a="1"/>
  <c r="G20" i="2" s="1"/>
  <c r="G14" i="2" a="1"/>
  <c r="G14" i="2" s="1"/>
  <c r="G38" i="2" a="1"/>
  <c r="G38" i="2" s="1"/>
  <c r="G46" i="2" a="1"/>
  <c r="G46" i="2" s="1"/>
  <c r="H24" i="2"/>
  <c r="G15" i="2" a="1"/>
  <c r="G15" i="2" s="1"/>
  <c r="H34" i="2"/>
  <c r="F15" i="2" a="1"/>
  <c r="F15" i="2" s="1"/>
  <c r="H53" i="2"/>
  <c r="H43" i="2"/>
  <c r="F6" i="2" a="1"/>
  <c r="F6" i="2" s="1"/>
  <c r="H6" i="2" s="1"/>
  <c r="H22" i="2"/>
  <c r="H27" i="2"/>
  <c r="H9" i="2"/>
  <c r="H10" i="2"/>
  <c r="H2" i="2"/>
  <c r="G8" i="8"/>
  <c r="I8" i="8" s="1"/>
  <c r="H29" i="2" l="1"/>
  <c r="F45" i="2" a="1"/>
  <c r="F45" i="2" s="1"/>
  <c r="H45" i="2" s="1"/>
  <c r="F16" i="2" a="1"/>
  <c r="F16" i="2" s="1"/>
  <c r="H16" i="2" s="1"/>
  <c r="F56" i="2" a="1"/>
  <c r="F56" i="2" s="1"/>
  <c r="H56" i="2" s="1"/>
  <c r="H61" i="2"/>
  <c r="H35" i="2"/>
  <c r="H57" i="2"/>
  <c r="H3" i="2"/>
  <c r="H12" i="2"/>
  <c r="H36" i="2"/>
  <c r="H62" i="2"/>
  <c r="H33" i="2"/>
  <c r="H7" i="2"/>
  <c r="H55" i="2"/>
  <c r="H21" i="2"/>
  <c r="H41" i="2"/>
  <c r="F58" i="2" a="1"/>
  <c r="F58" i="2" s="1"/>
  <c r="H58" i="2" s="1"/>
  <c r="F32" i="2" a="1"/>
  <c r="F32" i="2" s="1"/>
  <c r="H32" i="2" s="1"/>
  <c r="H25" i="2"/>
  <c r="H31" i="2"/>
  <c r="H63" i="2"/>
  <c r="H38" i="2"/>
  <c r="H30" i="2"/>
  <c r="H51" i="2"/>
  <c r="H47" i="2"/>
  <c r="H37" i="2"/>
  <c r="H15" i="2"/>
  <c r="H46" i="2"/>
  <c r="H20" i="2"/>
  <c r="H17" i="2"/>
  <c r="H50" i="2"/>
  <c r="H52" i="2"/>
  <c r="F8" i="2" a="1"/>
  <c r="F8" i="2" s="1"/>
  <c r="H8" i="2" s="1"/>
  <c r="F14" i="2" a="1"/>
  <c r="F14" i="2" s="1"/>
  <c r="H1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<sst xmlns="http://schemas.openxmlformats.org/spreadsheetml/2006/main" count="352" uniqueCount="49">
  <si>
    <t>Aircraft Type</t>
  </si>
  <si>
    <t>Last Production Year</t>
  </si>
  <si>
    <t>List Price</t>
  </si>
  <si>
    <t>List Price (Year)</t>
  </si>
  <si>
    <t>Adjusted List Price (2023)</t>
  </si>
  <si>
    <t>Purchase Price (New)</t>
  </si>
  <si>
    <t>Lease Rate (% Purchase)</t>
  </si>
  <si>
    <t>Lease Rate (USD)</t>
  </si>
  <si>
    <t>Age (Years)</t>
  </si>
  <si>
    <t>Year</t>
  </si>
  <si>
    <t>Adjusted Age (Years)</t>
  </si>
  <si>
    <t>In Production</t>
  </si>
  <si>
    <t>Discount (%)</t>
  </si>
  <si>
    <t>Base Lease Rate (USD)</t>
  </si>
  <si>
    <t>Adjusted Lease Rate (USD)</t>
  </si>
  <si>
    <t>Adjusted Lease Rate (%)</t>
  </si>
  <si>
    <t>Base Maintenance Costs (%)</t>
  </si>
  <si>
    <t>Adjusted Maintenance Costs (%)</t>
  </si>
  <si>
    <t>Maintenance Costs (USD)</t>
  </si>
  <si>
    <t>Base Insurance Rate (%)</t>
  </si>
  <si>
    <t>Insurance Rate (USD)</t>
  </si>
  <si>
    <t>Hull Value</t>
  </si>
  <si>
    <t>Base - Depreciation (%)</t>
  </si>
  <si>
    <t>Base - Lease (%)</t>
  </si>
  <si>
    <t>Base - Maintenance (%)</t>
  </si>
  <si>
    <t>Base - Insurance (%)</t>
  </si>
  <si>
    <t>Fixed Costs (USD)</t>
  </si>
  <si>
    <t>Airbus A380-800</t>
  </si>
  <si>
    <t>Airbus A350-900</t>
  </si>
  <si>
    <t>Airbus A330-300</t>
  </si>
  <si>
    <t>Airbus A340-600</t>
  </si>
  <si>
    <t>Airbus A340-300</t>
  </si>
  <si>
    <t>Airbus A330-900</t>
  </si>
  <si>
    <t>Airbus A321neo</t>
  </si>
  <si>
    <t>Airbus A320neo</t>
  </si>
  <si>
    <t>Airbus A321</t>
  </si>
  <si>
    <t>Airbus A320</t>
  </si>
  <si>
    <t>Airbus A220-300</t>
  </si>
  <si>
    <t>Airbus A220-100</t>
  </si>
  <si>
    <t>Boeing 787-9</t>
  </si>
  <si>
    <t>Boeing 777-300ER</t>
  </si>
  <si>
    <t>Boeing 747-8</t>
  </si>
  <si>
    <t>Boeing 747-400</t>
  </si>
  <si>
    <t>Boeing 737 MAX 9</t>
  </si>
  <si>
    <t>Boeing 737-900</t>
  </si>
  <si>
    <t>Boeing 737 MAX 8</t>
  </si>
  <si>
    <t>Boeing 737-800</t>
  </si>
  <si>
    <t>Cumulative CPI (%)</t>
  </si>
  <si>
    <t>Boeing 767-400ER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</si>
</sst>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0.0%"/>
  </numFmts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9" fontId="0" fillId="5" borderId="0" xfId="1" applyFont="1" applyFill="1" applyBorder="1" applyAlignment="1">
      <alignment horizontal="left" vertical="center"/>
    </xf>
    <xf numFmtId="9" fontId="0" fillId="5" borderId="7" xfId="1" applyFont="1" applyFill="1" applyBorder="1" applyAlignment="1">
      <alignment horizontal="left" vertical="center"/>
    </xf>
    <xf numFmtId="164" fontId="0" fillId="3" borderId="2" xfId="0" applyNumberFormat="1" applyFill="1" applyBorder="1" applyAlignment="1">
      <alignment horizontal="left" vertical="center"/>
    </xf>
    <xf numFmtId="164" fontId="0" fillId="3" borderId="7" xfId="0" applyNumberFormat="1" applyFill="1" applyBorder="1" applyAlignment="1">
      <alignment horizontal="left" vertical="center"/>
    </xf>
    <xf numFmtId="164" fontId="0" fillId="3" borderId="3" xfId="0" applyNumberFormat="1" applyFill="1" applyBorder="1" applyAlignment="1">
      <alignment horizontal="left" vertical="center"/>
    </xf>
    <xf numFmtId="164" fontId="0" fillId="3" borderId="5" xfId="0" applyNumberFormat="1" applyFill="1" applyBorder="1" applyAlignment="1">
      <alignment horizontal="left" vertical="center"/>
    </xf>
    <xf numFmtId="164" fontId="0" fillId="3" borderId="8" xfId="0" applyNumberFormat="1" applyFill="1" applyBorder="1" applyAlignment="1">
      <alignment horizontal="left" vertical="center"/>
    </xf>
    <xf numFmtId="164" fontId="0" fillId="3" borderId="0" xfId="0" applyNumberFormat="1" applyFill="1" applyAlignment="1">
      <alignment horizontal="left" vertical="center"/>
    </xf>
    <xf numFmtId="9" fontId="0" fillId="3" borderId="2" xfId="1" applyFont="1" applyFill="1" applyBorder="1" applyAlignment="1">
      <alignment horizontal="left" vertical="center"/>
    </xf>
    <xf numFmtId="9" fontId="0" fillId="3" borderId="0" xfId="1" applyFont="1" applyFill="1" applyBorder="1" applyAlignment="1">
      <alignment horizontal="left" vertical="center"/>
    </xf>
    <xf numFmtId="9" fontId="0" fillId="3" borderId="7" xfId="1" applyFont="1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164" fontId="0" fillId="5" borderId="2" xfId="0" applyNumberFormat="1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164" fontId="0" fillId="5" borderId="0" xfId="0" applyNumberForma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9" fontId="0" fillId="5" borderId="2" xfId="0" applyNumberFormat="1" applyFill="1" applyBorder="1" applyAlignment="1">
      <alignment horizontal="left" vertical="center"/>
    </xf>
    <xf numFmtId="9" fontId="0" fillId="5" borderId="0" xfId="0" applyNumberFormat="1" applyFill="1" applyAlignment="1">
      <alignment horizontal="left" vertical="center"/>
    </xf>
    <xf numFmtId="9" fontId="0" fillId="5" borderId="7" xfId="0" applyNumberFormat="1" applyFill="1" applyBorder="1" applyAlignment="1">
      <alignment horizontal="left" vertical="center"/>
    </xf>
    <xf numFmtId="164" fontId="0" fillId="5" borderId="7" xfId="0" applyNumberFormat="1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165" fontId="0" fillId="4" borderId="2" xfId="1" applyNumberFormat="1" applyFont="1" applyFill="1" applyBorder="1" applyAlignment="1">
      <alignment horizontal="left" vertical="center"/>
    </xf>
    <xf numFmtId="165" fontId="0" fillId="4" borderId="0" xfId="1" applyNumberFormat="1" applyFont="1" applyFill="1" applyBorder="1" applyAlignment="1">
      <alignment horizontal="left" vertical="center"/>
    </xf>
    <xf numFmtId="165" fontId="0" fillId="4" borderId="7" xfId="1" applyNumberFormat="1" applyFont="1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10" fontId="0" fillId="3" borderId="2" xfId="1" applyNumberFormat="1" applyFont="1" applyFill="1" applyBorder="1" applyAlignment="1">
      <alignment horizontal="left" vertical="center"/>
    </xf>
    <xf numFmtId="10" fontId="0" fillId="3" borderId="0" xfId="1" applyNumberFormat="1" applyFont="1" applyFill="1" applyBorder="1" applyAlignment="1">
      <alignment horizontal="left" vertical="center"/>
    </xf>
    <xf numFmtId="10" fontId="0" fillId="3" borderId="7" xfId="1" applyNumberFormat="1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10" fontId="0" fillId="5" borderId="2" xfId="0" applyNumberFormat="1" applyFill="1" applyBorder="1" applyAlignment="1">
      <alignment horizontal="left" vertical="center"/>
    </xf>
    <xf numFmtId="10" fontId="0" fillId="5" borderId="0" xfId="0" applyNumberFormat="1" applyFill="1" applyAlignment="1">
      <alignment horizontal="left" vertical="center"/>
    </xf>
    <xf numFmtId="10" fontId="0" fillId="5" borderId="7" xfId="0" applyNumberFormat="1" applyFill="1" applyBorder="1" applyAlignment="1">
      <alignment horizontal="left" vertical="center"/>
    </xf>
    <xf numFmtId="9" fontId="0" fillId="4" borderId="5" xfId="1" applyFont="1" applyFill="1" applyBorder="1" applyAlignment="1">
      <alignment horizontal="left" vertical="center"/>
    </xf>
    <xf numFmtId="9" fontId="0" fillId="4" borderId="8" xfId="1" applyFont="1" applyFill="1" applyBorder="1" applyAlignment="1">
      <alignment horizontal="left" vertical="center"/>
    </xf>
    <xf numFmtId="9" fontId="0" fillId="5" borderId="2" xfId="1" applyFont="1" applyFill="1" applyBorder="1" applyAlignment="1">
      <alignment horizontal="left" vertical="center"/>
    </xf>
    <xf numFmtId="9" fontId="0" fillId="4" borderId="0" xfId="1" applyFont="1" applyFill="1" applyBorder="1" applyAlignment="1">
      <alignment horizontal="left" vertical="center"/>
    </xf>
    <xf numFmtId="9" fontId="0" fillId="4" borderId="2" xfId="1" applyFont="1" applyFill="1" applyBorder="1" applyAlignment="1">
      <alignment horizontal="left" vertical="center"/>
    </xf>
    <xf numFmtId="9" fontId="0" fillId="4" borderId="3" xfId="1" applyFont="1" applyFill="1" applyBorder="1" applyAlignment="1">
      <alignment horizontal="left" vertical="center"/>
    </xf>
    <xf numFmtId="9" fontId="0" fillId="4" borderId="7" xfId="1" applyFont="1" applyFill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44">
    <dxf>
      <numFmt numFmtId="164" formatCode="[$$-409]#,##0"/>
      <fill>
        <patternFill patternType="solid">
          <fgColor indexed="64"/>
          <bgColor rgb="FF00B0F0"/>
        </patternFill>
      </fill>
      <alignment horizontal="left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fill>
        <patternFill patternType="solid">
          <fgColor indexed="64"/>
          <bgColor rgb="FF00B0F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fill>
        <patternFill patternType="solid">
          <fgColor indexed="64"/>
          <bgColor theme="9" tint="0.39997558519241921"/>
        </patternFill>
      </fill>
      <alignment horizontal="left" vertical="center" textRotation="0" wrapText="0" indent="0" justifyLastLine="0" shrinkToFit="0" readingOrder="0"/>
    </dxf>
    <dxf>
      <numFmt numFmtId="164" formatCode="[$$-409]#,##0"/>
      <fill>
        <patternFill patternType="solid">
          <fgColor indexed="64"/>
          <bgColor rgb="FF00B0F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rgb="FF00B0F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rgb="FF00B0F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  <alignment horizontal="left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numFmt numFmtId="164" formatCode="[$$-409]#,##0"/>
      <fill>
        <patternFill patternType="solid">
          <fgColor indexed="64"/>
          <bgColor rgb="FF00B0F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left" vertical="center" textRotation="0" wrapText="0" indent="0" justifyLastLine="0" shrinkToFit="0" readingOrder="0"/>
    </dxf>
    <dxf>
      <numFmt numFmtId="164" formatCode="[$$-409]#,##0"/>
      <fill>
        <patternFill patternType="solid">
          <fgColor indexed="64"/>
          <bgColor rgb="FF00B0F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00B0F0"/>
        </patternFill>
      </fill>
      <alignment horizontal="left" vertical="center" textRotation="0" wrapText="0" indent="0" justifyLastLine="0" shrinkToFit="0" readingOrder="0"/>
    </dxf>
    <dxf>
      <numFmt numFmtId="164" formatCode="[$$-409]#,##0"/>
      <fill>
        <patternFill patternType="solid">
          <fgColor indexed="64"/>
          <bgColor rgb="FF00B0F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rgb="FF00B0F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rgb="FF00B0F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numFmt numFmtId="164" formatCode="[$$-409]#,##0"/>
      <fill>
        <patternFill patternType="solid">
          <fgColor indexed="64"/>
          <bgColor rgb="FF00B0F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numFmt numFmtId="14" formatCode="0.00%"/>
      <fill>
        <patternFill patternType="solid">
          <fgColor indexed="64"/>
          <bgColor theme="9" tint="0.39997558519241921"/>
        </patternFill>
      </fill>
      <alignment horizontal="left" vertical="center" textRotation="0" wrapText="0" indent="0" justifyLastLine="0" shrinkToFit="0" readingOrder="0"/>
    </dxf>
    <dxf>
      <numFmt numFmtId="164" formatCode="[$$-409]#,##0"/>
      <fill>
        <patternFill patternType="solid">
          <fgColor indexed="64"/>
          <bgColor rgb="FF00B0F0"/>
        </patternFill>
      </fill>
      <alignment horizontal="left" vertical="center" textRotation="0" wrapText="0" indent="0" justifyLastLine="0" shrinkToFit="0" readingOrder="0"/>
    </dxf>
    <dxf>
      <numFmt numFmtId="13" formatCode="0%"/>
      <fill>
        <patternFill patternType="solid">
          <fgColor indexed="64"/>
          <bgColor theme="9" tint="0.39997558519241921"/>
        </patternFill>
      </fill>
      <alignment horizontal="left" vertical="center" textRotation="0" wrapText="0" indent="0" justifyLastLine="0" shrinkToFit="0" readingOrder="0"/>
    </dxf>
    <dxf>
      <numFmt numFmtId="164" formatCode="[$$-409]#,##0"/>
      <fill>
        <patternFill patternType="solid">
          <fgColor indexed="64"/>
          <bgColor rgb="FF00B0F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%"/>
      <fill>
        <patternFill patternType="solid">
          <fgColor indexed="64"/>
          <bgColor rgb="FFFFFF0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9" tint="0.39997558519241921"/>
        </patternFill>
      </fill>
      <alignment horizontal="left" vertical="center" textRotation="0" wrapText="0" indent="0" justifyLastLine="0" shrinkToFit="0" readingOrder="0"/>
    </dxf>
    <dxf>
      <numFmt numFmtId="164" formatCode="[$$-409]#,##0"/>
      <fill>
        <patternFill patternType="solid">
          <fgColor indexed="64"/>
          <bgColor theme="9" tint="0.39997558519241921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fill>
        <patternFill patternType="solid">
          <fgColor indexed="64"/>
          <bgColor rgb="FF00B0F0"/>
        </patternFill>
      </fill>
      <alignment horizontal="left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numFmt numFmtId="164" formatCode="[$$-409]#,##0"/>
      <fill>
        <patternFill patternType="solid">
          <fgColor indexed="64"/>
          <bgColor rgb="FF00B0F0"/>
        </patternFill>
      </fill>
      <alignment horizontal="left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64" formatCode="[$$-409]#,##0"/>
      <fill>
        <patternFill patternType="solid">
          <fgColor indexed="64"/>
          <bgColor rgb="FF00B0F0"/>
        </patternFill>
      </fill>
      <alignment horizontal="left" vertical="center" textRotation="0" wrapText="0" indent="0" justifyLastLine="0" shrinkToFit="0" readingOrder="0"/>
    </dxf>
    <dxf>
      <numFmt numFmtId="164" formatCode="[$$-409]#,##0"/>
      <fill>
        <patternFill patternType="solid">
          <fgColor indexed="64"/>
          <bgColor rgb="FF00B0F0"/>
        </patternFill>
      </fill>
      <alignment horizontal="left" vertical="center" textRotation="0" wrapText="0" indent="0" justifyLastLine="0" shrinkToFit="0" readingOrder="0"/>
    </dxf>
    <dxf>
      <numFmt numFmtId="164" formatCode="[$$-409]#,##0"/>
      <fill>
        <patternFill patternType="solid">
          <fgColor indexed="64"/>
          <bgColor rgb="FF00B0F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rgb="FF00B0F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9" tint="0.39997558519241921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  <alignment horizontal="left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ill>
        <patternFill patternType="solid">
          <fgColor indexed="64"/>
          <bgColor rgb="FF00B0F0"/>
        </patternFill>
      </fill>
      <alignment horizontal="left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3B6579-A31D-EA4D-968E-A9AB63A7303D}" name="Table2" displayName="Table2" ref="A1:H64" totalsRowShown="0" headerRowDxfId="43" dataDxfId="41" headerRowBorderDxfId="42">
  <autoFilter ref="A1:H64" xr:uid="{AB3B6579-A31D-EA4D-968E-A9AB63A7303D}"/>
  <sortState xmlns:xlrd2="http://schemas.microsoft.com/office/spreadsheetml/2017/richdata2" ref="A2:H64">
    <sortCondition ref="A1:A64"/>
  </sortState>
  <tableColumns count="8">
    <tableColumn id="1" xr3:uid="{1254C70D-E3F1-3A46-98E6-0D11868BA4C2}" name="Aircraft Type" dataDxfId="40"/>
    <tableColumn id="2" xr3:uid="{0AC7737D-68CD-8140-AF44-01C31719C160}" name="Age (Years)" dataDxfId="39"/>
    <tableColumn id="3" xr3:uid="{DE679147-2F28-D14D-AD12-01482CC892C4}" name="Last Production Year" dataDxfId="38"/>
    <tableColumn id="4" xr3:uid="{85583CE3-80E0-284E-B4EF-4511E4E2CB0A}" name="Adjusted Age (Years)" dataDxfId="37">
      <calculatedColumnFormula>IF(C2="In Production",B2,B2+(2023-C2))</calculatedColumnFormula>
    </tableColumn>
    <tableColumn id="5" xr3:uid="{C28B21D2-0662-0043-8257-CB0B4C490399}" name="Lease Rate (USD)" dataDxfId="36">
      <calculatedColumnFormula array="1">INDEX('Lease Rates'!$G$2:$G$64,MATCH(1,('Aircraft Economics (FC)'!A2='Lease Rates'!$A$2:$A$64)*('Aircraft Economics (FC)'!D2='Lease Rates'!$D$2:$D$64),0))</calculatedColumnFormula>
    </tableColumn>
    <tableColumn id="6" xr3:uid="{2676514E-BA39-1A4E-BBBB-AA371F689CBA}" name="Insurance Rate (USD)" dataDxfId="35">
      <calculatedColumnFormula array="1">INDEX('Insurance Rates'!$I$2:$I$64,MATCH(1,('Aircraft Economics (FC)'!A2='Insurance Rates'!$A$2:$A$64)*('Aircraft Economics (FC)'!D2='Insurance Rates'!$D$2:$D$64),0))</calculatedColumnFormula>
    </tableColumn>
    <tableColumn id="7" xr3:uid="{0DED702F-A13F-2F47-921E-E780458B92EB}" name="Maintenance Costs (USD)" dataDxfId="34">
      <calculatedColumnFormula array="1">INDEX('Maintenance Costs'!$H$2:$H$64,MATCH(1,('Aircraft Economics (FC)'!A2='Maintenance Costs'!$A$2:$A$64)*('Aircraft Economics (FC)'!D2='Maintenance Costs'!$D$2:$D$64),0))</calculatedColumnFormula>
    </tableColumn>
    <tableColumn id="8" xr3:uid="{390BC21F-C1EE-C546-976A-B8C0DF7C42D6}" name="Fixed Costs (USD)" dataDxfId="33">
      <calculatedColumnFormula>SUM(E2:G2)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A9347B-88FF-E741-AA7F-0DEAC387B6E6}" name="Table1" displayName="Table1" ref="A1:I22" totalsRowShown="0" headerRowDxfId="32" dataDxfId="30" headerRowBorderDxfId="31">
  <autoFilter ref="A1:I22" xr:uid="{53A9347B-88FF-E741-AA7F-0DEAC387B6E6}"/>
  <sortState xmlns:xlrd2="http://schemas.microsoft.com/office/spreadsheetml/2017/richdata2" ref="A2:I22">
    <sortCondition ref="A1:A22"/>
  </sortState>
  <tableColumns count="9">
    <tableColumn id="1" xr3:uid="{0F6F3CB8-F783-354B-8F67-39185928EB39}" name="Aircraft Type" dataDxfId="29"/>
    <tableColumn id="2" xr3:uid="{68E48E14-CB7B-6745-863A-BC6DCC73A62C}" name="List Price" dataDxfId="28"/>
    <tableColumn id="3" xr3:uid="{F63FF360-4AD9-AF43-A84A-E7BEBD4247AE}" name="List Price (Year)" dataDxfId="27"/>
    <tableColumn id="4" xr3:uid="{6A7C9426-3791-C843-A9FC-044FCB4F61AF}" name="Cumulative CPI (%)" dataDxfId="26" dataCellStyle="Percent"/>
    <tableColumn id="5" xr3:uid="{7B8917C3-8921-C341-B44F-D39FEEB28F73}" name="Adjusted List Price (2023)" dataDxfId="25">
      <calculatedColumnFormula>(Table1[[#This Row],[List Price]])+(Table1[[#This Row],[List Price]]*Table1[[#This Row],[Cumulative CPI (%)]])</calculatedColumnFormula>
    </tableColumn>
    <tableColumn id="6" xr3:uid="{31E2AEDC-3B3E-F14F-ADCF-793387440665}" name="Discount (%)" dataDxfId="24"/>
    <tableColumn id="7" xr3:uid="{8DC79E68-3F7A-B242-8955-FF56B5350636}" name="Purchase Price (New)" dataDxfId="23">
      <calculatedColumnFormula>(E2)*(F2)</calculatedColumnFormula>
    </tableColumn>
    <tableColumn id="8" xr3:uid="{AF943C4D-695A-E346-B0E9-458E29870C46}" name="Lease Rate (% Purchase)" dataDxfId="22"/>
    <tableColumn id="9" xr3:uid="{C0AD4C7A-ABE0-E842-BBE0-0CCB399B6914}" name="Base Lease Rate (USD)" dataDxfId="21">
      <calculatedColumnFormula>(G2*H2)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3295EB-7268-7E41-A617-C3936CE01192}" name="Table3" displayName="Table3" ref="A1:I64" totalsRowShown="0" headerRowDxfId="20" headerRowBorderDxfId="19">
  <autoFilter ref="A1:I64" xr:uid="{BB3295EB-7268-7E41-A617-C3936CE01192}"/>
  <tableColumns count="9">
    <tableColumn id="1" xr3:uid="{C139DCDB-11BF-364F-B592-2B36FC521DA4}" name="Aircraft Type" dataDxfId="18"/>
    <tableColumn id="2" xr3:uid="{7128E283-7876-204E-91EA-984E99884027}" name="Age (Years)" dataDxfId="17"/>
    <tableColumn id="3" xr3:uid="{02DF11EF-65DA-804E-A4E4-CB9611616E62}" name="Last Production Year" dataDxfId="16">
      <calculatedColumnFormula>_xlfn.XLOOKUP(A2,'Aircraft Economics (FC)'!$A$2:$A$64,'Aircraft Economics (FC)'!$C$2:$C$64)</calculatedColumnFormula>
    </tableColumn>
    <tableColumn id="4" xr3:uid="{2594A95F-E161-B34F-998C-C20F66CA29DA}" name="Adjusted Age (Years)" dataDxfId="15">
      <calculatedColumnFormula>IF(C2="In Production",B2,B2+(2023-C2))</calculatedColumnFormula>
    </tableColumn>
    <tableColumn id="5" xr3:uid="{5C29F08C-5BD2-C149-AB17-74C5C3DCD418}" name="Purchase Price (New)" dataDxfId="14">
      <calculatedColumnFormula>_xlfn.XLOOKUP(A2,'Adjusted List Prices'!$A$2:$A$22,'Adjusted List Prices'!$G$2:$G$22)</calculatedColumnFormula>
    </tableColumn>
    <tableColumn id="6" xr3:uid="{A48EEF82-B95F-5E4E-B8EB-1F8049B6436C}" name="Base - Depreciation (%)" dataDxfId="13" dataCellStyle="Percent">
      <calculatedColumnFormula>_xlfn.XLOOKUP(D2,'Rates &amp; Costs (T-Intervals)'!$A$2:$A$32,'Rates &amp; Costs (T-Intervals)'!$B$2:$B$32)</calculatedColumnFormula>
    </tableColumn>
    <tableColumn id="7" xr3:uid="{E3A78B97-52BF-CA43-8D28-6BC201F2B92E}" name="Hull Value" dataDxfId="12">
      <calculatedColumnFormula>(E2*F2)</calculatedColumnFormula>
    </tableColumn>
    <tableColumn id="8" xr3:uid="{E143472C-A0CF-2F47-AD86-340F573F9FF7}" name="Base Insurance Rate (%)" dataDxfId="11" dataCellStyle="Percent"/>
    <tableColumn id="9" xr3:uid="{34B939DB-BB56-4941-AB8F-9B911BAC4957}" name="Insurance Rate (USD)" dataDxfId="10">
      <calculatedColumnFormula>(G2*H2)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6B6C3FC-3D16-4048-A3DB-C32AA8DE4868}" name="Table4" displayName="Table4" ref="A1:H64" totalsRowShown="0" headerRowDxfId="9" headerRowBorderDxfId="8">
  <autoFilter ref="A1:H64" xr:uid="{E6B6C3FC-3D16-4048-A3DB-C32AA8DE4868}"/>
  <tableColumns count="8">
    <tableColumn id="1" xr3:uid="{EF055111-DC27-DB4A-A003-DB63290078B0}" name="Aircraft Type" dataDxfId="7"/>
    <tableColumn id="2" xr3:uid="{4D88E320-7389-4B42-A905-184A8B41A91C}" name="Age (Years)" dataDxfId="6"/>
    <tableColumn id="3" xr3:uid="{A4C0CF31-0431-1B43-AF68-1DEDC6FC2EB0}" name="Last Production Year" dataDxfId="5">
      <calculatedColumnFormula>_xlfn.XLOOKUP(A2,'Aircraft Economics (FC)'!$A$2:$A$64,'Aircraft Economics (FC)'!$C$2:$C$64)</calculatedColumnFormula>
    </tableColumn>
    <tableColumn id="4" xr3:uid="{0D2A530F-3EAA-534F-8FB8-520CE9964673}" name="Adjusted Age (Years)" dataDxfId="4">
      <calculatedColumnFormula>IF(C2="In Production",B2,B2+(2023-C2))</calculatedColumnFormula>
    </tableColumn>
    <tableColumn id="5" xr3:uid="{E1F76CFE-A104-FF47-B2E7-EB73BA7E056F}" name="Purchase Price (New)" dataDxfId="3">
      <calculatedColumnFormula>_xlfn.XLOOKUP(A2,'Adjusted List Prices'!$A$2:$A$22,'Adjusted List Prices'!$G$2:$G$22)</calculatedColumnFormula>
    </tableColumn>
    <tableColumn id="6" xr3:uid="{EED8A6D3-98D7-ED45-BE94-FD9455A72222}" name="Base Maintenance Costs (%)" dataDxfId="2" dataCellStyle="Percent"/>
    <tableColumn id="7" xr3:uid="{E5D39792-42A8-8B42-A758-63FB33E5E7B6}" name="Adjusted Maintenance Costs (%)" dataDxfId="1" dataCellStyle="Percent">
      <calculatedColumnFormula>_xlfn.XLOOKUP(D2,'Rates &amp; Costs (T-Intervals)'!$A$2:$A$32,'Rates &amp; Costs (T-Intervals)'!$D$2:$D$32)*(F2)</calculatedColumnFormula>
    </tableColumn>
    <tableColumn id="8" xr3:uid="{E187A412-2DEF-F045-9625-D44A057E6001}" name="Maintenance Costs (USD)" dataDxfId="0">
      <calculatedColumnFormula>(E2*G2)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FB55D-9B31-8347-90FB-E3CD83889B4F}">
  <dimension ref="A1:H64"/>
  <sheetViews>
    <sheetView tabSelected="1" workbookViewId="0">
      <selection activeCell="J58" sqref="J58"/>
    </sheetView>
  </sheetViews>
  <sheetFormatPr baseColWidth="10" defaultColWidth="25.83203125" defaultRowHeight="20" customHeight="1" x14ac:dyDescent="0.2"/>
  <cols>
    <col min="1" max="16384" width="25.83203125" style="1"/>
  </cols>
  <sheetData>
    <row r="1" spans="1:8" ht="20" customHeight="1" thickBot="1" x14ac:dyDescent="0.25">
      <c r="A1" s="2" t="s">
        <v>0</v>
      </c>
      <c r="B1" s="3" t="s">
        <v>8</v>
      </c>
      <c r="C1" s="3" t="s">
        <v>1</v>
      </c>
      <c r="D1" s="3" t="s">
        <v>10</v>
      </c>
      <c r="E1" s="3" t="s">
        <v>7</v>
      </c>
      <c r="F1" s="3" t="s">
        <v>20</v>
      </c>
      <c r="G1" s="3" t="s">
        <v>18</v>
      </c>
      <c r="H1" s="4" t="s">
        <v>26</v>
      </c>
    </row>
    <row r="2" spans="1:8" ht="20" customHeight="1" x14ac:dyDescent="0.2">
      <c r="A2" s="39" t="s">
        <v>38</v>
      </c>
      <c r="B2" s="21">
        <v>0</v>
      </c>
      <c r="C2" s="23" t="s">
        <v>11</v>
      </c>
      <c r="D2" s="5">
        <f t="shared" ref="D2:D33" si="0">IF(C2="In Production",B2,B2+(2023-C2))</f>
        <v>0</v>
      </c>
      <c r="E2" s="11" cm="1">
        <f t="array" ref="E2">INDEX('Lease Rates'!$G$2:$G$64,MATCH(1,('Aircraft Economics (FC)'!A2='Lease Rates'!$A$2:$A$64)*('Aircraft Economics (FC)'!D2='Lease Rates'!$D$2:$D$64),0))</f>
        <v>2460375</v>
      </c>
      <c r="F2" s="11" cm="1">
        <f t="array" ref="F2">INDEX('Insurance Rates'!$I$2:$I$64,MATCH(1,('Aircraft Economics (FC)'!A2='Insurance Rates'!$A$2:$A$64)*('Aircraft Economics (FC)'!D2='Insurance Rates'!$D$2:$D$64),0))</f>
        <v>492075</v>
      </c>
      <c r="G2" s="11" cm="1">
        <f t="array" ref="G2">INDEX('Maintenance Costs'!$H$2:$H$64,MATCH(1,('Aircraft Economics (FC)'!A2='Maintenance Costs'!$A$2:$A$64)*('Aircraft Economics (FC)'!D2='Maintenance Costs'!$D$2:$D$64),0))</f>
        <v>492075</v>
      </c>
      <c r="H2" s="13">
        <f t="shared" ref="H2:H33" si="1">SUM(E2:G2)</f>
        <v>3444525</v>
      </c>
    </row>
    <row r="3" spans="1:8" ht="20" customHeight="1" x14ac:dyDescent="0.2">
      <c r="A3" s="7" t="s">
        <v>38</v>
      </c>
      <c r="B3" s="35">
        <v>5</v>
      </c>
      <c r="C3" s="25" t="s">
        <v>11</v>
      </c>
      <c r="D3" s="34">
        <f t="shared" si="0"/>
        <v>5</v>
      </c>
      <c r="E3" s="16" cm="1">
        <f t="array" ref="E3">INDEX('Lease Rates'!$G$2:$G$64,MATCH(1,('Aircraft Economics (FC)'!A3='Lease Rates'!$A$2:$A$64)*('Aircraft Economics (FC)'!D3='Lease Rates'!$D$2:$D$64),0))</f>
        <v>2091318.7499999998</v>
      </c>
      <c r="F3" s="16" cm="1">
        <f t="array" ref="F3">INDEX('Insurance Rates'!$I$2:$I$64,MATCH(1,('Aircraft Economics (FC)'!A3='Insurance Rates'!$A$2:$A$64)*('Aircraft Economics (FC)'!D3='Insurance Rates'!$D$2:$D$64),0))</f>
        <v>418263.74999999994</v>
      </c>
      <c r="G3" s="16" cm="1">
        <f t="array" ref="G3">INDEX('Maintenance Costs'!$H$2:$H$64,MATCH(1,('Aircraft Economics (FC)'!A3='Maintenance Costs'!$A$2:$A$64)*('Aircraft Economics (FC)'!D3='Maintenance Costs'!$D$2:$D$64),0))</f>
        <v>1106796.8382847225</v>
      </c>
      <c r="H3" s="14">
        <f t="shared" si="1"/>
        <v>3616379.3382847221</v>
      </c>
    </row>
    <row r="4" spans="1:8" ht="20" customHeight="1" x14ac:dyDescent="0.2">
      <c r="A4" s="7" t="s">
        <v>38</v>
      </c>
      <c r="B4" s="35">
        <v>10</v>
      </c>
      <c r="C4" s="25" t="s">
        <v>11</v>
      </c>
      <c r="D4" s="34">
        <f t="shared" si="0"/>
        <v>10</v>
      </c>
      <c r="E4" s="16" cm="1">
        <f t="array" ref="E4">INDEX('Lease Rates'!$G$2:$G$64,MATCH(1,('Aircraft Economics (FC)'!A4='Lease Rates'!$A$2:$A$64)*('Aircraft Economics (FC)'!D4='Lease Rates'!$D$2:$D$64),0))</f>
        <v>1722262.4999999993</v>
      </c>
      <c r="F4" s="16" cm="1">
        <f t="array" ref="F4">INDEX('Insurance Rates'!$I$2:$I$64,MATCH(1,('Aircraft Economics (FC)'!A4='Insurance Rates'!$A$2:$A$64)*('Aircraft Economics (FC)'!D4='Insurance Rates'!$D$2:$D$64),0))</f>
        <v>344452.49999999988</v>
      </c>
      <c r="G4" s="16" cm="1">
        <f t="array" ref="G4">INDEX('Maintenance Costs'!$H$2:$H$64,MATCH(1,('Aircraft Economics (FC)'!A4='Maintenance Costs'!$A$2:$A$64)*('Aircraft Economics (FC)'!D4='Maintenance Costs'!$D$2:$D$64),0))</f>
        <v>1493607.9988460785</v>
      </c>
      <c r="H4" s="14">
        <f t="shared" si="1"/>
        <v>3560322.9988460774</v>
      </c>
    </row>
    <row r="5" spans="1:8" ht="20" customHeight="1" x14ac:dyDescent="0.2">
      <c r="A5" s="7" t="s">
        <v>37</v>
      </c>
      <c r="B5" s="35">
        <v>0</v>
      </c>
      <c r="C5" s="25" t="s">
        <v>11</v>
      </c>
      <c r="D5" s="34">
        <f t="shared" si="0"/>
        <v>0</v>
      </c>
      <c r="E5" s="16" cm="1">
        <f t="array" ref="E5">INDEX('Lease Rates'!$G$2:$G$64,MATCH(1,('Aircraft Economics (FC)'!A5='Lease Rates'!$A$2:$A$64)*('Aircraft Economics (FC)'!D5='Lease Rates'!$D$2:$D$64),0))</f>
        <v>2779312.5</v>
      </c>
      <c r="F5" s="16" cm="1">
        <f t="array" ref="F5">INDEX('Insurance Rates'!$I$2:$I$64,MATCH(1,('Aircraft Economics (FC)'!A5='Insurance Rates'!$A$2:$A$64)*('Aircraft Economics (FC)'!D5='Insurance Rates'!$D$2:$D$64),0))</f>
        <v>555862.5</v>
      </c>
      <c r="G5" s="16" cm="1">
        <f t="array" ref="G5">INDEX('Maintenance Costs'!$H$2:$H$64,MATCH(1,('Aircraft Economics (FC)'!A5='Maintenance Costs'!$A$2:$A$64)*('Aircraft Economics (FC)'!D5='Maintenance Costs'!$D$2:$D$64),0))</f>
        <v>555862.5</v>
      </c>
      <c r="H5" s="14">
        <f t="shared" si="1"/>
        <v>3891037.5</v>
      </c>
    </row>
    <row r="6" spans="1:8" ht="20" customHeight="1" x14ac:dyDescent="0.2">
      <c r="A6" s="7" t="s">
        <v>37</v>
      </c>
      <c r="B6" s="35">
        <v>5</v>
      </c>
      <c r="C6" s="25" t="s">
        <v>11</v>
      </c>
      <c r="D6" s="34">
        <f t="shared" si="0"/>
        <v>5</v>
      </c>
      <c r="E6" s="16" cm="1">
        <f t="array" ref="E6">INDEX('Lease Rates'!$G$2:$G$64,MATCH(1,('Aircraft Economics (FC)'!A6='Lease Rates'!$A$2:$A$64)*('Aircraft Economics (FC)'!D6='Lease Rates'!$D$2:$D$64),0))</f>
        <v>2362415.6249999995</v>
      </c>
      <c r="F6" s="16" cm="1">
        <f t="array" ref="F6">INDEX('Insurance Rates'!$I$2:$I$64,MATCH(1,('Aircraft Economics (FC)'!A6='Insurance Rates'!$A$2:$A$64)*('Aircraft Economics (FC)'!D6='Insurance Rates'!$D$2:$D$64),0))</f>
        <v>472483.12499999994</v>
      </c>
      <c r="G6" s="16" cm="1">
        <f t="array" ref="G6">INDEX('Maintenance Costs'!$H$2:$H$64,MATCH(1,('Aircraft Economics (FC)'!A6='Maintenance Costs'!$A$2:$A$64)*('Aircraft Economics (FC)'!D6='Maintenance Costs'!$D$2:$D$64),0))</f>
        <v>1250270.5025068161</v>
      </c>
      <c r="H6" s="14">
        <f t="shared" si="1"/>
        <v>4085169.2525068158</v>
      </c>
    </row>
    <row r="7" spans="1:8" ht="20" customHeight="1" x14ac:dyDescent="0.2">
      <c r="A7" s="7" t="s">
        <v>37</v>
      </c>
      <c r="B7" s="35">
        <v>10</v>
      </c>
      <c r="C7" s="25" t="s">
        <v>11</v>
      </c>
      <c r="D7" s="34">
        <f t="shared" si="0"/>
        <v>10</v>
      </c>
      <c r="E7" s="16" cm="1">
        <f t="array" ref="E7">INDEX('Lease Rates'!$G$2:$G$64,MATCH(1,('Aircraft Economics (FC)'!A7='Lease Rates'!$A$2:$A$64)*('Aircraft Economics (FC)'!D7='Lease Rates'!$D$2:$D$64),0))</f>
        <v>1945518.7499999993</v>
      </c>
      <c r="F7" s="16" cm="1">
        <f t="array" ref="F7">INDEX('Insurance Rates'!$I$2:$I$64,MATCH(1,('Aircraft Economics (FC)'!A7='Insurance Rates'!$A$2:$A$64)*('Aircraft Economics (FC)'!D7='Insurance Rates'!$D$2:$D$64),0))</f>
        <v>389103.74999999988</v>
      </c>
      <c r="G7" s="16" cm="1">
        <f t="array" ref="G7">INDEX('Maintenance Costs'!$H$2:$H$64,MATCH(1,('Aircraft Economics (FC)'!A7='Maintenance Costs'!$A$2:$A$64)*('Aircraft Economics (FC)'!D7='Maintenance Costs'!$D$2:$D$64),0))</f>
        <v>1687223.8505483479</v>
      </c>
      <c r="H7" s="14">
        <f t="shared" si="1"/>
        <v>4021846.350548347</v>
      </c>
    </row>
    <row r="8" spans="1:8" ht="20" customHeight="1" x14ac:dyDescent="0.2">
      <c r="A8" s="7" t="s">
        <v>36</v>
      </c>
      <c r="B8" s="35">
        <v>0</v>
      </c>
      <c r="C8" s="25">
        <v>2021</v>
      </c>
      <c r="D8" s="34">
        <f t="shared" si="0"/>
        <v>2</v>
      </c>
      <c r="E8" s="16" cm="1">
        <f t="array" ref="E8">INDEX('Lease Rates'!$G$2:$G$64,MATCH(1,('Aircraft Economics (FC)'!A8='Lease Rates'!$A$2:$A$64)*('Aircraft Economics (FC)'!D8='Lease Rates'!$D$2:$D$64),0))</f>
        <v>2883802.5</v>
      </c>
      <c r="F8" s="16" cm="1">
        <f t="array" ref="F8">INDEX('Insurance Rates'!$I$2:$I$64,MATCH(1,('Aircraft Economics (FC)'!A8='Insurance Rates'!$A$2:$A$64)*('Aircraft Economics (FC)'!D8='Insurance Rates'!$D$2:$D$64),0))</f>
        <v>576760.5</v>
      </c>
      <c r="G8" s="16" cm="1">
        <f t="array" ref="G8">INDEX('Maintenance Costs'!$H$2:$H$64,MATCH(1,('Aircraft Economics (FC)'!A8='Maintenance Costs'!$A$2:$A$64)*('Aircraft Economics (FC)'!D8='Maintenance Costs'!$D$2:$D$64),0))</f>
        <v>848559.49919999985</v>
      </c>
      <c r="H8" s="14">
        <f t="shared" si="1"/>
        <v>4309122.4991999995</v>
      </c>
    </row>
    <row r="9" spans="1:8" ht="20" customHeight="1" x14ac:dyDescent="0.2">
      <c r="A9" s="7" t="s">
        <v>36</v>
      </c>
      <c r="B9" s="35">
        <v>5</v>
      </c>
      <c r="C9" s="25">
        <v>2021</v>
      </c>
      <c r="D9" s="34">
        <f t="shared" si="0"/>
        <v>7</v>
      </c>
      <c r="E9" s="16" cm="1">
        <f t="array" ref="E9">INDEX('Lease Rates'!$G$2:$G$64,MATCH(1,('Aircraft Economics (FC)'!A9='Lease Rates'!$A$2:$A$64)*('Aircraft Economics (FC)'!D9='Lease Rates'!$D$2:$D$64),0))</f>
        <v>2423621.2499999995</v>
      </c>
      <c r="F9" s="16" cm="1">
        <f t="array" ref="F9">INDEX('Insurance Rates'!$I$2:$I$64,MATCH(1,('Aircraft Economics (FC)'!A9='Insurance Rates'!$A$2:$A$64)*('Aircraft Economics (FC)'!D9='Insurance Rates'!$D$2:$D$64),0))</f>
        <v>484724.24999999988</v>
      </c>
      <c r="G9" s="16" cm="1">
        <f t="array" ref="G9">INDEX('Maintenance Costs'!$H$2:$H$64,MATCH(1,('Aircraft Economics (FC)'!A9='Maintenance Costs'!$A$2:$A$64)*('Aircraft Economics (FC)'!D9='Maintenance Costs'!$D$2:$D$64),0))</f>
        <v>1679778.1828191343</v>
      </c>
      <c r="H9" s="14">
        <f t="shared" si="1"/>
        <v>4588123.6828191336</v>
      </c>
    </row>
    <row r="10" spans="1:8" ht="20" customHeight="1" x14ac:dyDescent="0.2">
      <c r="A10" s="7" t="s">
        <v>36</v>
      </c>
      <c r="B10" s="35">
        <v>10</v>
      </c>
      <c r="C10" s="25">
        <v>2021</v>
      </c>
      <c r="D10" s="34">
        <f t="shared" si="0"/>
        <v>12</v>
      </c>
      <c r="E10" s="16" cm="1">
        <f t="array" ref="E10">INDEX('Lease Rates'!$G$2:$G$64,MATCH(1,('Aircraft Economics (FC)'!A10='Lease Rates'!$A$2:$A$64)*('Aircraft Economics (FC)'!D10='Lease Rates'!$D$2:$D$64),0))</f>
        <v>1963439.9999999991</v>
      </c>
      <c r="F10" s="16" cm="1">
        <f t="array" ref="F10">INDEX('Insurance Rates'!$I$2:$I$64,MATCH(1,('Aircraft Economics (FC)'!A10='Insurance Rates'!$A$2:$A$64)*('Aircraft Economics (FC)'!D10='Insurance Rates'!$D$2:$D$64),0))</f>
        <v>392687.99999999977</v>
      </c>
      <c r="G10" s="16" cm="1">
        <f t="array" ref="G10">INDEX('Maintenance Costs'!$H$2:$H$64,MATCH(1,('Aircraft Economics (FC)'!A10='Maintenance Costs'!$A$2:$A$64)*('Aircraft Economics (FC)'!D10='Maintenance Costs'!$D$2:$D$64),0))</f>
        <v>1995049.5442586779</v>
      </c>
      <c r="H10" s="14">
        <f t="shared" si="1"/>
        <v>4351177.5442586765</v>
      </c>
    </row>
    <row r="11" spans="1:8" ht="20" customHeight="1" x14ac:dyDescent="0.2">
      <c r="A11" s="7" t="s">
        <v>34</v>
      </c>
      <c r="B11" s="35">
        <v>0</v>
      </c>
      <c r="C11" s="25" t="s">
        <v>11</v>
      </c>
      <c r="D11" s="34">
        <f t="shared" si="0"/>
        <v>0</v>
      </c>
      <c r="E11" s="16" cm="1">
        <f t="array" ref="E11">INDEX('Lease Rates'!$G$2:$G$64,MATCH(1,('Aircraft Economics (FC)'!A11='Lease Rates'!$A$2:$A$64)*('Aircraft Economics (FC)'!D11='Lease Rates'!$D$2:$D$64),0))</f>
        <v>3359475</v>
      </c>
      <c r="F11" s="16" cm="1">
        <f t="array" ref="F11">INDEX('Insurance Rates'!$I$2:$I$64,MATCH(1,('Aircraft Economics (FC)'!A11='Insurance Rates'!$A$2:$A$64)*('Aircraft Economics (FC)'!D11='Insurance Rates'!$D$2:$D$64),0))</f>
        <v>671895</v>
      </c>
      <c r="G11" s="16" cm="1">
        <f t="array" ref="G11">INDEX('Maintenance Costs'!$H$2:$H$64,MATCH(1,('Aircraft Economics (FC)'!A11='Maintenance Costs'!$A$2:$A$64)*('Aircraft Economics (FC)'!D11='Maintenance Costs'!$D$2:$D$64),0))</f>
        <v>671895</v>
      </c>
      <c r="H11" s="14">
        <f t="shared" si="1"/>
        <v>4703265</v>
      </c>
    </row>
    <row r="12" spans="1:8" ht="20" customHeight="1" x14ac:dyDescent="0.2">
      <c r="A12" s="7" t="s">
        <v>34</v>
      </c>
      <c r="B12" s="35">
        <v>5</v>
      </c>
      <c r="C12" s="25" t="s">
        <v>11</v>
      </c>
      <c r="D12" s="34">
        <f t="shared" si="0"/>
        <v>5</v>
      </c>
      <c r="E12" s="16" cm="1">
        <f t="array" ref="E12">INDEX('Lease Rates'!$G$2:$G$64,MATCH(1,('Aircraft Economics (FC)'!A12='Lease Rates'!$A$2:$A$64)*('Aircraft Economics (FC)'!D12='Lease Rates'!$D$2:$D$64),0))</f>
        <v>2855553.7499999995</v>
      </c>
      <c r="F12" s="16" cm="1">
        <f t="array" ref="F12">INDEX('Insurance Rates'!$I$2:$I$64,MATCH(1,('Aircraft Economics (FC)'!A12='Insurance Rates'!$A$2:$A$64)*('Aircraft Economics (FC)'!D12='Insurance Rates'!$D$2:$D$64),0))</f>
        <v>571110.74999999988</v>
      </c>
      <c r="G12" s="16" cm="1">
        <f t="array" ref="G12">INDEX('Maintenance Costs'!$H$2:$H$64,MATCH(1,('Aircraft Economics (FC)'!A12='Maintenance Costs'!$A$2:$A$64)*('Aircraft Economics (FC)'!D12='Maintenance Costs'!$D$2:$D$64),0))</f>
        <v>1511255.9298060532</v>
      </c>
      <c r="H12" s="14">
        <f t="shared" si="1"/>
        <v>4937920.4298060527</v>
      </c>
    </row>
    <row r="13" spans="1:8" ht="20" customHeight="1" x14ac:dyDescent="0.2">
      <c r="A13" s="7" t="s">
        <v>34</v>
      </c>
      <c r="B13" s="35">
        <v>10</v>
      </c>
      <c r="C13" s="25" t="s">
        <v>11</v>
      </c>
      <c r="D13" s="34">
        <f t="shared" si="0"/>
        <v>10</v>
      </c>
      <c r="E13" s="16" cm="1">
        <f t="array" ref="E13">INDEX('Lease Rates'!$G$2:$G$64,MATCH(1,('Aircraft Economics (FC)'!A13='Lease Rates'!$A$2:$A$64)*('Aircraft Economics (FC)'!D13='Lease Rates'!$D$2:$D$64),0))</f>
        <v>2351632.4999999991</v>
      </c>
      <c r="F13" s="16" cm="1">
        <f t="array" ref="F13">INDEX('Insurance Rates'!$I$2:$I$64,MATCH(1,('Aircraft Economics (FC)'!A13='Insurance Rates'!$A$2:$A$64)*('Aircraft Economics (FC)'!D13='Insurance Rates'!$D$2:$D$64),0))</f>
        <v>470326.49999999988</v>
      </c>
      <c r="G13" s="16" cm="1">
        <f t="array" ref="G13">INDEX('Maintenance Costs'!$H$2:$H$64,MATCH(1,('Aircraft Economics (FC)'!A13='Maintenance Costs'!$A$2:$A$64)*('Aircraft Economics (FC)'!D13='Maintenance Costs'!$D$2:$D$64),0))</f>
        <v>2039420.3045972381</v>
      </c>
      <c r="H13" s="14">
        <f t="shared" si="1"/>
        <v>4861379.3045972371</v>
      </c>
    </row>
    <row r="14" spans="1:8" ht="20" customHeight="1" x14ac:dyDescent="0.2">
      <c r="A14" s="7" t="s">
        <v>35</v>
      </c>
      <c r="B14" s="35">
        <v>0</v>
      </c>
      <c r="C14" s="25">
        <v>2021</v>
      </c>
      <c r="D14" s="34">
        <f t="shared" si="0"/>
        <v>2</v>
      </c>
      <c r="E14" s="16" cm="1">
        <f t="array" ref="E14">INDEX('Lease Rates'!$G$2:$G$64,MATCH(1,('Aircraft Economics (FC)'!A14='Lease Rates'!$A$2:$A$64)*('Aircraft Economics (FC)'!D14='Lease Rates'!$D$2:$D$64),0))</f>
        <v>3377760.75</v>
      </c>
      <c r="F14" s="16" cm="1">
        <f t="array" ref="F14">INDEX('Insurance Rates'!$I$2:$I$64,MATCH(1,('Aircraft Economics (FC)'!A14='Insurance Rates'!$A$2:$A$64)*('Aircraft Economics (FC)'!D14='Insurance Rates'!$D$2:$D$64),0))</f>
        <v>675552.15</v>
      </c>
      <c r="G14" s="16" cm="1">
        <f t="array" ref="G14">INDEX('Maintenance Costs'!$H$2:$H$64,MATCH(1,('Aircraft Economics (FC)'!A14='Maintenance Costs'!$A$2:$A$64)*('Aircraft Economics (FC)'!D14='Maintenance Costs'!$D$2:$D$64),0))</f>
        <v>993906.81935999985</v>
      </c>
      <c r="H14" s="14">
        <f t="shared" si="1"/>
        <v>5047219.7193599995</v>
      </c>
    </row>
    <row r="15" spans="1:8" ht="20" customHeight="1" x14ac:dyDescent="0.2">
      <c r="A15" s="7" t="s">
        <v>35</v>
      </c>
      <c r="B15" s="35">
        <v>5</v>
      </c>
      <c r="C15" s="25">
        <v>2021</v>
      </c>
      <c r="D15" s="34">
        <f t="shared" si="0"/>
        <v>7</v>
      </c>
      <c r="E15" s="16" cm="1">
        <f t="array" ref="E15">INDEX('Lease Rates'!$G$2:$G$64,MATCH(1,('Aircraft Economics (FC)'!A15='Lease Rates'!$A$2:$A$64)*('Aircraft Economics (FC)'!D15='Lease Rates'!$D$2:$D$64),0))</f>
        <v>2838756.3749999995</v>
      </c>
      <c r="F15" s="16" cm="1">
        <f t="array" ref="F15">INDEX('Insurance Rates'!$I$2:$I$64,MATCH(1,('Aircraft Economics (FC)'!A15='Insurance Rates'!$A$2:$A$64)*('Aircraft Economics (FC)'!D15='Insurance Rates'!$D$2:$D$64),0))</f>
        <v>567751.27499999991</v>
      </c>
      <c r="G15" s="16" cm="1">
        <f t="array" ref="G15">INDEX('Maintenance Costs'!$H$2:$H$64,MATCH(1,('Aircraft Economics (FC)'!A15='Maintenance Costs'!$A$2:$A$64)*('Aircraft Economics (FC)'!D15='Maintenance Costs'!$D$2:$D$64),0))</f>
        <v>1967502.5646287485</v>
      </c>
      <c r="H15" s="14">
        <f t="shared" si="1"/>
        <v>5374010.2146287477</v>
      </c>
    </row>
    <row r="16" spans="1:8" ht="20" customHeight="1" x14ac:dyDescent="0.2">
      <c r="A16" s="7" t="s">
        <v>35</v>
      </c>
      <c r="B16" s="35">
        <v>10</v>
      </c>
      <c r="C16" s="25">
        <v>2021</v>
      </c>
      <c r="D16" s="34">
        <f t="shared" si="0"/>
        <v>12</v>
      </c>
      <c r="E16" s="16" cm="1">
        <f t="array" ref="E16">INDEX('Lease Rates'!$G$2:$G$64,MATCH(1,('Aircraft Economics (FC)'!A16='Lease Rates'!$A$2:$A$64)*('Aircraft Economics (FC)'!D16='Lease Rates'!$D$2:$D$64),0))</f>
        <v>2299751.9999999991</v>
      </c>
      <c r="F16" s="16" cm="1">
        <f t="array" ref="F16">INDEX('Insurance Rates'!$I$2:$I$64,MATCH(1,('Aircraft Economics (FC)'!A16='Insurance Rates'!$A$2:$A$64)*('Aircraft Economics (FC)'!D16='Insurance Rates'!$D$2:$D$64),0))</f>
        <v>459950.39999999979</v>
      </c>
      <c r="G16" s="16" cm="1">
        <f t="array" ref="G16">INDEX('Maintenance Costs'!$H$2:$H$64,MATCH(1,('Aircraft Economics (FC)'!A16='Maintenance Costs'!$A$2:$A$64)*('Aircraft Economics (FC)'!D16='Maintenance Costs'!$D$2:$D$64),0))</f>
        <v>2336775.8523346693</v>
      </c>
      <c r="H16" s="14">
        <f t="shared" si="1"/>
        <v>5096478.2523346683</v>
      </c>
    </row>
    <row r="17" spans="1:8" ht="20" customHeight="1" x14ac:dyDescent="0.2">
      <c r="A17" s="7" t="s">
        <v>33</v>
      </c>
      <c r="B17" s="35">
        <v>0</v>
      </c>
      <c r="C17" s="25" t="s">
        <v>11</v>
      </c>
      <c r="D17" s="34">
        <f t="shared" si="0"/>
        <v>0</v>
      </c>
      <c r="E17" s="16" cm="1">
        <f t="array" ref="E17">INDEX('Lease Rates'!$G$2:$G$64,MATCH(1,('Aircraft Economics (FC)'!A17='Lease Rates'!$A$2:$A$64)*('Aircraft Economics (FC)'!D17='Lease Rates'!$D$2:$D$64),0))</f>
        <v>3933562.5</v>
      </c>
      <c r="F17" s="16" cm="1">
        <f t="array" ref="F17">INDEX('Insurance Rates'!$I$2:$I$64,MATCH(1,('Aircraft Economics (FC)'!A17='Insurance Rates'!$A$2:$A$64)*('Aircraft Economics (FC)'!D17='Insurance Rates'!$D$2:$D$64),0))</f>
        <v>786712.5</v>
      </c>
      <c r="G17" s="16" cm="1">
        <f t="array" ref="G17">INDEX('Maintenance Costs'!$H$2:$H$64,MATCH(1,('Aircraft Economics (FC)'!A17='Maintenance Costs'!$A$2:$A$64)*('Aircraft Economics (FC)'!D17='Maintenance Costs'!$D$2:$D$64),0))</f>
        <v>786712.5</v>
      </c>
      <c r="H17" s="14">
        <f t="shared" si="1"/>
        <v>5506987.5</v>
      </c>
    </row>
    <row r="18" spans="1:8" ht="20" customHeight="1" x14ac:dyDescent="0.2">
      <c r="A18" s="7" t="s">
        <v>33</v>
      </c>
      <c r="B18" s="35">
        <v>5</v>
      </c>
      <c r="C18" s="25" t="s">
        <v>11</v>
      </c>
      <c r="D18" s="34">
        <f t="shared" si="0"/>
        <v>5</v>
      </c>
      <c r="E18" s="16" cm="1">
        <f t="array" ref="E18">INDEX('Lease Rates'!$G$2:$G$64,MATCH(1,('Aircraft Economics (FC)'!A18='Lease Rates'!$A$2:$A$64)*('Aircraft Economics (FC)'!D18='Lease Rates'!$D$2:$D$64),0))</f>
        <v>3343528.1249999995</v>
      </c>
      <c r="F18" s="16" cm="1">
        <f t="array" ref="F18">INDEX('Insurance Rates'!$I$2:$I$64,MATCH(1,('Aircraft Economics (FC)'!A18='Insurance Rates'!$A$2:$A$64)*('Aircraft Economics (FC)'!D18='Insurance Rates'!$D$2:$D$64),0))</f>
        <v>668705.62499999988</v>
      </c>
      <c r="G18" s="16" cm="1">
        <f t="array" ref="G18">INDEX('Maintenance Costs'!$H$2:$H$64,MATCH(1,('Aircraft Economics (FC)'!A18='Maintenance Costs'!$A$2:$A$64)*('Aircraft Economics (FC)'!D18='Maintenance Costs'!$D$2:$D$64),0))</f>
        <v>1769508.5254058216</v>
      </c>
      <c r="H18" s="14">
        <f t="shared" si="1"/>
        <v>5781742.2754058214</v>
      </c>
    </row>
    <row r="19" spans="1:8" ht="20" customHeight="1" x14ac:dyDescent="0.2">
      <c r="A19" s="7" t="s">
        <v>33</v>
      </c>
      <c r="B19" s="35">
        <v>10</v>
      </c>
      <c r="C19" s="25" t="s">
        <v>11</v>
      </c>
      <c r="D19" s="34">
        <f t="shared" si="0"/>
        <v>10</v>
      </c>
      <c r="E19" s="16" cm="1">
        <f t="array" ref="E19">INDEX('Lease Rates'!$G$2:$G$64,MATCH(1,('Aircraft Economics (FC)'!A19='Lease Rates'!$A$2:$A$64)*('Aircraft Economics (FC)'!D19='Lease Rates'!$D$2:$D$64),0))</f>
        <v>2753493.7499999991</v>
      </c>
      <c r="F19" s="16" cm="1">
        <f t="array" ref="F19">INDEX('Insurance Rates'!$I$2:$I$64,MATCH(1,('Aircraft Economics (FC)'!A19='Insurance Rates'!$A$2:$A$64)*('Aircraft Economics (FC)'!D19='Insurance Rates'!$D$2:$D$64),0))</f>
        <v>550698.74999999977</v>
      </c>
      <c r="G19" s="16" cm="1">
        <f t="array" ref="G19">INDEX('Maintenance Costs'!$H$2:$H$64,MATCH(1,('Aircraft Economics (FC)'!A19='Maintenance Costs'!$A$2:$A$64)*('Aircraft Economics (FC)'!D19='Maintenance Costs'!$D$2:$D$64),0))</f>
        <v>2387928.8376613231</v>
      </c>
      <c r="H19" s="14">
        <f t="shared" si="1"/>
        <v>5692121.3376613222</v>
      </c>
    </row>
    <row r="20" spans="1:8" ht="20" customHeight="1" x14ac:dyDescent="0.2">
      <c r="A20" s="7" t="s">
        <v>29</v>
      </c>
      <c r="B20" s="35">
        <v>0</v>
      </c>
      <c r="C20" s="25" t="s">
        <v>11</v>
      </c>
      <c r="D20" s="34">
        <f t="shared" si="0"/>
        <v>0</v>
      </c>
      <c r="E20" s="16" cm="1">
        <f t="array" ref="E20">INDEX('Lease Rates'!$G$2:$G$64,MATCH(1,('Aircraft Economics (FC)'!A20='Lease Rates'!$A$2:$A$64)*('Aircraft Economics (FC)'!D20='Lease Rates'!$D$2:$D$64),0))</f>
        <v>8025075</v>
      </c>
      <c r="F20" s="16" cm="1">
        <f t="array" ref="F20">INDEX('Insurance Rates'!$I$2:$I$64,MATCH(1,('Aircraft Economics (FC)'!A20='Insurance Rates'!$A$2:$A$64)*('Aircraft Economics (FC)'!D20='Insurance Rates'!$D$2:$D$64),0))</f>
        <v>1605015</v>
      </c>
      <c r="G20" s="16" cm="1">
        <f t="array" ref="G20">INDEX('Maintenance Costs'!$H$2:$H$64,MATCH(1,('Aircraft Economics (FC)'!A20='Maintenance Costs'!$A$2:$A$64)*('Aircraft Economics (FC)'!D20='Maintenance Costs'!$D$2:$D$64),0))</f>
        <v>1605015</v>
      </c>
      <c r="H20" s="14">
        <f t="shared" si="1"/>
        <v>11235105</v>
      </c>
    </row>
    <row r="21" spans="1:8" ht="20" customHeight="1" x14ac:dyDescent="0.2">
      <c r="A21" s="7" t="s">
        <v>29</v>
      </c>
      <c r="B21" s="35">
        <v>5</v>
      </c>
      <c r="C21" s="25" t="s">
        <v>11</v>
      </c>
      <c r="D21" s="34">
        <f t="shared" si="0"/>
        <v>5</v>
      </c>
      <c r="E21" s="16" cm="1">
        <f t="array" ref="E21">INDEX('Lease Rates'!$G$2:$G$64,MATCH(1,('Aircraft Economics (FC)'!A21='Lease Rates'!$A$2:$A$64)*('Aircraft Economics (FC)'!D21='Lease Rates'!$D$2:$D$64),0))</f>
        <v>6821313.7499999991</v>
      </c>
      <c r="F21" s="16" cm="1">
        <f t="array" ref="F21">INDEX('Insurance Rates'!$I$2:$I$64,MATCH(1,('Aircraft Economics (FC)'!A21='Insurance Rates'!$A$2:$A$64)*('Aircraft Economics (FC)'!D21='Insurance Rates'!$D$2:$D$64),0))</f>
        <v>1364262.7499999998</v>
      </c>
      <c r="G21" s="16" cm="1">
        <f t="array" ref="G21">INDEX('Maintenance Costs'!$H$2:$H$64,MATCH(1,('Aircraft Economics (FC)'!A21='Maintenance Costs'!$A$2:$A$64)*('Aircraft Economics (FC)'!D21='Maintenance Costs'!$D$2:$D$64),0))</f>
        <v>3610070.6749978228</v>
      </c>
      <c r="H21" s="14">
        <f t="shared" si="1"/>
        <v>11795647.174997821</v>
      </c>
    </row>
    <row r="22" spans="1:8" ht="20" customHeight="1" x14ac:dyDescent="0.2">
      <c r="A22" s="7" t="s">
        <v>29</v>
      </c>
      <c r="B22" s="35">
        <v>10</v>
      </c>
      <c r="C22" s="25" t="s">
        <v>11</v>
      </c>
      <c r="D22" s="34">
        <f t="shared" si="0"/>
        <v>10</v>
      </c>
      <c r="E22" s="16" cm="1">
        <f t="array" ref="E22">INDEX('Lease Rates'!$G$2:$G$64,MATCH(1,('Aircraft Economics (FC)'!A22='Lease Rates'!$A$2:$A$64)*('Aircraft Economics (FC)'!D22='Lease Rates'!$D$2:$D$64),0))</f>
        <v>5617552.4999999981</v>
      </c>
      <c r="F22" s="16" cm="1">
        <f t="array" ref="F22">INDEX('Insurance Rates'!$I$2:$I$64,MATCH(1,('Aircraft Economics (FC)'!A22='Insurance Rates'!$A$2:$A$64)*('Aircraft Economics (FC)'!D22='Insurance Rates'!$D$2:$D$64),0))</f>
        <v>1123510.4999999995</v>
      </c>
      <c r="G22" s="16" cm="1">
        <f t="array" ref="G22">INDEX('Maintenance Costs'!$H$2:$H$64,MATCH(1,('Aircraft Economics (FC)'!A22='Maintenance Costs'!$A$2:$A$64)*('Aircraft Economics (FC)'!D22='Maintenance Costs'!$D$2:$D$64),0))</f>
        <v>4871743.6209275797</v>
      </c>
      <c r="H22" s="14">
        <f t="shared" si="1"/>
        <v>11612806.620927578</v>
      </c>
    </row>
    <row r="23" spans="1:8" ht="20" customHeight="1" x14ac:dyDescent="0.2">
      <c r="A23" s="7" t="s">
        <v>32</v>
      </c>
      <c r="B23" s="35">
        <v>0</v>
      </c>
      <c r="C23" s="25" t="s">
        <v>11</v>
      </c>
      <c r="D23" s="34">
        <f t="shared" si="0"/>
        <v>0</v>
      </c>
      <c r="E23" s="16" cm="1">
        <f t="array" ref="E23">INDEX('Lease Rates'!$G$2:$G$64,MATCH(1,('Aircraft Economics (FC)'!A23='Lease Rates'!$A$2:$A$64)*('Aircraft Economics (FC)'!D23='Lease Rates'!$D$2:$D$64),0))</f>
        <v>9003150</v>
      </c>
      <c r="F23" s="16" cm="1">
        <f t="array" ref="F23">INDEX('Insurance Rates'!$I$2:$I$64,MATCH(1,('Aircraft Economics (FC)'!A23='Insurance Rates'!$A$2:$A$64)*('Aircraft Economics (FC)'!D23='Insurance Rates'!$D$2:$D$64),0))</f>
        <v>1800630</v>
      </c>
      <c r="G23" s="16" cm="1">
        <f t="array" ref="G23">INDEX('Maintenance Costs'!$H$2:$H$64,MATCH(1,('Aircraft Economics (FC)'!A23='Maintenance Costs'!$A$2:$A$64)*('Aircraft Economics (FC)'!D23='Maintenance Costs'!$D$2:$D$64),0))</f>
        <v>1800630</v>
      </c>
      <c r="H23" s="14">
        <f t="shared" si="1"/>
        <v>12604410</v>
      </c>
    </row>
    <row r="24" spans="1:8" ht="20" customHeight="1" x14ac:dyDescent="0.2">
      <c r="A24" s="7" t="s">
        <v>32</v>
      </c>
      <c r="B24" s="35">
        <v>5</v>
      </c>
      <c r="C24" s="25" t="s">
        <v>11</v>
      </c>
      <c r="D24" s="34">
        <f t="shared" si="0"/>
        <v>5</v>
      </c>
      <c r="E24" s="16" cm="1">
        <f t="array" ref="E24">INDEX('Lease Rates'!$G$2:$G$64,MATCH(1,('Aircraft Economics (FC)'!A24='Lease Rates'!$A$2:$A$64)*('Aircraft Economics (FC)'!D24='Lease Rates'!$D$2:$D$64),0))</f>
        <v>7652677.4999999991</v>
      </c>
      <c r="F24" s="16" cm="1">
        <f t="array" ref="F24">INDEX('Insurance Rates'!$I$2:$I$64,MATCH(1,('Aircraft Economics (FC)'!A24='Insurance Rates'!$A$2:$A$64)*('Aircraft Economics (FC)'!D24='Insurance Rates'!$D$2:$D$64),0))</f>
        <v>1530535.4999999998</v>
      </c>
      <c r="G24" s="16" cm="1">
        <f t="array" ref="G24">INDEX('Maintenance Costs'!$H$2:$H$64,MATCH(1,('Aircraft Economics (FC)'!A24='Maintenance Costs'!$A$2:$A$64)*('Aircraft Economics (FC)'!D24='Maintenance Costs'!$D$2:$D$64),0))</f>
        <v>4050056.5786122438</v>
      </c>
      <c r="H24" s="14">
        <f t="shared" si="1"/>
        <v>13233269.578612242</v>
      </c>
    </row>
    <row r="25" spans="1:8" ht="20" customHeight="1" x14ac:dyDescent="0.2">
      <c r="A25" s="7" t="s">
        <v>32</v>
      </c>
      <c r="B25" s="35">
        <v>10</v>
      </c>
      <c r="C25" s="25" t="s">
        <v>11</v>
      </c>
      <c r="D25" s="34">
        <f t="shared" si="0"/>
        <v>10</v>
      </c>
      <c r="E25" s="16" cm="1">
        <f t="array" ref="E25">INDEX('Lease Rates'!$G$2:$G$64,MATCH(1,('Aircraft Economics (FC)'!A25='Lease Rates'!$A$2:$A$64)*('Aircraft Economics (FC)'!D25='Lease Rates'!$D$2:$D$64),0))</f>
        <v>6302204.9999999972</v>
      </c>
      <c r="F25" s="16" cm="1">
        <f t="array" ref="F25">INDEX('Insurance Rates'!$I$2:$I$64,MATCH(1,('Aircraft Economics (FC)'!A25='Insurance Rates'!$A$2:$A$64)*('Aircraft Economics (FC)'!D25='Insurance Rates'!$D$2:$D$64),0))</f>
        <v>1260440.9999999995</v>
      </c>
      <c r="G25" s="16" cm="1">
        <f t="array" ref="G25">INDEX('Maintenance Costs'!$H$2:$H$64,MATCH(1,('Aircraft Economics (FC)'!A25='Maintenance Costs'!$A$2:$A$64)*('Aircraft Economics (FC)'!D25='Maintenance Costs'!$D$2:$D$64),0))</f>
        <v>5465498.8994812062</v>
      </c>
      <c r="H25" s="14">
        <f t="shared" si="1"/>
        <v>13028144.899481203</v>
      </c>
    </row>
    <row r="26" spans="1:8" ht="20" customHeight="1" x14ac:dyDescent="0.2">
      <c r="A26" s="7" t="s">
        <v>31</v>
      </c>
      <c r="B26" s="35">
        <v>0</v>
      </c>
      <c r="C26" s="25">
        <v>2011</v>
      </c>
      <c r="D26" s="34">
        <f t="shared" si="0"/>
        <v>12</v>
      </c>
      <c r="E26" s="16" cm="1">
        <f t="array" ref="E26">INDEX('Lease Rates'!$G$2:$G$64,MATCH(1,('Aircraft Economics (FC)'!A26='Lease Rates'!$A$2:$A$64)*('Aircraft Economics (FC)'!D26='Lease Rates'!$D$2:$D$64),0))</f>
        <v>5163647.9999999972</v>
      </c>
      <c r="F26" s="16" cm="1">
        <f t="array" ref="F26">INDEX('Insurance Rates'!$I$2:$I$64,MATCH(1,('Aircraft Economics (FC)'!A26='Insurance Rates'!$A$2:$A$64)*('Aircraft Economics (FC)'!D26='Insurance Rates'!$D$2:$D$64),0))</f>
        <v>1032729.5999999996</v>
      </c>
      <c r="G26" s="16" cm="1">
        <f t="array" ref="G26">INDEX('Maintenance Costs'!$H$2:$H$64,MATCH(1,('Aircraft Economics (FC)'!A26='Maintenance Costs'!$A$2:$A$64)*('Aircraft Economics (FC)'!D26='Maintenance Costs'!$D$2:$D$64),0))</f>
        <v>5246777.8944669729</v>
      </c>
      <c r="H26" s="14">
        <f t="shared" si="1"/>
        <v>11443155.49446697</v>
      </c>
    </row>
    <row r="27" spans="1:8" ht="20" customHeight="1" x14ac:dyDescent="0.2">
      <c r="A27" s="7" t="s">
        <v>31</v>
      </c>
      <c r="B27" s="35">
        <v>5</v>
      </c>
      <c r="C27" s="25">
        <v>2011</v>
      </c>
      <c r="D27" s="34">
        <f t="shared" si="0"/>
        <v>17</v>
      </c>
      <c r="E27" s="16" cm="1">
        <f t="array" ref="E27">INDEX('Lease Rates'!$G$2:$G$64,MATCH(1,('Aircraft Economics (FC)'!A27='Lease Rates'!$A$2:$A$64)*('Aircraft Economics (FC)'!D27='Lease Rates'!$D$2:$D$64),0))</f>
        <v>3953417.9999999963</v>
      </c>
      <c r="F27" s="16" cm="1">
        <f t="array" ref="F27">INDEX('Insurance Rates'!$I$2:$I$64,MATCH(1,('Aircraft Economics (FC)'!A27='Insurance Rates'!$A$2:$A$64)*('Aircraft Economics (FC)'!D27='Insurance Rates'!$D$2:$D$64),0))</f>
        <v>790683.59999999928</v>
      </c>
      <c r="G27" s="16" cm="1">
        <f t="array" ref="G27">INDEX('Maintenance Costs'!$H$2:$H$64,MATCH(1,('Aircraft Economics (FC)'!A27='Maintenance Costs'!$A$2:$A$64)*('Aircraft Economics (FC)'!D27='Maintenance Costs'!$D$2:$D$64),0))</f>
        <v>5433004.1014655316</v>
      </c>
      <c r="H27" s="14">
        <f t="shared" si="1"/>
        <v>10177105.701465528</v>
      </c>
    </row>
    <row r="28" spans="1:8" ht="20" customHeight="1" x14ac:dyDescent="0.2">
      <c r="A28" s="7" t="s">
        <v>31</v>
      </c>
      <c r="B28" s="35">
        <v>10</v>
      </c>
      <c r="C28" s="25">
        <v>2011</v>
      </c>
      <c r="D28" s="34">
        <f t="shared" si="0"/>
        <v>22</v>
      </c>
      <c r="E28" s="16" cm="1">
        <f t="array" ref="E28">INDEX('Lease Rates'!$G$2:$G$64,MATCH(1,('Aircraft Economics (FC)'!A28='Lease Rates'!$A$2:$A$64)*('Aircraft Economics (FC)'!D28='Lease Rates'!$D$2:$D$64),0))</f>
        <v>2743187.9999999953</v>
      </c>
      <c r="F28" s="16" cm="1">
        <f t="array" ref="F28">INDEX('Insurance Rates'!$I$2:$I$64,MATCH(1,('Aircraft Economics (FC)'!A28='Insurance Rates'!$A$2:$A$64)*('Aircraft Economics (FC)'!D28='Insurance Rates'!$D$2:$D$64),0))</f>
        <v>548637.59999999905</v>
      </c>
      <c r="G28" s="16" cm="1">
        <f t="array" ref="G28">INDEX('Maintenance Costs'!$H$2:$H$64,MATCH(1,('Aircraft Economics (FC)'!A28='Maintenance Costs'!$A$2:$A$64)*('Aircraft Economics (FC)'!D28='Maintenance Costs'!$D$2:$D$64),0))</f>
        <v>5625840.1175451353</v>
      </c>
      <c r="H28" s="14">
        <f t="shared" si="1"/>
        <v>8917665.7175451294</v>
      </c>
    </row>
    <row r="29" spans="1:8" ht="20" customHeight="1" x14ac:dyDescent="0.2">
      <c r="A29" s="7" t="s">
        <v>30</v>
      </c>
      <c r="B29" s="35">
        <v>0</v>
      </c>
      <c r="C29" s="25">
        <v>2011</v>
      </c>
      <c r="D29" s="34">
        <f t="shared" si="0"/>
        <v>12</v>
      </c>
      <c r="E29" s="16" cm="1">
        <f t="array" ref="E29">INDEX('Lease Rates'!$G$2:$G$64,MATCH(1,('Aircraft Economics (FC)'!A29='Lease Rates'!$A$2:$A$64)*('Aircraft Economics (FC)'!D29='Lease Rates'!$D$2:$D$64),0))</f>
        <v>5975078.3999999966</v>
      </c>
      <c r="F29" s="16" cm="1">
        <f t="array" ref="F29">INDEX('Insurance Rates'!$I$2:$I$64,MATCH(1,('Aircraft Economics (FC)'!A29='Insurance Rates'!$A$2:$A$64)*('Aircraft Economics (FC)'!D29='Insurance Rates'!$D$2:$D$64),0))</f>
        <v>1195015.6799999995</v>
      </c>
      <c r="G29" s="16" cm="1">
        <f t="array" ref="G29">INDEX('Maintenance Costs'!$H$2:$H$64,MATCH(1,('Aircraft Economics (FC)'!A29='Maintenance Costs'!$A$2:$A$64)*('Aircraft Economics (FC)'!D29='Maintenance Costs'!$D$2:$D$64),0))</f>
        <v>6071271.5635974975</v>
      </c>
      <c r="H29" s="14">
        <f t="shared" si="1"/>
        <v>13241365.643597495</v>
      </c>
    </row>
    <row r="30" spans="1:8" ht="20" customHeight="1" x14ac:dyDescent="0.2">
      <c r="A30" s="7" t="s">
        <v>30</v>
      </c>
      <c r="B30" s="35">
        <v>5</v>
      </c>
      <c r="C30" s="25">
        <v>2011</v>
      </c>
      <c r="D30" s="34">
        <f t="shared" si="0"/>
        <v>17</v>
      </c>
      <c r="E30" s="16" cm="1">
        <f t="array" ref="E30">INDEX('Lease Rates'!$G$2:$G$64,MATCH(1,('Aircraft Economics (FC)'!A30='Lease Rates'!$A$2:$A$64)*('Aircraft Economics (FC)'!D30='Lease Rates'!$D$2:$D$64),0))</f>
        <v>4574669.3999999957</v>
      </c>
      <c r="F30" s="16" cm="1">
        <f t="array" ref="F30">INDEX('Insurance Rates'!$I$2:$I$64,MATCH(1,('Aircraft Economics (FC)'!A30='Insurance Rates'!$A$2:$A$64)*('Aircraft Economics (FC)'!D30='Insurance Rates'!$D$2:$D$64),0))</f>
        <v>914933.87999999907</v>
      </c>
      <c r="G30" s="16" cm="1">
        <f t="array" ref="G30">INDEX('Maintenance Costs'!$H$2:$H$64,MATCH(1,('Aircraft Economics (FC)'!A30='Maintenance Costs'!$A$2:$A$64)*('Aircraft Economics (FC)'!D30='Maintenance Costs'!$D$2:$D$64),0))</f>
        <v>6286761.888838687</v>
      </c>
      <c r="H30" s="14">
        <f t="shared" si="1"/>
        <v>11776365.168838682</v>
      </c>
    </row>
    <row r="31" spans="1:8" ht="20" customHeight="1" x14ac:dyDescent="0.2">
      <c r="A31" s="7" t="s">
        <v>30</v>
      </c>
      <c r="B31" s="35">
        <v>10</v>
      </c>
      <c r="C31" s="25">
        <v>2011</v>
      </c>
      <c r="D31" s="34">
        <f t="shared" si="0"/>
        <v>22</v>
      </c>
      <c r="E31" s="16" cm="1">
        <f t="array" ref="E31">INDEX('Lease Rates'!$G$2:$G$64,MATCH(1,('Aircraft Economics (FC)'!A31='Lease Rates'!$A$2:$A$64)*('Aircraft Economics (FC)'!D31='Lease Rates'!$D$2:$D$64),0))</f>
        <v>3174260.3999999943</v>
      </c>
      <c r="F31" s="16" cm="1">
        <f t="array" ref="F31">INDEX('Insurance Rates'!$I$2:$I$64,MATCH(1,('Aircraft Economics (FC)'!A31='Insurance Rates'!$A$2:$A$64)*('Aircraft Economics (FC)'!D31='Insurance Rates'!$D$2:$D$64),0))</f>
        <v>634852.07999999891</v>
      </c>
      <c r="G31" s="16" cm="1">
        <f t="array" ref="G31">INDEX('Maintenance Costs'!$H$2:$H$64,MATCH(1,('Aircraft Economics (FC)'!A31='Maintenance Costs'!$A$2:$A$64)*('Aircraft Economics (FC)'!D31='Maintenance Costs'!$D$2:$D$64),0))</f>
        <v>6509900.707445085</v>
      </c>
      <c r="H31" s="14">
        <f t="shared" si="1"/>
        <v>10319013.187445078</v>
      </c>
    </row>
    <row r="32" spans="1:8" ht="20" customHeight="1" x14ac:dyDescent="0.2">
      <c r="A32" s="7" t="s">
        <v>28</v>
      </c>
      <c r="B32" s="35">
        <v>0</v>
      </c>
      <c r="C32" s="25" t="s">
        <v>11</v>
      </c>
      <c r="D32" s="34">
        <f t="shared" si="0"/>
        <v>0</v>
      </c>
      <c r="E32" s="16" cm="1">
        <f t="array" ref="E32">INDEX('Lease Rates'!$G$2:$G$64,MATCH(1,('Aircraft Economics (FC)'!A32='Lease Rates'!$A$2:$A$64)*('Aircraft Economics (FC)'!D32='Lease Rates'!$D$2:$D$64),0))</f>
        <v>9641025</v>
      </c>
      <c r="F32" s="16" cm="1">
        <f t="array" ref="F32">INDEX('Insurance Rates'!$I$2:$I$64,MATCH(1,('Aircraft Economics (FC)'!A32='Insurance Rates'!$A$2:$A$64)*('Aircraft Economics (FC)'!D32='Insurance Rates'!$D$2:$D$64),0))</f>
        <v>1928205</v>
      </c>
      <c r="G32" s="16" cm="1">
        <f t="array" ref="G32">INDEX('Maintenance Costs'!$H$2:$H$64,MATCH(1,('Aircraft Economics (FC)'!A32='Maintenance Costs'!$A$2:$A$64)*('Aircraft Economics (FC)'!D32='Maintenance Costs'!$D$2:$D$64),0))</f>
        <v>1928205</v>
      </c>
      <c r="H32" s="14">
        <f t="shared" si="1"/>
        <v>13497435</v>
      </c>
    </row>
    <row r="33" spans="1:8" ht="20" customHeight="1" x14ac:dyDescent="0.2">
      <c r="A33" s="7" t="s">
        <v>28</v>
      </c>
      <c r="B33" s="35">
        <v>5</v>
      </c>
      <c r="C33" s="25" t="s">
        <v>11</v>
      </c>
      <c r="D33" s="34">
        <f t="shared" si="0"/>
        <v>5</v>
      </c>
      <c r="E33" s="16" cm="1">
        <f t="array" ref="E33">INDEX('Lease Rates'!$G$2:$G$64,MATCH(1,('Aircraft Economics (FC)'!A33='Lease Rates'!$A$2:$A$64)*('Aircraft Economics (FC)'!D33='Lease Rates'!$D$2:$D$64),0))</f>
        <v>8194871.2499999991</v>
      </c>
      <c r="F33" s="16" cm="1">
        <f t="array" ref="F33">INDEX('Insurance Rates'!$I$2:$I$64,MATCH(1,('Aircraft Economics (FC)'!A33='Insurance Rates'!$A$2:$A$64)*('Aircraft Economics (FC)'!D33='Insurance Rates'!$D$2:$D$64),0))</f>
        <v>1638974.2499999998</v>
      </c>
      <c r="G33" s="16" cm="1">
        <f t="array" ref="G33">INDEX('Maintenance Costs'!$H$2:$H$64,MATCH(1,('Aircraft Economics (FC)'!A33='Maintenance Costs'!$A$2:$A$64)*('Aircraft Economics (FC)'!D33='Maintenance Costs'!$D$2:$D$64),0))</f>
        <v>4337003.9070564313</v>
      </c>
      <c r="H33" s="14">
        <f t="shared" si="1"/>
        <v>14170849.407056428</v>
      </c>
    </row>
    <row r="34" spans="1:8" ht="20" customHeight="1" x14ac:dyDescent="0.2">
      <c r="A34" s="7" t="s">
        <v>28</v>
      </c>
      <c r="B34" s="35">
        <v>10</v>
      </c>
      <c r="C34" s="25" t="s">
        <v>11</v>
      </c>
      <c r="D34" s="34">
        <f t="shared" ref="D34:D65" si="2">IF(C34="In Production",B34,B34+(2023-C34))</f>
        <v>10</v>
      </c>
      <c r="E34" s="16" cm="1">
        <f t="array" ref="E34">INDEX('Lease Rates'!$G$2:$G$64,MATCH(1,('Aircraft Economics (FC)'!A34='Lease Rates'!$A$2:$A$64)*('Aircraft Economics (FC)'!D34='Lease Rates'!$D$2:$D$64),0))</f>
        <v>6748717.4999999972</v>
      </c>
      <c r="F34" s="16" cm="1">
        <f t="array" ref="F34">INDEX('Insurance Rates'!$I$2:$I$64,MATCH(1,('Aircraft Economics (FC)'!A34='Insurance Rates'!$A$2:$A$64)*('Aircraft Economics (FC)'!D34='Insurance Rates'!$D$2:$D$64),0))</f>
        <v>1349743.4999999995</v>
      </c>
      <c r="G34" s="16" cm="1">
        <f t="array" ref="G34">INDEX('Maintenance Costs'!$H$2:$H$64,MATCH(1,('Aircraft Economics (FC)'!A34='Maintenance Costs'!$A$2:$A$64)*('Aircraft Economics (FC)'!D34='Maintenance Costs'!$D$2:$D$64),0))</f>
        <v>5852730.6028857445</v>
      </c>
      <c r="H34" s="14">
        <f t="shared" ref="H34:H65" si="3">SUM(E34:G34)</f>
        <v>13951191.602885742</v>
      </c>
    </row>
    <row r="35" spans="1:8" ht="20" customHeight="1" x14ac:dyDescent="0.2">
      <c r="A35" s="7" t="s">
        <v>27</v>
      </c>
      <c r="B35" s="35">
        <v>0</v>
      </c>
      <c r="C35" s="25">
        <v>2021</v>
      </c>
      <c r="D35" s="34">
        <f t="shared" si="2"/>
        <v>2</v>
      </c>
      <c r="E35" s="16" cm="1">
        <f t="array" ref="E35">INDEX('Lease Rates'!$G$2:$G$64,MATCH(1,('Aircraft Economics (FC)'!A35='Lease Rates'!$A$2:$A$64)*('Aircraft Economics (FC)'!D35='Lease Rates'!$D$2:$D$64),0))</f>
        <v>12722994</v>
      </c>
      <c r="F35" s="16" cm="1">
        <f t="array" ref="F35">INDEX('Insurance Rates'!$I$2:$I$64,MATCH(1,('Aircraft Economics (FC)'!A35='Insurance Rates'!$A$2:$A$64)*('Aircraft Economics (FC)'!D35='Insurance Rates'!$D$2:$D$64),0))</f>
        <v>2544598.8000000003</v>
      </c>
      <c r="G35" s="16" cm="1">
        <f t="array" ref="G35">INDEX('Maintenance Costs'!$H$2:$H$64,MATCH(1,('Aircraft Economics (FC)'!A35='Maintenance Costs'!$A$2:$A$64)*('Aircraft Economics (FC)'!D35='Maintenance Costs'!$D$2:$D$64),0))</f>
        <v>3743743.6915199994</v>
      </c>
      <c r="H35" s="14">
        <f t="shared" si="3"/>
        <v>19011336.491519999</v>
      </c>
    </row>
    <row r="36" spans="1:8" ht="20" customHeight="1" x14ac:dyDescent="0.2">
      <c r="A36" s="7" t="s">
        <v>27</v>
      </c>
      <c r="B36" s="35">
        <v>5</v>
      </c>
      <c r="C36" s="25">
        <v>2021</v>
      </c>
      <c r="D36" s="34">
        <f t="shared" si="2"/>
        <v>7</v>
      </c>
      <c r="E36" s="16" cm="1">
        <f t="array" ref="E36">INDEX('Lease Rates'!$G$2:$G$64,MATCH(1,('Aircraft Economics (FC)'!A36='Lease Rates'!$A$2:$A$64)*('Aircraft Economics (FC)'!D36='Lease Rates'!$D$2:$D$64),0))</f>
        <v>10692728.999999998</v>
      </c>
      <c r="F36" s="16" cm="1">
        <f t="array" ref="F36">INDEX('Insurance Rates'!$I$2:$I$64,MATCH(1,('Aircraft Economics (FC)'!A36='Insurance Rates'!$A$2:$A$64)*('Aircraft Economics (FC)'!D36='Insurance Rates'!$D$2:$D$64),0))</f>
        <v>2138545.7999999993</v>
      </c>
      <c r="G36" s="16" cm="1">
        <f t="array" ref="G36">INDEX('Maintenance Costs'!$H$2:$H$64,MATCH(1,('Aircraft Economics (FC)'!A36='Maintenance Costs'!$A$2:$A$64)*('Aircraft Economics (FC)'!D36='Maintenance Costs'!$D$2:$D$64),0))</f>
        <v>7410981.7649921412</v>
      </c>
      <c r="H36" s="14">
        <f t="shared" si="3"/>
        <v>20242256.564992137</v>
      </c>
    </row>
    <row r="37" spans="1:8" ht="20" customHeight="1" x14ac:dyDescent="0.2">
      <c r="A37" s="7" t="s">
        <v>27</v>
      </c>
      <c r="B37" s="35">
        <v>10</v>
      </c>
      <c r="C37" s="25">
        <v>2021</v>
      </c>
      <c r="D37" s="34">
        <f t="shared" si="2"/>
        <v>12</v>
      </c>
      <c r="E37" s="16" cm="1">
        <f t="array" ref="E37">INDEX('Lease Rates'!$G$2:$G$64,MATCH(1,('Aircraft Economics (FC)'!A37='Lease Rates'!$A$2:$A$64)*('Aircraft Economics (FC)'!D37='Lease Rates'!$D$2:$D$64),0))</f>
        <v>8662463.9999999963</v>
      </c>
      <c r="F37" s="16" cm="1">
        <f t="array" ref="F37">INDEX('Insurance Rates'!$I$2:$I$64,MATCH(1,('Aircraft Economics (FC)'!A37='Insurance Rates'!$A$2:$A$64)*('Aircraft Economics (FC)'!D37='Insurance Rates'!$D$2:$D$64),0))</f>
        <v>1732492.7999999991</v>
      </c>
      <c r="G37" s="16" cm="1">
        <f t="array" ref="G37">INDEX('Maintenance Costs'!$H$2:$H$64,MATCH(1,('Aircraft Economics (FC)'!A37='Maintenance Costs'!$A$2:$A$64)*('Aircraft Economics (FC)'!D37='Maintenance Costs'!$D$2:$D$64),0))</f>
        <v>8801921.5536798704</v>
      </c>
      <c r="H37" s="14">
        <f t="shared" si="3"/>
        <v>19196878.353679866</v>
      </c>
    </row>
    <row r="38" spans="1:8" ht="20" customHeight="1" x14ac:dyDescent="0.2">
      <c r="A38" s="7" t="s">
        <v>45</v>
      </c>
      <c r="B38" s="35">
        <v>0</v>
      </c>
      <c r="C38" s="25" t="s">
        <v>11</v>
      </c>
      <c r="D38" s="34">
        <f t="shared" si="2"/>
        <v>0</v>
      </c>
      <c r="E38" s="16" cm="1">
        <f t="array" ref="E38">INDEX('Lease Rates'!$G$2:$G$64,MATCH(1,('Aircraft Economics (FC)'!A38='Lease Rates'!$A$2:$A$64)*('Aircraft Economics (FC)'!D38='Lease Rates'!$D$2:$D$64),0))</f>
        <v>3170720</v>
      </c>
      <c r="F38" s="16" cm="1">
        <f t="array" ref="F38">INDEX('Insurance Rates'!$I$2:$I$64,MATCH(1,('Aircraft Economics (FC)'!A38='Insurance Rates'!$A$2:$A$64)*('Aircraft Economics (FC)'!D38='Insurance Rates'!$D$2:$D$64),0))</f>
        <v>634144</v>
      </c>
      <c r="G38" s="16" cm="1">
        <f t="array" ref="G38">INDEX('Maintenance Costs'!$H$2:$H$64,MATCH(1,('Aircraft Economics (FC)'!A38='Maintenance Costs'!$A$2:$A$64)*('Aircraft Economics (FC)'!D38='Maintenance Costs'!$D$2:$D$64),0))</f>
        <v>634144</v>
      </c>
      <c r="H38" s="14">
        <f t="shared" si="3"/>
        <v>4439008</v>
      </c>
    </row>
    <row r="39" spans="1:8" ht="20" customHeight="1" x14ac:dyDescent="0.2">
      <c r="A39" s="7" t="s">
        <v>45</v>
      </c>
      <c r="B39" s="35">
        <v>5</v>
      </c>
      <c r="C39" s="25" t="s">
        <v>11</v>
      </c>
      <c r="D39" s="34">
        <f t="shared" si="2"/>
        <v>5</v>
      </c>
      <c r="E39" s="16" cm="1">
        <f t="array" ref="E39">INDEX('Lease Rates'!$G$2:$G$64,MATCH(1,('Aircraft Economics (FC)'!A39='Lease Rates'!$A$2:$A$64)*('Aircraft Economics (FC)'!D39='Lease Rates'!$D$2:$D$64),0))</f>
        <v>2695111.9999999995</v>
      </c>
      <c r="F39" s="16" cm="1">
        <f t="array" ref="F39">INDEX('Insurance Rates'!$I$2:$I$64,MATCH(1,('Aircraft Economics (FC)'!A39='Insurance Rates'!$A$2:$A$64)*('Aircraft Economics (FC)'!D39='Insurance Rates'!$D$2:$D$64),0))</f>
        <v>539022.39999999991</v>
      </c>
      <c r="G39" s="16" cm="1">
        <f t="array" ref="G39">INDEX('Maintenance Costs'!$H$2:$H$64,MATCH(1,('Aircraft Economics (FC)'!A39='Maintenance Costs'!$A$2:$A$64)*('Aircraft Economics (FC)'!D39='Maintenance Costs'!$D$2:$D$64),0))</f>
        <v>1426344.7121215812</v>
      </c>
      <c r="H39" s="14">
        <f t="shared" si="3"/>
        <v>4660479.1121215802</v>
      </c>
    </row>
    <row r="40" spans="1:8" ht="20" customHeight="1" x14ac:dyDescent="0.2">
      <c r="A40" s="7" t="s">
        <v>45</v>
      </c>
      <c r="B40" s="35">
        <v>10</v>
      </c>
      <c r="C40" s="25" t="s">
        <v>11</v>
      </c>
      <c r="D40" s="34">
        <f t="shared" si="2"/>
        <v>10</v>
      </c>
      <c r="E40" s="16" cm="1">
        <f t="array" ref="E40">INDEX('Lease Rates'!$G$2:$G$64,MATCH(1,('Aircraft Economics (FC)'!A40='Lease Rates'!$A$2:$A$64)*('Aircraft Economics (FC)'!D40='Lease Rates'!$D$2:$D$64),0))</f>
        <v>2219503.9999999991</v>
      </c>
      <c r="F40" s="16" cm="1">
        <f t="array" ref="F40">INDEX('Insurance Rates'!$I$2:$I$64,MATCH(1,('Aircraft Economics (FC)'!A40='Insurance Rates'!$A$2:$A$64)*('Aircraft Economics (FC)'!D40='Insurance Rates'!$D$2:$D$64),0))</f>
        <v>443900.79999999987</v>
      </c>
      <c r="G40" s="16" cm="1">
        <f t="array" ref="G40">INDEX('Maintenance Costs'!$H$2:$H$64,MATCH(1,('Aircraft Economics (FC)'!A40='Maintenance Costs'!$A$2:$A$64)*('Aircraft Economics (FC)'!D40='Maintenance Costs'!$D$2:$D$64),0))</f>
        <v>1924833.7160397249</v>
      </c>
      <c r="H40" s="14">
        <f t="shared" si="3"/>
        <v>4588238.5160397235</v>
      </c>
    </row>
    <row r="41" spans="1:8" ht="20" customHeight="1" x14ac:dyDescent="0.2">
      <c r="A41" s="7" t="s">
        <v>43</v>
      </c>
      <c r="B41" s="35">
        <v>0</v>
      </c>
      <c r="C41" s="25" t="s">
        <v>11</v>
      </c>
      <c r="D41" s="34">
        <f t="shared" si="2"/>
        <v>0</v>
      </c>
      <c r="E41" s="16" cm="1">
        <f t="array" ref="E41">INDEX('Lease Rates'!$G$2:$G$64,MATCH(1,('Aircraft Economics (FC)'!A41='Lease Rates'!$A$2:$A$64)*('Aircraft Economics (FC)'!D41='Lease Rates'!$D$2:$D$64),0))</f>
        <v>3361067.5</v>
      </c>
      <c r="F41" s="16" cm="1">
        <f t="array" ref="F41">INDEX('Insurance Rates'!$I$2:$I$64,MATCH(1,('Aircraft Economics (FC)'!A41='Insurance Rates'!$A$2:$A$64)*('Aircraft Economics (FC)'!D41='Insurance Rates'!$D$2:$D$64),0))</f>
        <v>672213.5</v>
      </c>
      <c r="G41" s="16" cm="1">
        <f t="array" ref="G41">INDEX('Maintenance Costs'!$H$2:$H$64,MATCH(1,('Aircraft Economics (FC)'!A41='Maintenance Costs'!$A$2:$A$64)*('Aircraft Economics (FC)'!D41='Maintenance Costs'!$D$2:$D$64),0))</f>
        <v>672213.5</v>
      </c>
      <c r="H41" s="14">
        <f t="shared" si="3"/>
        <v>4705494.5</v>
      </c>
    </row>
    <row r="42" spans="1:8" ht="20" customHeight="1" x14ac:dyDescent="0.2">
      <c r="A42" s="7" t="s">
        <v>43</v>
      </c>
      <c r="B42" s="35">
        <v>5</v>
      </c>
      <c r="C42" s="25" t="s">
        <v>11</v>
      </c>
      <c r="D42" s="34">
        <f t="shared" si="2"/>
        <v>5</v>
      </c>
      <c r="E42" s="16" cm="1">
        <f t="array" ref="E42">INDEX('Lease Rates'!$G$2:$G$64,MATCH(1,('Aircraft Economics (FC)'!A42='Lease Rates'!$A$2:$A$64)*('Aircraft Economics (FC)'!D42='Lease Rates'!$D$2:$D$64),0))</f>
        <v>2856907.3749999995</v>
      </c>
      <c r="F42" s="16" cm="1">
        <f t="array" ref="F42">INDEX('Insurance Rates'!$I$2:$I$64,MATCH(1,('Aircraft Economics (FC)'!A42='Insurance Rates'!$A$2:$A$64)*('Aircraft Economics (FC)'!D42='Insurance Rates'!$D$2:$D$64),0))</f>
        <v>571381.47499999998</v>
      </c>
      <c r="G42" s="16" cm="1">
        <f t="array" ref="G42">INDEX('Maintenance Costs'!$H$2:$H$64,MATCH(1,('Aircraft Economics (FC)'!A42='Maintenance Costs'!$A$2:$A$64)*('Aircraft Economics (FC)'!D42='Maintenance Costs'!$D$2:$D$64),0))</f>
        <v>1511972.3140828274</v>
      </c>
      <c r="H42" s="14">
        <f t="shared" si="3"/>
        <v>4940261.164082827</v>
      </c>
    </row>
    <row r="43" spans="1:8" ht="20" customHeight="1" x14ac:dyDescent="0.2">
      <c r="A43" s="7" t="s">
        <v>43</v>
      </c>
      <c r="B43" s="35">
        <v>10</v>
      </c>
      <c r="C43" s="25" t="s">
        <v>11</v>
      </c>
      <c r="D43" s="34">
        <f t="shared" si="2"/>
        <v>10</v>
      </c>
      <c r="E43" s="16" cm="1">
        <f t="array" ref="E43">INDEX('Lease Rates'!$G$2:$G$64,MATCH(1,('Aircraft Economics (FC)'!A43='Lease Rates'!$A$2:$A$64)*('Aircraft Economics (FC)'!D43='Lease Rates'!$D$2:$D$64),0))</f>
        <v>2352747.2499999991</v>
      </c>
      <c r="F43" s="16" cm="1">
        <f t="array" ref="F43">INDEX('Insurance Rates'!$I$2:$I$64,MATCH(1,('Aircraft Economics (FC)'!A43='Insurance Rates'!$A$2:$A$64)*('Aircraft Economics (FC)'!D43='Insurance Rates'!$D$2:$D$64),0))</f>
        <v>470549.44999999984</v>
      </c>
      <c r="G43" s="16" cm="1">
        <f t="array" ref="G43">INDEX('Maintenance Costs'!$H$2:$H$64,MATCH(1,('Aircraft Economics (FC)'!A43='Maintenance Costs'!$A$2:$A$64)*('Aircraft Economics (FC)'!D43='Maintenance Costs'!$D$2:$D$64),0))</f>
        <v>2040387.0559006622</v>
      </c>
      <c r="H43" s="14">
        <f t="shared" si="3"/>
        <v>4863683.7559006605</v>
      </c>
    </row>
    <row r="44" spans="1:8" ht="20" customHeight="1" x14ac:dyDescent="0.2">
      <c r="A44" s="7" t="s">
        <v>46</v>
      </c>
      <c r="B44" s="35">
        <v>0</v>
      </c>
      <c r="C44" s="25">
        <v>2019</v>
      </c>
      <c r="D44" s="34">
        <f t="shared" si="2"/>
        <v>4</v>
      </c>
      <c r="E44" s="16" cm="1">
        <f t="array" ref="E44">INDEX('Lease Rates'!$G$2:$G$64,MATCH(1,('Aircraft Economics (FC)'!A44='Lease Rates'!$A$2:$A$64)*('Aircraft Economics (FC)'!D44='Lease Rates'!$D$2:$D$64),0))</f>
        <v>2434570.5999999996</v>
      </c>
      <c r="F44" s="16" cm="1">
        <f t="array" ref="F44">INDEX('Insurance Rates'!$I$2:$I$64,MATCH(1,('Aircraft Economics (FC)'!A44='Insurance Rates'!$A$2:$A$64)*('Aircraft Economics (FC)'!D44='Insurance Rates'!$D$2:$D$64),0))</f>
        <v>486914.11999999994</v>
      </c>
      <c r="G44" s="16" cm="1">
        <f t="array" ref="G44">INDEX('Maintenance Costs'!$H$2:$H$64,MATCH(1,('Aircraft Economics (FC)'!A44='Maintenance Costs'!$A$2:$A$64)*('Aircraft Economics (FC)'!D44='Maintenance Costs'!$D$2:$D$64),0))</f>
        <v>1058276.0889115911</v>
      </c>
      <c r="H44" s="14">
        <f t="shared" si="3"/>
        <v>3979760.8089115908</v>
      </c>
    </row>
    <row r="45" spans="1:8" ht="20" customHeight="1" x14ac:dyDescent="0.2">
      <c r="A45" s="7" t="s">
        <v>46</v>
      </c>
      <c r="B45" s="35">
        <v>5</v>
      </c>
      <c r="C45" s="25">
        <v>2019</v>
      </c>
      <c r="D45" s="34">
        <f t="shared" si="2"/>
        <v>9</v>
      </c>
      <c r="E45" s="16" cm="1">
        <f t="array" ref="E45">INDEX('Lease Rates'!$G$2:$G$64,MATCH(1,('Aircraft Economics (FC)'!A45='Lease Rates'!$A$2:$A$64)*('Aircraft Economics (FC)'!D45='Lease Rates'!$D$2:$D$64),0))</f>
        <v>2019586.9749999994</v>
      </c>
      <c r="F45" s="16" cm="1">
        <f t="array" ref="F45">INDEX('Insurance Rates'!$I$2:$I$64,MATCH(1,('Aircraft Economics (FC)'!A45='Insurance Rates'!$A$2:$A$64)*('Aircraft Economics (FC)'!D45='Insurance Rates'!$D$2:$D$64),0))</f>
        <v>403917.39499999984</v>
      </c>
      <c r="G45" s="16" cm="1">
        <f t="array" ref="G45">INDEX('Maintenance Costs'!$H$2:$H$64,MATCH(1,('Aircraft Economics (FC)'!A45='Maintenance Costs'!$A$2:$A$64)*('Aircraft Economics (FC)'!D45='Maintenance Costs'!$D$2:$D$64),0))</f>
        <v>1622686.6996552793</v>
      </c>
      <c r="H45" s="14">
        <f t="shared" si="3"/>
        <v>4046191.0696552787</v>
      </c>
    </row>
    <row r="46" spans="1:8" ht="20" customHeight="1" x14ac:dyDescent="0.2">
      <c r="A46" s="7" t="s">
        <v>46</v>
      </c>
      <c r="B46" s="35">
        <v>10</v>
      </c>
      <c r="C46" s="25">
        <v>2019</v>
      </c>
      <c r="D46" s="34">
        <f t="shared" si="2"/>
        <v>14</v>
      </c>
      <c r="E46" s="16" cm="1">
        <f t="array" ref="E46">INDEX('Lease Rates'!$G$2:$G$64,MATCH(1,('Aircraft Economics (FC)'!A46='Lease Rates'!$A$2:$A$64)*('Aircraft Economics (FC)'!D46='Lease Rates'!$D$2:$D$64),0))</f>
        <v>1604603.3499999989</v>
      </c>
      <c r="F46" s="16" cm="1">
        <f t="array" ref="F46">INDEX('Insurance Rates'!$I$2:$I$64,MATCH(1,('Aircraft Economics (FC)'!A46='Insurance Rates'!$A$2:$A$64)*('Aircraft Economics (FC)'!D46='Insurance Rates'!$D$2:$D$64),0))</f>
        <v>320920.66999999981</v>
      </c>
      <c r="G46" s="16" cm="1">
        <f t="array" ref="G46">INDEX('Maintenance Costs'!$H$2:$H$64,MATCH(1,('Aircraft Economics (FC)'!A46='Maintenance Costs'!$A$2:$A$64)*('Aircraft Economics (FC)'!D46='Maintenance Costs'!$D$2:$D$64),0))</f>
        <v>1824377.3299103417</v>
      </c>
      <c r="H46" s="14">
        <f t="shared" si="3"/>
        <v>3749901.3499103403</v>
      </c>
    </row>
    <row r="47" spans="1:8" ht="20" customHeight="1" x14ac:dyDescent="0.2">
      <c r="A47" s="7" t="s">
        <v>44</v>
      </c>
      <c r="B47" s="35">
        <v>0</v>
      </c>
      <c r="C47" s="25">
        <v>2019</v>
      </c>
      <c r="D47" s="34">
        <f t="shared" si="2"/>
        <v>4</v>
      </c>
      <c r="E47" s="16" cm="1">
        <f t="array" ref="E47">INDEX('Lease Rates'!$G$2:$G$64,MATCH(1,('Aircraft Economics (FC)'!A47='Lease Rates'!$A$2:$A$64)*('Aircraft Economics (FC)'!D47='Lease Rates'!$D$2:$D$64),0))</f>
        <v>2583719.5999999996</v>
      </c>
      <c r="F47" s="16" cm="1">
        <f t="array" ref="F47">INDEX('Insurance Rates'!$I$2:$I$64,MATCH(1,('Aircraft Economics (FC)'!A47='Insurance Rates'!$A$2:$A$64)*('Aircraft Economics (FC)'!D47='Insurance Rates'!$D$2:$D$64),0))</f>
        <v>516743.91999999993</v>
      </c>
      <c r="G47" s="16" cm="1">
        <f t="array" ref="G47">INDEX('Maintenance Costs'!$H$2:$H$64,MATCH(1,('Aircraft Economics (FC)'!A47='Maintenance Costs'!$A$2:$A$64)*('Aircraft Economics (FC)'!D47='Maintenance Costs'!$D$2:$D$64),0))</f>
        <v>1123109.2140569761</v>
      </c>
      <c r="H47" s="14">
        <f t="shared" si="3"/>
        <v>4223572.7340569757</v>
      </c>
    </row>
    <row r="48" spans="1:8" ht="20" customHeight="1" x14ac:dyDescent="0.2">
      <c r="A48" s="7" t="s">
        <v>44</v>
      </c>
      <c r="B48" s="35">
        <v>5</v>
      </c>
      <c r="C48" s="25">
        <v>2019</v>
      </c>
      <c r="D48" s="34">
        <f t="shared" si="2"/>
        <v>9</v>
      </c>
      <c r="E48" s="16" cm="1">
        <f t="array" ref="E48">INDEX('Lease Rates'!$G$2:$G$64,MATCH(1,('Aircraft Economics (FC)'!A48='Lease Rates'!$A$2:$A$64)*('Aircraft Economics (FC)'!D48='Lease Rates'!$D$2:$D$64),0))</f>
        <v>2143312.8499999992</v>
      </c>
      <c r="F48" s="16" cm="1">
        <f t="array" ref="F48">INDEX('Insurance Rates'!$I$2:$I$64,MATCH(1,('Aircraft Economics (FC)'!A48='Insurance Rates'!$A$2:$A$64)*('Aircraft Economics (FC)'!D48='Insurance Rates'!$D$2:$D$64),0))</f>
        <v>428662.56999999983</v>
      </c>
      <c r="G48" s="16" cm="1">
        <f t="array" ref="G48">INDEX('Maintenance Costs'!$H$2:$H$64,MATCH(1,('Aircraft Economics (FC)'!A48='Maintenance Costs'!$A$2:$A$64)*('Aircraft Economics (FC)'!D48='Maintenance Costs'!$D$2:$D$64),0))</f>
        <v>1722097.289172332</v>
      </c>
      <c r="H48" s="14">
        <f t="shared" si="3"/>
        <v>4294072.7091723308</v>
      </c>
    </row>
    <row r="49" spans="1:8" ht="20" customHeight="1" x14ac:dyDescent="0.2">
      <c r="A49" s="7" t="s">
        <v>44</v>
      </c>
      <c r="B49" s="35">
        <v>10</v>
      </c>
      <c r="C49" s="25">
        <v>2019</v>
      </c>
      <c r="D49" s="34">
        <f t="shared" si="2"/>
        <v>14</v>
      </c>
      <c r="E49" s="16" cm="1">
        <f t="array" ref="E49">INDEX('Lease Rates'!$G$2:$G$64,MATCH(1,('Aircraft Economics (FC)'!A49='Lease Rates'!$A$2:$A$64)*('Aircraft Economics (FC)'!D49='Lease Rates'!$D$2:$D$64),0))</f>
        <v>1702906.0999999989</v>
      </c>
      <c r="F49" s="16" cm="1">
        <f t="array" ref="F49">INDEX('Insurance Rates'!$I$2:$I$64,MATCH(1,('Aircraft Economics (FC)'!A49='Insurance Rates'!$A$2:$A$64)*('Aircraft Economics (FC)'!D49='Insurance Rates'!$D$2:$D$64),0))</f>
        <v>340581.2199999998</v>
      </c>
      <c r="G49" s="16" cm="1">
        <f t="array" ref="G49">INDEX('Maintenance Costs'!$H$2:$H$64,MATCH(1,('Aircraft Economics (FC)'!A49='Maintenance Costs'!$A$2:$A$64)*('Aircraft Economics (FC)'!D49='Maintenance Costs'!$D$2:$D$64),0))</f>
        <v>1936144.0843346321</v>
      </c>
      <c r="H49" s="14">
        <f t="shared" si="3"/>
        <v>3979631.4043346308</v>
      </c>
    </row>
    <row r="50" spans="1:8" ht="20" customHeight="1" x14ac:dyDescent="0.2">
      <c r="A50" s="7" t="s">
        <v>42</v>
      </c>
      <c r="B50" s="35">
        <v>0</v>
      </c>
      <c r="C50" s="25">
        <v>2005</v>
      </c>
      <c r="D50" s="34">
        <f t="shared" si="2"/>
        <v>18</v>
      </c>
      <c r="E50" s="16" cm="1">
        <f t="array" ref="E50">INDEX('Lease Rates'!$G$2:$G$64,MATCH(1,('Aircraft Economics (FC)'!A50='Lease Rates'!$A$2:$A$64)*('Aircraft Economics (FC)'!D50='Lease Rates'!$D$2:$D$64),0))</f>
        <v>4511311.9999999953</v>
      </c>
      <c r="F50" s="16" cm="1">
        <f t="array" ref="F50">INDEX('Insurance Rates'!$I$2:$I$64,MATCH(1,('Aircraft Economics (FC)'!A50='Insurance Rates'!$A$2:$A$64)*('Aircraft Economics (FC)'!D50='Insurance Rates'!$D$2:$D$64),0))</f>
        <v>902262.39999999909</v>
      </c>
      <c r="G50" s="16" cm="1">
        <f t="array" ref="G50">INDEX('Maintenance Costs'!$H$2:$H$64,MATCH(1,('Aircraft Economics (FC)'!A50='Maintenance Costs'!$A$2:$A$64)*('Aircraft Economics (FC)'!D50='Maintenance Costs'!$D$2:$D$64),0))</f>
        <v>6650248.596794825</v>
      </c>
      <c r="H50" s="14">
        <f t="shared" si="3"/>
        <v>12063822.99679482</v>
      </c>
    </row>
    <row r="51" spans="1:8" ht="20" customHeight="1" x14ac:dyDescent="0.2">
      <c r="A51" s="7" t="s">
        <v>42</v>
      </c>
      <c r="B51" s="35">
        <v>5</v>
      </c>
      <c r="C51" s="25">
        <v>2005</v>
      </c>
      <c r="D51" s="34">
        <f t="shared" si="2"/>
        <v>23</v>
      </c>
      <c r="E51" s="16" cm="1">
        <f t="array" ref="E51">INDEX('Lease Rates'!$G$2:$G$64,MATCH(1,('Aircraft Economics (FC)'!A51='Lease Rates'!$A$2:$A$64)*('Aircraft Economics (FC)'!D51='Lease Rates'!$D$2:$D$64),0))</f>
        <v>3040231.9999999939</v>
      </c>
      <c r="F51" s="16" cm="1">
        <f t="array" ref="F51">INDEX('Insurance Rates'!$I$2:$I$64,MATCH(1,('Aircraft Economics (FC)'!A51='Insurance Rates'!$A$2:$A$64)*('Aircraft Economics (FC)'!D51='Insurance Rates'!$D$2:$D$64),0))</f>
        <v>608046.39999999886</v>
      </c>
      <c r="G51" s="16" cm="1">
        <f t="array" ref="G51">INDEX('Maintenance Costs'!$H$2:$H$64,MATCH(1,('Aircraft Economics (FC)'!A51='Maintenance Costs'!$A$2:$A$64)*('Aircraft Economics (FC)'!D51='Maintenance Costs'!$D$2:$D$64),0))</f>
        <v>6886288.8097957615</v>
      </c>
      <c r="H51" s="14">
        <f t="shared" si="3"/>
        <v>10534567.209795754</v>
      </c>
    </row>
    <row r="52" spans="1:8" ht="20" customHeight="1" x14ac:dyDescent="0.2">
      <c r="A52" s="7" t="s">
        <v>42</v>
      </c>
      <c r="B52" s="35">
        <v>10</v>
      </c>
      <c r="C52" s="25">
        <v>2005</v>
      </c>
      <c r="D52" s="34">
        <f t="shared" si="2"/>
        <v>28</v>
      </c>
      <c r="E52" s="16" cm="1">
        <f t="array" ref="E52">INDEX('Lease Rates'!$G$2:$G$64,MATCH(1,('Aircraft Economics (FC)'!A52='Lease Rates'!$A$2:$A$64)*('Aircraft Economics (FC)'!D52='Lease Rates'!$D$2:$D$64),0))</f>
        <v>1569151.9999999937</v>
      </c>
      <c r="F52" s="16" cm="1">
        <f t="array" ref="F52">INDEX('Insurance Rates'!$I$2:$I$64,MATCH(1,('Aircraft Economics (FC)'!A52='Insurance Rates'!$A$2:$A$64)*('Aircraft Economics (FC)'!D52='Insurance Rates'!$D$2:$D$64),0))</f>
        <v>313830.3999999988</v>
      </c>
      <c r="G52" s="16" cm="1">
        <f t="array" ref="G52">INDEX('Maintenance Costs'!$H$2:$H$64,MATCH(1,('Aircraft Economics (FC)'!A52='Maintenance Costs'!$A$2:$A$64)*('Aircraft Economics (FC)'!D52='Maintenance Costs'!$D$2:$D$64),0))</f>
        <v>7130706.902411662</v>
      </c>
      <c r="H52" s="14">
        <f t="shared" si="3"/>
        <v>9013689.302411655</v>
      </c>
    </row>
    <row r="53" spans="1:8" ht="20" customHeight="1" x14ac:dyDescent="0.2">
      <c r="A53" s="7" t="s">
        <v>41</v>
      </c>
      <c r="B53" s="35">
        <v>0</v>
      </c>
      <c r="C53" s="25">
        <v>2023</v>
      </c>
      <c r="D53" s="34">
        <f t="shared" si="2"/>
        <v>0</v>
      </c>
      <c r="E53" s="16" cm="1">
        <f t="array" ref="E53">INDEX('Lease Rates'!$G$2:$G$64,MATCH(1,('Aircraft Economics (FC)'!A53='Lease Rates'!$A$2:$A$64)*('Aircraft Economics (FC)'!D53='Lease Rates'!$D$2:$D$64),0))</f>
        <v>10909780</v>
      </c>
      <c r="F53" s="16" cm="1">
        <f t="array" ref="F53">INDEX('Insurance Rates'!$I$2:$I$64,MATCH(1,('Aircraft Economics (FC)'!A53='Insurance Rates'!$A$2:$A$64)*('Aircraft Economics (FC)'!D53='Insurance Rates'!$D$2:$D$64),0))</f>
        <v>2181956</v>
      </c>
      <c r="G53" s="16" cm="1">
        <f t="array" ref="G53">INDEX('Maintenance Costs'!$H$2:$H$64,MATCH(1,('Aircraft Economics (FC)'!A53='Maintenance Costs'!$A$2:$A$64)*('Aircraft Economics (FC)'!D53='Maintenance Costs'!$D$2:$D$64),0))</f>
        <v>2181956</v>
      </c>
      <c r="H53" s="14">
        <f t="shared" si="3"/>
        <v>15273692</v>
      </c>
    </row>
    <row r="54" spans="1:8" ht="20" customHeight="1" x14ac:dyDescent="0.2">
      <c r="A54" s="7" t="s">
        <v>41</v>
      </c>
      <c r="B54" s="35">
        <v>5</v>
      </c>
      <c r="C54" s="25">
        <v>2023</v>
      </c>
      <c r="D54" s="34">
        <f t="shared" si="2"/>
        <v>5</v>
      </c>
      <c r="E54" s="16" cm="1">
        <f t="array" ref="E54">INDEX('Lease Rates'!$G$2:$G$64,MATCH(1,('Aircraft Economics (FC)'!A54='Lease Rates'!$A$2:$A$64)*('Aircraft Economics (FC)'!D54='Lease Rates'!$D$2:$D$64),0))</f>
        <v>9273312.9999999981</v>
      </c>
      <c r="F54" s="16" cm="1">
        <f t="array" ref="F54">INDEX('Insurance Rates'!$I$2:$I$64,MATCH(1,('Aircraft Economics (FC)'!A54='Insurance Rates'!$A$2:$A$64)*('Aircraft Economics (FC)'!D54='Insurance Rates'!$D$2:$D$64),0))</f>
        <v>1854662.5999999996</v>
      </c>
      <c r="G54" s="16" cm="1">
        <f t="array" ref="G54">INDEX('Maintenance Costs'!$H$2:$H$64,MATCH(1,('Aircraft Economics (FC)'!A54='Maintenance Costs'!$A$2:$A$64)*('Aircraft Economics (FC)'!D54='Maintenance Costs'!$D$2:$D$64),0))</f>
        <v>4907751.8713130718</v>
      </c>
      <c r="H54" s="14">
        <f t="shared" si="3"/>
        <v>16035727.471313071</v>
      </c>
    </row>
    <row r="55" spans="1:8" ht="20" customHeight="1" x14ac:dyDescent="0.2">
      <c r="A55" s="7" t="s">
        <v>41</v>
      </c>
      <c r="B55" s="35">
        <v>10</v>
      </c>
      <c r="C55" s="25">
        <v>2023</v>
      </c>
      <c r="D55" s="34">
        <f t="shared" si="2"/>
        <v>10</v>
      </c>
      <c r="E55" s="16" cm="1">
        <f t="array" ref="E55">INDEX('Lease Rates'!$G$2:$G$64,MATCH(1,('Aircraft Economics (FC)'!A55='Lease Rates'!$A$2:$A$64)*('Aircraft Economics (FC)'!D55='Lease Rates'!$D$2:$D$64),0))</f>
        <v>7636845.9999999972</v>
      </c>
      <c r="F55" s="16" cm="1">
        <f t="array" ref="F55">INDEX('Insurance Rates'!$I$2:$I$64,MATCH(1,('Aircraft Economics (FC)'!A55='Insurance Rates'!$A$2:$A$64)*('Aircraft Economics (FC)'!D55='Insurance Rates'!$D$2:$D$64),0))</f>
        <v>1527369.1999999995</v>
      </c>
      <c r="G55" s="16" cm="1">
        <f t="array" ref="G55">INDEX('Maintenance Costs'!$H$2:$H$64,MATCH(1,('Aircraft Economics (FC)'!A55='Maintenance Costs'!$A$2:$A$64)*('Aircraft Economics (FC)'!D55='Maintenance Costs'!$D$2:$D$64),0))</f>
        <v>6622947.5887419479</v>
      </c>
      <c r="H55" s="14">
        <f t="shared" si="3"/>
        <v>15787162.788741946</v>
      </c>
    </row>
    <row r="56" spans="1:8" ht="20" customHeight="1" x14ac:dyDescent="0.2">
      <c r="A56" s="7" t="s">
        <v>48</v>
      </c>
      <c r="B56" s="35">
        <v>0</v>
      </c>
      <c r="C56" s="25">
        <v>2014</v>
      </c>
      <c r="D56" s="34">
        <f t="shared" si="2"/>
        <v>9</v>
      </c>
      <c r="E56" s="16" cm="1">
        <f t="array" ref="E56">INDEX('Lease Rates'!$G$2:$G$64,MATCH(1,('Aircraft Economics (FC)'!A56='Lease Rates'!$A$2:$A$64)*('Aircraft Economics (FC)'!D56='Lease Rates'!$D$2:$D$64),0))</f>
        <v>4473823.2499999981</v>
      </c>
      <c r="F56" s="16" cm="1">
        <f t="array" ref="F56">INDEX('Insurance Rates'!$I$2:$I$64,MATCH(1,('Aircraft Economics (FC)'!A56='Insurance Rates'!$A$2:$A$64)*('Aircraft Economics (FC)'!D56='Insurance Rates'!$D$2:$D$64),0))</f>
        <v>894764.64999999967</v>
      </c>
      <c r="G56" s="16" cm="1">
        <f t="array" ref="G56">INDEX('Maintenance Costs'!$H$2:$H$64,MATCH(1,('Aircraft Economics (FC)'!A56='Maintenance Costs'!$A$2:$A$64)*('Aircraft Economics (FC)'!D56='Maintenance Costs'!$D$2:$D$64),0))</f>
        <v>3594603.042230234</v>
      </c>
      <c r="H56" s="14">
        <f t="shared" si="3"/>
        <v>8963190.9422302321</v>
      </c>
    </row>
    <row r="57" spans="1:8" ht="20" customHeight="1" x14ac:dyDescent="0.2">
      <c r="A57" s="7" t="s">
        <v>48</v>
      </c>
      <c r="B57" s="35">
        <v>5</v>
      </c>
      <c r="C57" s="25">
        <v>2014</v>
      </c>
      <c r="D57" s="34">
        <f t="shared" si="2"/>
        <v>14</v>
      </c>
      <c r="E57" s="16" cm="1">
        <f t="array" ref="E57">INDEX('Lease Rates'!$G$2:$G$64,MATCH(1,('Aircraft Economics (FC)'!A57='Lease Rates'!$A$2:$A$64)*('Aircraft Economics (FC)'!D57='Lease Rates'!$D$2:$D$64),0))</f>
        <v>3554544.4999999977</v>
      </c>
      <c r="F57" s="16" cm="1">
        <f t="array" ref="F57">INDEX('Insurance Rates'!$I$2:$I$64,MATCH(1,('Aircraft Economics (FC)'!A57='Insurance Rates'!$A$2:$A$64)*('Aircraft Economics (FC)'!D57='Insurance Rates'!$D$2:$D$64),0))</f>
        <v>710908.89999999956</v>
      </c>
      <c r="G57" s="16" cm="1">
        <f t="array" ref="G57">INDEX('Maintenance Costs'!$H$2:$H$64,MATCH(1,('Aircraft Economics (FC)'!A57='Maintenance Costs'!$A$2:$A$64)*('Aircraft Economics (FC)'!D57='Maintenance Costs'!$D$2:$D$64),0))</f>
        <v>4041391.540132015</v>
      </c>
      <c r="H57" s="14">
        <f t="shared" si="3"/>
        <v>8306844.9401320126</v>
      </c>
    </row>
    <row r="58" spans="1:8" ht="20" customHeight="1" x14ac:dyDescent="0.2">
      <c r="A58" s="7" t="s">
        <v>48</v>
      </c>
      <c r="B58" s="35">
        <v>10</v>
      </c>
      <c r="C58" s="25">
        <v>2014</v>
      </c>
      <c r="D58" s="34">
        <f t="shared" si="2"/>
        <v>19</v>
      </c>
      <c r="E58" s="16" cm="1">
        <f t="array" ref="E58">INDEX('Lease Rates'!$G$2:$G$64,MATCH(1,('Aircraft Economics (FC)'!A58='Lease Rates'!$A$2:$A$64)*('Aircraft Economics (FC)'!D58='Lease Rates'!$D$2:$D$64),0))</f>
        <v>2635265.7499999967</v>
      </c>
      <c r="F58" s="16" cm="1">
        <f t="array" ref="F58">INDEX('Insurance Rates'!$I$2:$I$64,MATCH(1,('Aircraft Economics (FC)'!A58='Insurance Rates'!$A$2:$A$64)*('Aircraft Economics (FC)'!D58='Insurance Rates'!$D$2:$D$64),0))</f>
        <v>527053.14999999944</v>
      </c>
      <c r="G58" s="16" cm="1">
        <f t="array" ref="G58">INDEX('Maintenance Costs'!$H$2:$H$64,MATCH(1,('Aircraft Economics (FC)'!A58='Maintenance Costs'!$A$2:$A$64)*('Aircraft Economics (FC)'!D58='Maintenance Costs'!$D$2:$D$64),0))</f>
        <v>4184834.4364491091</v>
      </c>
      <c r="H58" s="14">
        <f t="shared" si="3"/>
        <v>7347153.3364491053</v>
      </c>
    </row>
    <row r="59" spans="1:8" ht="20" customHeight="1" x14ac:dyDescent="0.2">
      <c r="A59" s="7" t="s">
        <v>40</v>
      </c>
      <c r="B59" s="35">
        <v>0</v>
      </c>
      <c r="C59" s="25" t="s">
        <v>11</v>
      </c>
      <c r="D59" s="34">
        <f t="shared" si="2"/>
        <v>0</v>
      </c>
      <c r="E59" s="16" cm="1">
        <f t="array" ref="E59">INDEX('Lease Rates'!$G$2:$G$64,MATCH(1,('Aircraft Economics (FC)'!A59='Lease Rates'!$A$2:$A$64)*('Aircraft Economics (FC)'!D59='Lease Rates'!$D$2:$D$64),0))</f>
        <v>9791162.5</v>
      </c>
      <c r="F59" s="16" cm="1">
        <f t="array" ref="F59">INDEX('Insurance Rates'!$I$2:$I$64,MATCH(1,('Aircraft Economics (FC)'!A59='Insurance Rates'!$A$2:$A$64)*('Aircraft Economics (FC)'!D59='Insurance Rates'!$D$2:$D$64),0))</f>
        <v>1958232.5</v>
      </c>
      <c r="G59" s="16" cm="1">
        <f t="array" ref="G59">INDEX('Maintenance Costs'!$H$2:$H$64,MATCH(1,('Aircraft Economics (FC)'!A59='Maintenance Costs'!$A$2:$A$64)*('Aircraft Economics (FC)'!D59='Maintenance Costs'!$D$2:$D$64),0))</f>
        <v>1958232.5</v>
      </c>
      <c r="H59" s="14">
        <f t="shared" si="3"/>
        <v>13707627.5</v>
      </c>
    </row>
    <row r="60" spans="1:8" ht="20" customHeight="1" x14ac:dyDescent="0.2">
      <c r="A60" s="7" t="s">
        <v>40</v>
      </c>
      <c r="B60" s="35">
        <v>5</v>
      </c>
      <c r="C60" s="25" t="s">
        <v>11</v>
      </c>
      <c r="D60" s="34">
        <f t="shared" si="2"/>
        <v>5</v>
      </c>
      <c r="E60" s="16" cm="1">
        <f t="array" ref="E60">INDEX('Lease Rates'!$G$2:$G$64,MATCH(1,('Aircraft Economics (FC)'!A60='Lease Rates'!$A$2:$A$64)*('Aircraft Economics (FC)'!D60='Lease Rates'!$D$2:$D$64),0))</f>
        <v>8322488.1249999991</v>
      </c>
      <c r="F60" s="16" cm="1">
        <f t="array" ref="F60">INDEX('Insurance Rates'!$I$2:$I$64,MATCH(1,('Aircraft Economics (FC)'!A60='Insurance Rates'!$A$2:$A$64)*('Aircraft Economics (FC)'!D60='Insurance Rates'!$D$2:$D$64),0))</f>
        <v>1664497.6249999998</v>
      </c>
      <c r="G60" s="16" cm="1">
        <f t="array" ref="G60">INDEX('Maintenance Costs'!$H$2:$H$64,MATCH(1,('Aircraft Economics (FC)'!A60='Maintenance Costs'!$A$2:$A$64)*('Aircraft Economics (FC)'!D60='Maintenance Costs'!$D$2:$D$64),0))</f>
        <v>4404543.0871846518</v>
      </c>
      <c r="H60" s="14">
        <f t="shared" si="3"/>
        <v>14391528.837184649</v>
      </c>
    </row>
    <row r="61" spans="1:8" ht="20" customHeight="1" x14ac:dyDescent="0.2">
      <c r="A61" s="7" t="s">
        <v>40</v>
      </c>
      <c r="B61" s="35">
        <v>10</v>
      </c>
      <c r="C61" s="25" t="s">
        <v>11</v>
      </c>
      <c r="D61" s="34">
        <f t="shared" si="2"/>
        <v>10</v>
      </c>
      <c r="E61" s="16" cm="1">
        <f t="array" ref="E61">INDEX('Lease Rates'!$G$2:$G$64,MATCH(1,('Aircraft Economics (FC)'!A61='Lease Rates'!$A$2:$A$64)*('Aircraft Economics (FC)'!D61='Lease Rates'!$D$2:$D$64),0))</f>
        <v>6853813.7499999972</v>
      </c>
      <c r="F61" s="16" cm="1">
        <f t="array" ref="F61">INDEX('Insurance Rates'!$I$2:$I$64,MATCH(1,('Aircraft Economics (FC)'!A61='Insurance Rates'!$A$2:$A$64)*('Aircraft Economics (FC)'!D61='Insurance Rates'!$D$2:$D$64),0))</f>
        <v>1370762.7499999995</v>
      </c>
      <c r="G61" s="16" cm="1">
        <f t="array" ref="G61">INDEX('Maintenance Costs'!$H$2:$H$64,MATCH(1,('Aircraft Economics (FC)'!A61='Maintenance Costs'!$A$2:$A$64)*('Aircraft Economics (FC)'!D61='Maintenance Costs'!$D$2:$D$64),0))</f>
        <v>5943873.8517509596</v>
      </c>
      <c r="H61" s="14">
        <f t="shared" si="3"/>
        <v>14168450.351750955</v>
      </c>
    </row>
    <row r="62" spans="1:8" ht="20" customHeight="1" x14ac:dyDescent="0.2">
      <c r="A62" s="7" t="s">
        <v>39</v>
      </c>
      <c r="B62" s="35">
        <v>0</v>
      </c>
      <c r="C62" s="25" t="s">
        <v>11</v>
      </c>
      <c r="D62" s="34">
        <f t="shared" si="2"/>
        <v>0</v>
      </c>
      <c r="E62" s="16" cm="1">
        <f t="array" ref="E62">INDEX('Lease Rates'!$G$2:$G$64,MATCH(1,('Aircraft Economics (FC)'!A62='Lease Rates'!$A$2:$A$64)*('Aircraft Economics (FC)'!D62='Lease Rates'!$D$2:$D$64),0))</f>
        <v>7626937.5</v>
      </c>
      <c r="F62" s="16" cm="1">
        <f t="array" ref="F62">INDEX('Insurance Rates'!$I$2:$I$64,MATCH(1,('Aircraft Economics (FC)'!A62='Insurance Rates'!$A$2:$A$64)*('Aircraft Economics (FC)'!D62='Insurance Rates'!$D$2:$D$64),0))</f>
        <v>1525387.5</v>
      </c>
      <c r="G62" s="16" cm="1">
        <f t="array" ref="G62">INDEX('Maintenance Costs'!$H$2:$H$64,MATCH(1,('Aircraft Economics (FC)'!A62='Maintenance Costs'!$A$2:$A$64)*('Aircraft Economics (FC)'!D62='Maintenance Costs'!$D$2:$D$64),0))</f>
        <v>1525387.5</v>
      </c>
      <c r="H62" s="14">
        <f t="shared" si="3"/>
        <v>10677712.5</v>
      </c>
    </row>
    <row r="63" spans="1:8" ht="20" customHeight="1" x14ac:dyDescent="0.2">
      <c r="A63" s="7" t="s">
        <v>39</v>
      </c>
      <c r="B63" s="35">
        <v>5</v>
      </c>
      <c r="C63" s="25" t="s">
        <v>11</v>
      </c>
      <c r="D63" s="34">
        <f t="shared" si="2"/>
        <v>5</v>
      </c>
      <c r="E63" s="16" cm="1">
        <f t="array" ref="E63">INDEX('Lease Rates'!$G$2:$G$64,MATCH(1,('Aircraft Economics (FC)'!A63='Lease Rates'!$A$2:$A$64)*('Aircraft Economics (FC)'!D63='Lease Rates'!$D$2:$D$64),0))</f>
        <v>6482896.8749999991</v>
      </c>
      <c r="F63" s="16" cm="1">
        <f t="array" ref="F63">INDEX('Insurance Rates'!$I$2:$I$64,MATCH(1,('Aircraft Economics (FC)'!A63='Insurance Rates'!$A$2:$A$64)*('Aircraft Economics (FC)'!D63='Insurance Rates'!$D$2:$D$64),0))</f>
        <v>1296579.3749999998</v>
      </c>
      <c r="G63" s="16" cm="1">
        <f t="array" ref="G63">INDEX('Maintenance Costs'!$H$2:$H$64,MATCH(1,('Aircraft Economics (FC)'!A63='Maintenance Costs'!$A$2:$A$64)*('Aircraft Economics (FC)'!D63='Maintenance Costs'!$D$2:$D$64),0))</f>
        <v>3430968.9826937704</v>
      </c>
      <c r="H63" s="14">
        <f t="shared" si="3"/>
        <v>11210445.232693769</v>
      </c>
    </row>
    <row r="64" spans="1:8" ht="20" customHeight="1" thickBot="1" x14ac:dyDescent="0.25">
      <c r="A64" s="8" t="s">
        <v>39</v>
      </c>
      <c r="B64" s="20">
        <v>10</v>
      </c>
      <c r="C64" s="30" t="s">
        <v>11</v>
      </c>
      <c r="D64" s="6">
        <f t="shared" si="2"/>
        <v>10</v>
      </c>
      <c r="E64" s="12" cm="1">
        <f t="array" ref="E64">INDEX('Lease Rates'!$G$2:$G$64,MATCH(1,('Aircraft Economics (FC)'!A64='Lease Rates'!$A$2:$A$64)*('Aircraft Economics (FC)'!D64='Lease Rates'!$D$2:$D$64),0))</f>
        <v>5338856.2499999981</v>
      </c>
      <c r="F64" s="12" cm="1">
        <f t="array" ref="F64">INDEX('Insurance Rates'!$I$2:$I$64,MATCH(1,('Aircraft Economics (FC)'!A64='Insurance Rates'!$A$2:$A$64)*('Aircraft Economics (FC)'!D64='Insurance Rates'!$D$2:$D$64),0))</f>
        <v>1067771.2499999995</v>
      </c>
      <c r="G64" s="12" cm="1">
        <f t="array" ref="G64">INDEX('Maintenance Costs'!$H$2:$H$64,MATCH(1,('Aircraft Economics (FC)'!A64='Maintenance Costs'!$A$2:$A$64)*('Aircraft Economics (FC)'!D64='Maintenance Costs'!$D$2:$D$64),0))</f>
        <v>4630048.2067567399</v>
      </c>
      <c r="H64" s="15">
        <f t="shared" si="3"/>
        <v>11036675.706756737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0BBD6-E8E6-E14F-AD7F-C2BA1543983B}">
  <dimension ref="A1:I22"/>
  <sheetViews>
    <sheetView zoomScale="135" workbookViewId="0">
      <selection activeCell="I4" sqref="I4"/>
    </sheetView>
  </sheetViews>
  <sheetFormatPr baseColWidth="10" defaultColWidth="25.83203125" defaultRowHeight="20" customHeight="1" x14ac:dyDescent="0.2"/>
  <cols>
    <col min="1" max="16384" width="25.83203125" style="1"/>
  </cols>
  <sheetData>
    <row r="1" spans="1:9" ht="20" customHeight="1" thickBot="1" x14ac:dyDescent="0.25">
      <c r="A1" s="2" t="s">
        <v>0</v>
      </c>
      <c r="B1" s="3" t="s">
        <v>2</v>
      </c>
      <c r="C1" s="3" t="s">
        <v>3</v>
      </c>
      <c r="D1" s="3" t="s">
        <v>47</v>
      </c>
      <c r="E1" s="3" t="s">
        <v>4</v>
      </c>
      <c r="F1" s="3" t="s">
        <v>12</v>
      </c>
      <c r="G1" s="3" t="s">
        <v>5</v>
      </c>
      <c r="H1" s="3" t="s">
        <v>6</v>
      </c>
      <c r="I1" s="4" t="s">
        <v>13</v>
      </c>
    </row>
    <row r="2" spans="1:9" ht="20" customHeight="1" x14ac:dyDescent="0.2">
      <c r="A2" s="39" t="s">
        <v>38</v>
      </c>
      <c r="B2" s="22">
        <v>81000000</v>
      </c>
      <c r="C2" s="23">
        <v>2018</v>
      </c>
      <c r="D2" s="31">
        <v>0.215</v>
      </c>
      <c r="E2" s="11">
        <f>(Table1[[#This Row],[List Price]])+(Table1[[#This Row],[List Price]]*Table1[[#This Row],[Cumulative CPI (%)]])</f>
        <v>98415000</v>
      </c>
      <c r="F2" s="26">
        <v>0.5</v>
      </c>
      <c r="G2" s="11">
        <f t="shared" ref="G2:G22" si="0">(E2)*(F2)</f>
        <v>49207500</v>
      </c>
      <c r="H2" s="40">
        <v>0.05</v>
      </c>
      <c r="I2" s="13">
        <f t="shared" ref="I2:I22" si="1">(G2*H2)</f>
        <v>2460375</v>
      </c>
    </row>
    <row r="3" spans="1:9" ht="20" customHeight="1" x14ac:dyDescent="0.2">
      <c r="A3" s="7" t="s">
        <v>37</v>
      </c>
      <c r="B3" s="24">
        <v>91500000</v>
      </c>
      <c r="C3" s="25">
        <v>2018</v>
      </c>
      <c r="D3" s="32">
        <v>0.215</v>
      </c>
      <c r="E3" s="16">
        <f>(Table1[[#This Row],[List Price]])+(Table1[[#This Row],[List Price]]*Table1[[#This Row],[Cumulative CPI (%)]])</f>
        <v>111172500</v>
      </c>
      <c r="F3" s="27">
        <v>0.5</v>
      </c>
      <c r="G3" s="16">
        <f t="shared" si="0"/>
        <v>55586250</v>
      </c>
      <c r="H3" s="41">
        <v>0.05</v>
      </c>
      <c r="I3" s="14">
        <f t="shared" si="1"/>
        <v>2779312.5</v>
      </c>
    </row>
    <row r="4" spans="1:9" ht="20" customHeight="1" x14ac:dyDescent="0.2">
      <c r="A4" s="7" t="s">
        <v>36</v>
      </c>
      <c r="B4" s="24">
        <v>101000000</v>
      </c>
      <c r="C4" s="25">
        <v>2018</v>
      </c>
      <c r="D4" s="32">
        <v>0.215</v>
      </c>
      <c r="E4" s="16">
        <f>(Table1[[#This Row],[List Price]])+(Table1[[#This Row],[List Price]]*Table1[[#This Row],[Cumulative CPI (%)]])</f>
        <v>122715000</v>
      </c>
      <c r="F4" s="27">
        <v>0.5</v>
      </c>
      <c r="G4" s="16">
        <f t="shared" si="0"/>
        <v>61357500</v>
      </c>
      <c r="H4" s="41">
        <v>0.05</v>
      </c>
      <c r="I4" s="14">
        <f t="shared" si="1"/>
        <v>3067875</v>
      </c>
    </row>
    <row r="5" spans="1:9" ht="20" customHeight="1" x14ac:dyDescent="0.2">
      <c r="A5" s="7" t="s">
        <v>34</v>
      </c>
      <c r="B5" s="24">
        <v>110600000</v>
      </c>
      <c r="C5" s="25">
        <v>2018</v>
      </c>
      <c r="D5" s="32">
        <v>0.215</v>
      </c>
      <c r="E5" s="16">
        <f>(Table1[[#This Row],[List Price]])+(Table1[[#This Row],[List Price]]*Table1[[#This Row],[Cumulative CPI (%)]])</f>
        <v>134379000</v>
      </c>
      <c r="F5" s="27">
        <v>0.5</v>
      </c>
      <c r="G5" s="16">
        <f t="shared" si="0"/>
        <v>67189500</v>
      </c>
      <c r="H5" s="41">
        <v>0.05</v>
      </c>
      <c r="I5" s="14">
        <f t="shared" si="1"/>
        <v>3359475</v>
      </c>
    </row>
    <row r="6" spans="1:9" ht="20" customHeight="1" x14ac:dyDescent="0.2">
      <c r="A6" s="7" t="s">
        <v>35</v>
      </c>
      <c r="B6" s="24">
        <v>118300000</v>
      </c>
      <c r="C6" s="25">
        <v>2018</v>
      </c>
      <c r="D6" s="32">
        <v>0.215</v>
      </c>
      <c r="E6" s="16">
        <f>(Table1[[#This Row],[List Price]])+(Table1[[#This Row],[List Price]]*Table1[[#This Row],[Cumulative CPI (%)]])</f>
        <v>143734500</v>
      </c>
      <c r="F6" s="27">
        <v>0.5</v>
      </c>
      <c r="G6" s="16">
        <f t="shared" si="0"/>
        <v>71867250</v>
      </c>
      <c r="H6" s="41">
        <v>0.05</v>
      </c>
      <c r="I6" s="14">
        <f t="shared" si="1"/>
        <v>3593362.5</v>
      </c>
    </row>
    <row r="7" spans="1:9" ht="20" customHeight="1" x14ac:dyDescent="0.2">
      <c r="A7" s="7" t="s">
        <v>33</v>
      </c>
      <c r="B7" s="24">
        <v>129500000</v>
      </c>
      <c r="C7" s="25">
        <v>2018</v>
      </c>
      <c r="D7" s="32">
        <v>0.215</v>
      </c>
      <c r="E7" s="16">
        <f>(Table1[[#This Row],[List Price]])+(Table1[[#This Row],[List Price]]*Table1[[#This Row],[Cumulative CPI (%)]])</f>
        <v>157342500</v>
      </c>
      <c r="F7" s="27">
        <v>0.5</v>
      </c>
      <c r="G7" s="16">
        <f t="shared" si="0"/>
        <v>78671250</v>
      </c>
      <c r="H7" s="41">
        <v>0.05</v>
      </c>
      <c r="I7" s="14">
        <f t="shared" si="1"/>
        <v>3933562.5</v>
      </c>
    </row>
    <row r="8" spans="1:9" ht="20" customHeight="1" x14ac:dyDescent="0.2">
      <c r="A8" s="7" t="s">
        <v>29</v>
      </c>
      <c r="B8" s="24">
        <v>264200000</v>
      </c>
      <c r="C8" s="25">
        <v>2018</v>
      </c>
      <c r="D8" s="32">
        <v>0.215</v>
      </c>
      <c r="E8" s="16">
        <f>(Table1[[#This Row],[List Price]])+(Table1[[#This Row],[List Price]]*Table1[[#This Row],[Cumulative CPI (%)]])</f>
        <v>321003000</v>
      </c>
      <c r="F8" s="27">
        <v>0.5</v>
      </c>
      <c r="G8" s="16">
        <f t="shared" si="0"/>
        <v>160501500</v>
      </c>
      <c r="H8" s="41">
        <v>0.05</v>
      </c>
      <c r="I8" s="14">
        <f t="shared" si="1"/>
        <v>8025075</v>
      </c>
    </row>
    <row r="9" spans="1:9" ht="20" customHeight="1" x14ac:dyDescent="0.2">
      <c r="A9" s="7" t="s">
        <v>32</v>
      </c>
      <c r="B9" s="24">
        <v>296400000</v>
      </c>
      <c r="C9" s="25">
        <v>2018</v>
      </c>
      <c r="D9" s="32">
        <v>0.215</v>
      </c>
      <c r="E9" s="16">
        <f>(Table1[[#This Row],[List Price]])+(Table1[[#This Row],[List Price]]*Table1[[#This Row],[Cumulative CPI (%)]])</f>
        <v>360126000</v>
      </c>
      <c r="F9" s="27">
        <v>0.5</v>
      </c>
      <c r="G9" s="16">
        <f t="shared" si="0"/>
        <v>180063000</v>
      </c>
      <c r="H9" s="41">
        <v>0.05</v>
      </c>
      <c r="I9" s="14">
        <f t="shared" si="1"/>
        <v>9003150</v>
      </c>
    </row>
    <row r="10" spans="1:9" ht="20" customHeight="1" x14ac:dyDescent="0.2">
      <c r="A10" s="7" t="s">
        <v>31</v>
      </c>
      <c r="B10" s="24">
        <v>238000000</v>
      </c>
      <c r="C10" s="25">
        <v>2011</v>
      </c>
      <c r="D10" s="32">
        <v>0.35599999999999998</v>
      </c>
      <c r="E10" s="16">
        <f>(Table1[[#This Row],[List Price]])+(Table1[[#This Row],[List Price]]*Table1[[#This Row],[Cumulative CPI (%)]])</f>
        <v>322728000</v>
      </c>
      <c r="F10" s="27">
        <v>0.5</v>
      </c>
      <c r="G10" s="16">
        <f t="shared" si="0"/>
        <v>161364000</v>
      </c>
      <c r="H10" s="41">
        <v>0.05</v>
      </c>
      <c r="I10" s="14">
        <f t="shared" si="1"/>
        <v>8068200</v>
      </c>
    </row>
    <row r="11" spans="1:9" ht="20" customHeight="1" x14ac:dyDescent="0.2">
      <c r="A11" s="7" t="s">
        <v>30</v>
      </c>
      <c r="B11" s="24">
        <v>275400000</v>
      </c>
      <c r="C11" s="25">
        <v>2011</v>
      </c>
      <c r="D11" s="32">
        <v>0.35599999999999998</v>
      </c>
      <c r="E11" s="16">
        <f>(Table1[[#This Row],[List Price]])+(Table1[[#This Row],[List Price]]*Table1[[#This Row],[Cumulative CPI (%)]])</f>
        <v>373442400</v>
      </c>
      <c r="F11" s="27">
        <v>0.5</v>
      </c>
      <c r="G11" s="16">
        <f t="shared" si="0"/>
        <v>186721200</v>
      </c>
      <c r="H11" s="41">
        <v>0.05</v>
      </c>
      <c r="I11" s="14">
        <f t="shared" si="1"/>
        <v>9336060</v>
      </c>
    </row>
    <row r="12" spans="1:9" ht="20" customHeight="1" x14ac:dyDescent="0.2">
      <c r="A12" s="7" t="s">
        <v>28</v>
      </c>
      <c r="B12" s="24">
        <v>317400000</v>
      </c>
      <c r="C12" s="25">
        <v>2018</v>
      </c>
      <c r="D12" s="32">
        <v>0.215</v>
      </c>
      <c r="E12" s="16">
        <f>(Table1[[#This Row],[List Price]])+(Table1[[#This Row],[List Price]]*Table1[[#This Row],[Cumulative CPI (%)]])</f>
        <v>385641000</v>
      </c>
      <c r="F12" s="27">
        <v>0.5</v>
      </c>
      <c r="G12" s="16">
        <f t="shared" si="0"/>
        <v>192820500</v>
      </c>
      <c r="H12" s="41">
        <v>0.05</v>
      </c>
      <c r="I12" s="14">
        <f t="shared" si="1"/>
        <v>9641025</v>
      </c>
    </row>
    <row r="13" spans="1:9" ht="20" customHeight="1" x14ac:dyDescent="0.2">
      <c r="A13" s="7" t="s">
        <v>27</v>
      </c>
      <c r="B13" s="24">
        <v>445600000</v>
      </c>
      <c r="C13" s="25">
        <v>2018</v>
      </c>
      <c r="D13" s="32">
        <v>0.215</v>
      </c>
      <c r="E13" s="16">
        <f>(Table1[[#This Row],[List Price]])+(Table1[[#This Row],[List Price]]*Table1[[#This Row],[Cumulative CPI (%)]])</f>
        <v>541404000</v>
      </c>
      <c r="F13" s="27">
        <v>0.5</v>
      </c>
      <c r="G13" s="16">
        <f t="shared" si="0"/>
        <v>270702000</v>
      </c>
      <c r="H13" s="41">
        <v>0.05</v>
      </c>
      <c r="I13" s="14">
        <f t="shared" si="1"/>
        <v>13535100</v>
      </c>
    </row>
    <row r="14" spans="1:9" ht="20" customHeight="1" x14ac:dyDescent="0.2">
      <c r="A14" s="7" t="s">
        <v>45</v>
      </c>
      <c r="B14" s="24">
        <v>121600000</v>
      </c>
      <c r="C14" s="25">
        <v>2022</v>
      </c>
      <c r="D14" s="32">
        <v>4.2999999999999997E-2</v>
      </c>
      <c r="E14" s="16">
        <f>(Table1[[#This Row],[List Price]])+(Table1[[#This Row],[List Price]]*Table1[[#This Row],[Cumulative CPI (%)]])</f>
        <v>126828800</v>
      </c>
      <c r="F14" s="27">
        <v>0.5</v>
      </c>
      <c r="G14" s="16">
        <f t="shared" si="0"/>
        <v>63414400</v>
      </c>
      <c r="H14" s="41">
        <v>0.05</v>
      </c>
      <c r="I14" s="14">
        <f t="shared" si="1"/>
        <v>3170720</v>
      </c>
    </row>
    <row r="15" spans="1:9" ht="20" customHeight="1" x14ac:dyDescent="0.2">
      <c r="A15" s="7" t="s">
        <v>43</v>
      </c>
      <c r="B15" s="24">
        <v>128900000</v>
      </c>
      <c r="C15" s="25">
        <v>2022</v>
      </c>
      <c r="D15" s="32">
        <v>4.2999999999999997E-2</v>
      </c>
      <c r="E15" s="16">
        <f>(Table1[[#This Row],[List Price]])+(Table1[[#This Row],[List Price]]*Table1[[#This Row],[Cumulative CPI (%)]])</f>
        <v>134442700</v>
      </c>
      <c r="F15" s="27">
        <v>0.5</v>
      </c>
      <c r="G15" s="16">
        <f t="shared" si="0"/>
        <v>67221350</v>
      </c>
      <c r="H15" s="41">
        <v>0.05</v>
      </c>
      <c r="I15" s="14">
        <f t="shared" si="1"/>
        <v>3361067.5</v>
      </c>
    </row>
    <row r="16" spans="1:9" ht="20" customHeight="1" x14ac:dyDescent="0.2">
      <c r="A16" s="7" t="s">
        <v>46</v>
      </c>
      <c r="B16" s="24">
        <v>106100000</v>
      </c>
      <c r="C16" s="25">
        <v>2022</v>
      </c>
      <c r="D16" s="32">
        <v>4.2999999999999997E-2</v>
      </c>
      <c r="E16" s="16">
        <f>(Table1[[#This Row],[List Price]])+(Table1[[#This Row],[List Price]]*Table1[[#This Row],[Cumulative CPI (%)]])</f>
        <v>110662300</v>
      </c>
      <c r="F16" s="27">
        <v>0.5</v>
      </c>
      <c r="G16" s="16">
        <f t="shared" si="0"/>
        <v>55331150</v>
      </c>
      <c r="H16" s="41">
        <v>0.05</v>
      </c>
      <c r="I16" s="14">
        <f t="shared" si="1"/>
        <v>2766557.5</v>
      </c>
    </row>
    <row r="17" spans="1:9" ht="20" customHeight="1" x14ac:dyDescent="0.2">
      <c r="A17" s="7" t="s">
        <v>44</v>
      </c>
      <c r="B17" s="24">
        <v>112600000</v>
      </c>
      <c r="C17" s="25">
        <v>2022</v>
      </c>
      <c r="D17" s="32">
        <v>4.2999999999999997E-2</v>
      </c>
      <c r="E17" s="16">
        <f>(Table1[[#This Row],[List Price]])+(Table1[[#This Row],[List Price]]*Table1[[#This Row],[Cumulative CPI (%)]])</f>
        <v>117441800</v>
      </c>
      <c r="F17" s="27">
        <v>0.5</v>
      </c>
      <c r="G17" s="16">
        <f t="shared" si="0"/>
        <v>58720900</v>
      </c>
      <c r="H17" s="41">
        <v>0.05</v>
      </c>
      <c r="I17" s="14">
        <f t="shared" si="1"/>
        <v>2936045</v>
      </c>
    </row>
    <row r="18" spans="1:9" ht="20" customHeight="1" x14ac:dyDescent="0.2">
      <c r="A18" s="7" t="s">
        <v>42</v>
      </c>
      <c r="B18" s="24">
        <v>266500000</v>
      </c>
      <c r="C18" s="25">
        <v>2007</v>
      </c>
      <c r="D18" s="32">
        <v>0.47199999999999998</v>
      </c>
      <c r="E18" s="16">
        <f>(Table1[[#This Row],[List Price]])+(Table1[[#This Row],[List Price]]*Table1[[#This Row],[Cumulative CPI (%)]])</f>
        <v>392288000</v>
      </c>
      <c r="F18" s="27">
        <v>0.5</v>
      </c>
      <c r="G18" s="16">
        <f t="shared" si="0"/>
        <v>196144000</v>
      </c>
      <c r="H18" s="41">
        <v>0.05</v>
      </c>
      <c r="I18" s="14">
        <f t="shared" si="1"/>
        <v>9807200</v>
      </c>
    </row>
    <row r="19" spans="1:9" ht="20" customHeight="1" x14ac:dyDescent="0.2">
      <c r="A19" s="7" t="s">
        <v>41</v>
      </c>
      <c r="B19" s="24">
        <v>418400000</v>
      </c>
      <c r="C19" s="25">
        <v>2022</v>
      </c>
      <c r="D19" s="32">
        <v>4.2999999999999997E-2</v>
      </c>
      <c r="E19" s="16">
        <f>(Table1[[#This Row],[List Price]])+(Table1[[#This Row],[List Price]]*Table1[[#This Row],[Cumulative CPI (%)]])</f>
        <v>436391200</v>
      </c>
      <c r="F19" s="27">
        <v>0.5</v>
      </c>
      <c r="G19" s="16">
        <f t="shared" si="0"/>
        <v>218195600</v>
      </c>
      <c r="H19" s="41">
        <v>0.05</v>
      </c>
      <c r="I19" s="14">
        <f t="shared" si="1"/>
        <v>10909780</v>
      </c>
    </row>
    <row r="20" spans="1:9" ht="20" customHeight="1" x14ac:dyDescent="0.2">
      <c r="A20" s="7" t="s">
        <v>48</v>
      </c>
      <c r="B20" s="24">
        <v>173000000</v>
      </c>
      <c r="C20" s="25">
        <v>2008</v>
      </c>
      <c r="D20" s="32">
        <v>0.41699999999999998</v>
      </c>
      <c r="E20" s="16">
        <f>(Table1[[#This Row],[List Price]])+(Table1[[#This Row],[List Price]]*Table1[[#This Row],[Cumulative CPI (%)]])</f>
        <v>245141000</v>
      </c>
      <c r="F20" s="27">
        <v>0.5</v>
      </c>
      <c r="G20" s="16">
        <f t="shared" si="0"/>
        <v>122570500</v>
      </c>
      <c r="H20" s="41">
        <v>0.05</v>
      </c>
      <c r="I20" s="14">
        <f t="shared" si="1"/>
        <v>6128525</v>
      </c>
    </row>
    <row r="21" spans="1:9" ht="20" customHeight="1" x14ac:dyDescent="0.2">
      <c r="A21" s="7" t="s">
        <v>40</v>
      </c>
      <c r="B21" s="24">
        <v>375500000</v>
      </c>
      <c r="C21" s="25">
        <v>2022</v>
      </c>
      <c r="D21" s="32">
        <v>4.2999999999999997E-2</v>
      </c>
      <c r="E21" s="16">
        <f>(Table1[[#This Row],[List Price]])+(Table1[[#This Row],[List Price]]*Table1[[#This Row],[Cumulative CPI (%)]])</f>
        <v>391646500</v>
      </c>
      <c r="F21" s="27">
        <v>0.5</v>
      </c>
      <c r="G21" s="16">
        <f t="shared" si="0"/>
        <v>195823250</v>
      </c>
      <c r="H21" s="41">
        <v>0.05</v>
      </c>
      <c r="I21" s="14">
        <f t="shared" si="1"/>
        <v>9791162.5</v>
      </c>
    </row>
    <row r="22" spans="1:9" ht="20" customHeight="1" thickBot="1" x14ac:dyDescent="0.25">
      <c r="A22" s="8" t="s">
        <v>39</v>
      </c>
      <c r="B22" s="29">
        <v>292500000</v>
      </c>
      <c r="C22" s="30">
        <v>2022</v>
      </c>
      <c r="D22" s="33">
        <v>4.2999999999999997E-2</v>
      </c>
      <c r="E22" s="12">
        <f>(Table1[[#This Row],[List Price]])+(Table1[[#This Row],[List Price]]*Table1[[#This Row],[Cumulative CPI (%)]])</f>
        <v>305077500</v>
      </c>
      <c r="F22" s="28">
        <v>0.5</v>
      </c>
      <c r="G22" s="12">
        <f t="shared" si="0"/>
        <v>152538750</v>
      </c>
      <c r="H22" s="42">
        <v>0.05</v>
      </c>
      <c r="I22" s="15">
        <f t="shared" si="1"/>
        <v>7626937.5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53D41-12E8-3D49-AA50-59889E306CF7}">
  <dimension ref="A1:G64"/>
  <sheetViews>
    <sheetView topLeftCell="A8" workbookViewId="0">
      <selection activeCell="G56" sqref="G56"/>
    </sheetView>
  </sheetViews>
  <sheetFormatPr baseColWidth="10" defaultColWidth="25.83203125" defaultRowHeight="20" customHeight="1" x14ac:dyDescent="0.2"/>
  <cols>
    <col min="1" max="16384" width="25.83203125" style="1"/>
  </cols>
  <sheetData>
    <row r="1" spans="1:7" ht="20" customHeight="1" thickBot="1" x14ac:dyDescent="0.25">
      <c r="A1" s="2" t="s">
        <v>0</v>
      </c>
      <c r="B1" s="3" t="s">
        <v>8</v>
      </c>
      <c r="C1" s="3" t="s">
        <v>1</v>
      </c>
      <c r="D1" s="3" t="s">
        <v>10</v>
      </c>
      <c r="E1" s="3" t="s">
        <v>13</v>
      </c>
      <c r="F1" s="3" t="s">
        <v>15</v>
      </c>
      <c r="G1" s="4" t="s">
        <v>14</v>
      </c>
    </row>
    <row r="2" spans="1:7" ht="20" customHeight="1" x14ac:dyDescent="0.2">
      <c r="A2" s="39" t="s">
        <v>38</v>
      </c>
      <c r="B2" s="21">
        <v>0</v>
      </c>
      <c r="C2" s="5" t="str">
        <f>_xlfn.XLOOKUP(A2,'Aircraft Economics (FC)'!$A$2:$A$64,'Aircraft Economics (FC)'!$C$2:$C$64)</f>
        <v>In Production</v>
      </c>
      <c r="D2" s="5">
        <f t="shared" ref="D2" si="0">IF(C2="In Production",B2,B2+(2023-C2))</f>
        <v>0</v>
      </c>
      <c r="E2" s="11">
        <f>_xlfn.XLOOKUP(A2,'Adjusted List Prices'!$A$2:$A$22,'Adjusted List Prices'!$I$2:$I$22)</f>
        <v>2460375</v>
      </c>
      <c r="F2" s="17">
        <f>_xlfn.XLOOKUP(D2,'Rates &amp; Costs (T-Intervals)'!$A$2:$A$32,'Rates &amp; Costs (T-Intervals)'!$C$2:$C$32)</f>
        <v>1</v>
      </c>
      <c r="G2" s="13">
        <f t="shared" ref="G2" si="1">(E2*F2)</f>
        <v>2460375</v>
      </c>
    </row>
    <row r="3" spans="1:7" ht="20" customHeight="1" x14ac:dyDescent="0.2">
      <c r="A3" s="7" t="s">
        <v>38</v>
      </c>
      <c r="B3" s="35">
        <v>5</v>
      </c>
      <c r="C3" s="34" t="str">
        <f>_xlfn.XLOOKUP(A3,'Aircraft Economics (FC)'!$A$2:$A$64,'Aircraft Economics (FC)'!$C$2:$C$64)</f>
        <v>In Production</v>
      </c>
      <c r="D3" s="34">
        <f t="shared" ref="D3:D64" si="2">IF(C3="In Production",B3,B3+(2023-C3))</f>
        <v>5</v>
      </c>
      <c r="E3" s="16">
        <f>_xlfn.XLOOKUP(A3,'Adjusted List Prices'!$A$2:$A$22,'Adjusted List Prices'!$I$2:$I$22)</f>
        <v>2460375</v>
      </c>
      <c r="F3" s="18">
        <f>_xlfn.XLOOKUP(D3,'Rates &amp; Costs (T-Intervals)'!$A$2:$A$32,'Rates &amp; Costs (T-Intervals)'!$C$2:$C$32)</f>
        <v>0.84999999999999987</v>
      </c>
      <c r="G3" s="14">
        <f t="shared" ref="G3:G64" si="3">(E3*F3)</f>
        <v>2091318.7499999998</v>
      </c>
    </row>
    <row r="4" spans="1:7" ht="20" customHeight="1" x14ac:dyDescent="0.2">
      <c r="A4" s="7" t="s">
        <v>38</v>
      </c>
      <c r="B4" s="35">
        <v>10</v>
      </c>
      <c r="C4" s="34" t="str">
        <f>_xlfn.XLOOKUP(A4,'Aircraft Economics (FC)'!$A$2:$A$64,'Aircraft Economics (FC)'!$C$2:$C$64)</f>
        <v>In Production</v>
      </c>
      <c r="D4" s="34">
        <f t="shared" si="2"/>
        <v>10</v>
      </c>
      <c r="E4" s="16">
        <f>_xlfn.XLOOKUP(A4,'Adjusted List Prices'!$A$2:$A$22,'Adjusted List Prices'!$I$2:$I$22)</f>
        <v>2460375</v>
      </c>
      <c r="F4" s="18">
        <f>_xlfn.XLOOKUP(D4,'Rates &amp; Costs (T-Intervals)'!$A$2:$A$32,'Rates &amp; Costs (T-Intervals)'!$C$2:$C$32)</f>
        <v>0.69999999999999973</v>
      </c>
      <c r="G4" s="14">
        <f t="shared" si="3"/>
        <v>1722262.4999999993</v>
      </c>
    </row>
    <row r="5" spans="1:7" ht="20" customHeight="1" x14ac:dyDescent="0.2">
      <c r="A5" s="7" t="s">
        <v>37</v>
      </c>
      <c r="B5" s="35">
        <v>0</v>
      </c>
      <c r="C5" s="34" t="str">
        <f>_xlfn.XLOOKUP(A5,'Aircraft Economics (FC)'!$A$2:$A$64,'Aircraft Economics (FC)'!$C$2:$C$64)</f>
        <v>In Production</v>
      </c>
      <c r="D5" s="34">
        <f t="shared" si="2"/>
        <v>0</v>
      </c>
      <c r="E5" s="16">
        <f>_xlfn.XLOOKUP(A5,'Adjusted List Prices'!$A$2:$A$22,'Adjusted List Prices'!$I$2:$I$22)</f>
        <v>2779312.5</v>
      </c>
      <c r="F5" s="18">
        <f>_xlfn.XLOOKUP(D5,'Rates &amp; Costs (T-Intervals)'!$A$2:$A$32,'Rates &amp; Costs (T-Intervals)'!$C$2:$C$32)</f>
        <v>1</v>
      </c>
      <c r="G5" s="14">
        <f t="shared" si="3"/>
        <v>2779312.5</v>
      </c>
    </row>
    <row r="6" spans="1:7" ht="20" customHeight="1" x14ac:dyDescent="0.2">
      <c r="A6" s="7" t="s">
        <v>37</v>
      </c>
      <c r="B6" s="35">
        <v>5</v>
      </c>
      <c r="C6" s="34" t="str">
        <f>_xlfn.XLOOKUP(A6,'Aircraft Economics (FC)'!$A$2:$A$64,'Aircraft Economics (FC)'!$C$2:$C$64)</f>
        <v>In Production</v>
      </c>
      <c r="D6" s="34">
        <f t="shared" si="2"/>
        <v>5</v>
      </c>
      <c r="E6" s="16">
        <f>_xlfn.XLOOKUP(A6,'Adjusted List Prices'!$A$2:$A$22,'Adjusted List Prices'!$I$2:$I$22)</f>
        <v>2779312.5</v>
      </c>
      <c r="F6" s="18">
        <f>_xlfn.XLOOKUP(D6,'Rates &amp; Costs (T-Intervals)'!$A$2:$A$32,'Rates &amp; Costs (T-Intervals)'!$C$2:$C$32)</f>
        <v>0.84999999999999987</v>
      </c>
      <c r="G6" s="14">
        <f t="shared" si="3"/>
        <v>2362415.6249999995</v>
      </c>
    </row>
    <row r="7" spans="1:7" ht="20" customHeight="1" x14ac:dyDescent="0.2">
      <c r="A7" s="7" t="s">
        <v>37</v>
      </c>
      <c r="B7" s="35">
        <v>10</v>
      </c>
      <c r="C7" s="34" t="str">
        <f>_xlfn.XLOOKUP(A7,'Aircraft Economics (FC)'!$A$2:$A$64,'Aircraft Economics (FC)'!$C$2:$C$64)</f>
        <v>In Production</v>
      </c>
      <c r="D7" s="34">
        <f t="shared" si="2"/>
        <v>10</v>
      </c>
      <c r="E7" s="16">
        <f>_xlfn.XLOOKUP(A7,'Adjusted List Prices'!$A$2:$A$22,'Adjusted List Prices'!$I$2:$I$22)</f>
        <v>2779312.5</v>
      </c>
      <c r="F7" s="18">
        <f>_xlfn.XLOOKUP(D7,'Rates &amp; Costs (T-Intervals)'!$A$2:$A$32,'Rates &amp; Costs (T-Intervals)'!$C$2:$C$32)</f>
        <v>0.69999999999999973</v>
      </c>
      <c r="G7" s="14">
        <f t="shared" si="3"/>
        <v>1945518.7499999993</v>
      </c>
    </row>
    <row r="8" spans="1:7" ht="20" customHeight="1" x14ac:dyDescent="0.2">
      <c r="A8" s="7" t="s">
        <v>36</v>
      </c>
      <c r="B8" s="35">
        <v>0</v>
      </c>
      <c r="C8" s="34">
        <f>_xlfn.XLOOKUP(A8,'Aircraft Economics (FC)'!$A$2:$A$64,'Aircraft Economics (FC)'!$C$2:$C$64)</f>
        <v>2021</v>
      </c>
      <c r="D8" s="34">
        <f t="shared" si="2"/>
        <v>2</v>
      </c>
      <c r="E8" s="16">
        <f>_xlfn.XLOOKUP(A8,'Adjusted List Prices'!$A$2:$A$22,'Adjusted List Prices'!$I$2:$I$22)</f>
        <v>3067875</v>
      </c>
      <c r="F8" s="18">
        <f>_xlfn.XLOOKUP(D8,'Rates &amp; Costs (T-Intervals)'!$A$2:$A$32,'Rates &amp; Costs (T-Intervals)'!$C$2:$C$32)</f>
        <v>0.94</v>
      </c>
      <c r="G8" s="14">
        <f t="shared" si="3"/>
        <v>2883802.5</v>
      </c>
    </row>
    <row r="9" spans="1:7" ht="20" customHeight="1" x14ac:dyDescent="0.2">
      <c r="A9" s="7" t="s">
        <v>36</v>
      </c>
      <c r="B9" s="35">
        <v>5</v>
      </c>
      <c r="C9" s="34">
        <f>_xlfn.XLOOKUP(A9,'Aircraft Economics (FC)'!$A$2:$A$64,'Aircraft Economics (FC)'!$C$2:$C$64)</f>
        <v>2021</v>
      </c>
      <c r="D9" s="34">
        <f t="shared" si="2"/>
        <v>7</v>
      </c>
      <c r="E9" s="16">
        <f>_xlfn.XLOOKUP(A9,'Adjusted List Prices'!$A$2:$A$22,'Adjusted List Prices'!$I$2:$I$22)</f>
        <v>3067875</v>
      </c>
      <c r="F9" s="18">
        <f>_xlfn.XLOOKUP(D9,'Rates &amp; Costs (T-Intervals)'!$A$2:$A$32,'Rates &amp; Costs (T-Intervals)'!$C$2:$C$32)</f>
        <v>0.78999999999999981</v>
      </c>
      <c r="G9" s="14">
        <f t="shared" si="3"/>
        <v>2423621.2499999995</v>
      </c>
    </row>
    <row r="10" spans="1:7" ht="20" customHeight="1" x14ac:dyDescent="0.2">
      <c r="A10" s="7" t="s">
        <v>36</v>
      </c>
      <c r="B10" s="35">
        <v>10</v>
      </c>
      <c r="C10" s="34">
        <f>_xlfn.XLOOKUP(A10,'Aircraft Economics (FC)'!$A$2:$A$64,'Aircraft Economics (FC)'!$C$2:$C$64)</f>
        <v>2021</v>
      </c>
      <c r="D10" s="34">
        <f t="shared" si="2"/>
        <v>12</v>
      </c>
      <c r="E10" s="16">
        <f>_xlfn.XLOOKUP(A10,'Adjusted List Prices'!$A$2:$A$22,'Adjusted List Prices'!$I$2:$I$22)</f>
        <v>3067875</v>
      </c>
      <c r="F10" s="18">
        <f>_xlfn.XLOOKUP(D10,'Rates &amp; Costs (T-Intervals)'!$A$2:$A$32,'Rates &amp; Costs (T-Intervals)'!$C$2:$C$32)</f>
        <v>0.63999999999999968</v>
      </c>
      <c r="G10" s="14">
        <f t="shared" si="3"/>
        <v>1963439.9999999991</v>
      </c>
    </row>
    <row r="11" spans="1:7" ht="20" customHeight="1" x14ac:dyDescent="0.2">
      <c r="A11" s="7" t="s">
        <v>34</v>
      </c>
      <c r="B11" s="35">
        <v>0</v>
      </c>
      <c r="C11" s="34" t="str">
        <f>_xlfn.XLOOKUP(A11,'Aircraft Economics (FC)'!$A$2:$A$64,'Aircraft Economics (FC)'!$C$2:$C$64)</f>
        <v>In Production</v>
      </c>
      <c r="D11" s="34">
        <f t="shared" si="2"/>
        <v>0</v>
      </c>
      <c r="E11" s="16">
        <f>_xlfn.XLOOKUP(A11,'Adjusted List Prices'!$A$2:$A$22,'Adjusted List Prices'!$I$2:$I$22)</f>
        <v>3359475</v>
      </c>
      <c r="F11" s="18">
        <f>_xlfn.XLOOKUP(D11,'Rates &amp; Costs (T-Intervals)'!$A$2:$A$32,'Rates &amp; Costs (T-Intervals)'!$C$2:$C$32)</f>
        <v>1</v>
      </c>
      <c r="G11" s="14">
        <f t="shared" si="3"/>
        <v>3359475</v>
      </c>
    </row>
    <row r="12" spans="1:7" ht="20" customHeight="1" x14ac:dyDescent="0.2">
      <c r="A12" s="7" t="s">
        <v>34</v>
      </c>
      <c r="B12" s="35">
        <v>5</v>
      </c>
      <c r="C12" s="34" t="str">
        <f>_xlfn.XLOOKUP(A12,'Aircraft Economics (FC)'!$A$2:$A$64,'Aircraft Economics (FC)'!$C$2:$C$64)</f>
        <v>In Production</v>
      </c>
      <c r="D12" s="34">
        <f t="shared" si="2"/>
        <v>5</v>
      </c>
      <c r="E12" s="16">
        <f>_xlfn.XLOOKUP(A12,'Adjusted List Prices'!$A$2:$A$22,'Adjusted List Prices'!$I$2:$I$22)</f>
        <v>3359475</v>
      </c>
      <c r="F12" s="18">
        <f>_xlfn.XLOOKUP(D12,'Rates &amp; Costs (T-Intervals)'!$A$2:$A$32,'Rates &amp; Costs (T-Intervals)'!$C$2:$C$32)</f>
        <v>0.84999999999999987</v>
      </c>
      <c r="G12" s="14">
        <f t="shared" si="3"/>
        <v>2855553.7499999995</v>
      </c>
    </row>
    <row r="13" spans="1:7" ht="20" customHeight="1" x14ac:dyDescent="0.2">
      <c r="A13" s="7" t="s">
        <v>34</v>
      </c>
      <c r="B13" s="35">
        <v>10</v>
      </c>
      <c r="C13" s="34" t="str">
        <f>_xlfn.XLOOKUP(A13,'Aircraft Economics (FC)'!$A$2:$A$64,'Aircraft Economics (FC)'!$C$2:$C$64)</f>
        <v>In Production</v>
      </c>
      <c r="D13" s="34">
        <f t="shared" si="2"/>
        <v>10</v>
      </c>
      <c r="E13" s="16">
        <f>_xlfn.XLOOKUP(A13,'Adjusted List Prices'!$A$2:$A$22,'Adjusted List Prices'!$I$2:$I$22)</f>
        <v>3359475</v>
      </c>
      <c r="F13" s="18">
        <f>_xlfn.XLOOKUP(D13,'Rates &amp; Costs (T-Intervals)'!$A$2:$A$32,'Rates &amp; Costs (T-Intervals)'!$C$2:$C$32)</f>
        <v>0.69999999999999973</v>
      </c>
      <c r="G13" s="14">
        <f t="shared" si="3"/>
        <v>2351632.4999999991</v>
      </c>
    </row>
    <row r="14" spans="1:7" ht="20" customHeight="1" x14ac:dyDescent="0.2">
      <c r="A14" s="7" t="s">
        <v>35</v>
      </c>
      <c r="B14" s="35">
        <v>0</v>
      </c>
      <c r="C14" s="34">
        <f>_xlfn.XLOOKUP(A14,'Aircraft Economics (FC)'!$A$2:$A$64,'Aircraft Economics (FC)'!$C$2:$C$64)</f>
        <v>2021</v>
      </c>
      <c r="D14" s="34">
        <f t="shared" si="2"/>
        <v>2</v>
      </c>
      <c r="E14" s="16">
        <f>_xlfn.XLOOKUP(A14,'Adjusted List Prices'!$A$2:$A$22,'Adjusted List Prices'!$I$2:$I$22)</f>
        <v>3593362.5</v>
      </c>
      <c r="F14" s="18">
        <f>_xlfn.XLOOKUP(D14,'Rates &amp; Costs (T-Intervals)'!$A$2:$A$32,'Rates &amp; Costs (T-Intervals)'!$C$2:$C$32)</f>
        <v>0.94</v>
      </c>
      <c r="G14" s="14">
        <f t="shared" si="3"/>
        <v>3377760.75</v>
      </c>
    </row>
    <row r="15" spans="1:7" ht="20" customHeight="1" x14ac:dyDescent="0.2">
      <c r="A15" s="7" t="s">
        <v>35</v>
      </c>
      <c r="B15" s="35">
        <v>5</v>
      </c>
      <c r="C15" s="34">
        <f>_xlfn.XLOOKUP(A15,'Aircraft Economics (FC)'!$A$2:$A$64,'Aircraft Economics (FC)'!$C$2:$C$64)</f>
        <v>2021</v>
      </c>
      <c r="D15" s="34">
        <f t="shared" si="2"/>
        <v>7</v>
      </c>
      <c r="E15" s="16">
        <f>_xlfn.XLOOKUP(A15,'Adjusted List Prices'!$A$2:$A$22,'Adjusted List Prices'!$I$2:$I$22)</f>
        <v>3593362.5</v>
      </c>
      <c r="F15" s="18">
        <f>_xlfn.XLOOKUP(D15,'Rates &amp; Costs (T-Intervals)'!$A$2:$A$32,'Rates &amp; Costs (T-Intervals)'!$C$2:$C$32)</f>
        <v>0.78999999999999981</v>
      </c>
      <c r="G15" s="14">
        <f t="shared" si="3"/>
        <v>2838756.3749999995</v>
      </c>
    </row>
    <row r="16" spans="1:7" ht="20" customHeight="1" x14ac:dyDescent="0.2">
      <c r="A16" s="7" t="s">
        <v>35</v>
      </c>
      <c r="B16" s="35">
        <v>10</v>
      </c>
      <c r="C16" s="34">
        <f>_xlfn.XLOOKUP(A16,'Aircraft Economics (FC)'!$A$2:$A$64,'Aircraft Economics (FC)'!$C$2:$C$64)</f>
        <v>2021</v>
      </c>
      <c r="D16" s="34">
        <f t="shared" si="2"/>
        <v>12</v>
      </c>
      <c r="E16" s="16">
        <f>_xlfn.XLOOKUP(A16,'Adjusted List Prices'!$A$2:$A$22,'Adjusted List Prices'!$I$2:$I$22)</f>
        <v>3593362.5</v>
      </c>
      <c r="F16" s="18">
        <f>_xlfn.XLOOKUP(D16,'Rates &amp; Costs (T-Intervals)'!$A$2:$A$32,'Rates &amp; Costs (T-Intervals)'!$C$2:$C$32)</f>
        <v>0.63999999999999968</v>
      </c>
      <c r="G16" s="14">
        <f t="shared" si="3"/>
        <v>2299751.9999999991</v>
      </c>
    </row>
    <row r="17" spans="1:7" ht="20" customHeight="1" x14ac:dyDescent="0.2">
      <c r="A17" s="7" t="s">
        <v>33</v>
      </c>
      <c r="B17" s="35">
        <v>0</v>
      </c>
      <c r="C17" s="34" t="str">
        <f>_xlfn.XLOOKUP(A17,'Aircraft Economics (FC)'!$A$2:$A$64,'Aircraft Economics (FC)'!$C$2:$C$64)</f>
        <v>In Production</v>
      </c>
      <c r="D17" s="34">
        <f t="shared" si="2"/>
        <v>0</v>
      </c>
      <c r="E17" s="16">
        <f>_xlfn.XLOOKUP(A17,'Adjusted List Prices'!$A$2:$A$22,'Adjusted List Prices'!$I$2:$I$22)</f>
        <v>3933562.5</v>
      </c>
      <c r="F17" s="18">
        <f>_xlfn.XLOOKUP(D17,'Rates &amp; Costs (T-Intervals)'!$A$2:$A$32,'Rates &amp; Costs (T-Intervals)'!$C$2:$C$32)</f>
        <v>1</v>
      </c>
      <c r="G17" s="14">
        <f t="shared" si="3"/>
        <v>3933562.5</v>
      </c>
    </row>
    <row r="18" spans="1:7" ht="20" customHeight="1" x14ac:dyDescent="0.2">
      <c r="A18" s="7" t="s">
        <v>33</v>
      </c>
      <c r="B18" s="35">
        <v>5</v>
      </c>
      <c r="C18" s="34" t="str">
        <f>_xlfn.XLOOKUP(A18,'Aircraft Economics (FC)'!$A$2:$A$64,'Aircraft Economics (FC)'!$C$2:$C$64)</f>
        <v>In Production</v>
      </c>
      <c r="D18" s="34">
        <f t="shared" si="2"/>
        <v>5</v>
      </c>
      <c r="E18" s="16">
        <f>_xlfn.XLOOKUP(A18,'Adjusted List Prices'!$A$2:$A$22,'Adjusted List Prices'!$I$2:$I$22)</f>
        <v>3933562.5</v>
      </c>
      <c r="F18" s="18">
        <f>_xlfn.XLOOKUP(D18,'Rates &amp; Costs (T-Intervals)'!$A$2:$A$32,'Rates &amp; Costs (T-Intervals)'!$C$2:$C$32)</f>
        <v>0.84999999999999987</v>
      </c>
      <c r="G18" s="14">
        <f t="shared" si="3"/>
        <v>3343528.1249999995</v>
      </c>
    </row>
    <row r="19" spans="1:7" ht="20" customHeight="1" x14ac:dyDescent="0.2">
      <c r="A19" s="7" t="s">
        <v>33</v>
      </c>
      <c r="B19" s="35">
        <v>10</v>
      </c>
      <c r="C19" s="34" t="str">
        <f>_xlfn.XLOOKUP(A19,'Aircraft Economics (FC)'!$A$2:$A$64,'Aircraft Economics (FC)'!$C$2:$C$64)</f>
        <v>In Production</v>
      </c>
      <c r="D19" s="34">
        <f t="shared" si="2"/>
        <v>10</v>
      </c>
      <c r="E19" s="16">
        <f>_xlfn.XLOOKUP(A19,'Adjusted List Prices'!$A$2:$A$22,'Adjusted List Prices'!$I$2:$I$22)</f>
        <v>3933562.5</v>
      </c>
      <c r="F19" s="18">
        <f>_xlfn.XLOOKUP(D19,'Rates &amp; Costs (T-Intervals)'!$A$2:$A$32,'Rates &amp; Costs (T-Intervals)'!$C$2:$C$32)</f>
        <v>0.69999999999999973</v>
      </c>
      <c r="G19" s="14">
        <f t="shared" si="3"/>
        <v>2753493.7499999991</v>
      </c>
    </row>
    <row r="20" spans="1:7" ht="20" customHeight="1" x14ac:dyDescent="0.2">
      <c r="A20" s="7" t="s">
        <v>29</v>
      </c>
      <c r="B20" s="35">
        <v>0</v>
      </c>
      <c r="C20" s="34" t="str">
        <f>_xlfn.XLOOKUP(A20,'Aircraft Economics (FC)'!$A$2:$A$64,'Aircraft Economics (FC)'!$C$2:$C$64)</f>
        <v>In Production</v>
      </c>
      <c r="D20" s="34">
        <f t="shared" si="2"/>
        <v>0</v>
      </c>
      <c r="E20" s="16">
        <f>_xlfn.XLOOKUP(A20,'Adjusted List Prices'!$A$2:$A$22,'Adjusted List Prices'!$I$2:$I$22)</f>
        <v>8025075</v>
      </c>
      <c r="F20" s="18">
        <f>_xlfn.XLOOKUP(D20,'Rates &amp; Costs (T-Intervals)'!$A$2:$A$32,'Rates &amp; Costs (T-Intervals)'!$C$2:$C$32)</f>
        <v>1</v>
      </c>
      <c r="G20" s="14">
        <f t="shared" si="3"/>
        <v>8025075</v>
      </c>
    </row>
    <row r="21" spans="1:7" ht="20" customHeight="1" x14ac:dyDescent="0.2">
      <c r="A21" s="7" t="s">
        <v>29</v>
      </c>
      <c r="B21" s="35">
        <v>5</v>
      </c>
      <c r="C21" s="34" t="str">
        <f>_xlfn.XLOOKUP(A21,'Aircraft Economics (FC)'!$A$2:$A$64,'Aircraft Economics (FC)'!$C$2:$C$64)</f>
        <v>In Production</v>
      </c>
      <c r="D21" s="34">
        <f t="shared" si="2"/>
        <v>5</v>
      </c>
      <c r="E21" s="16">
        <f>_xlfn.XLOOKUP(A21,'Adjusted List Prices'!$A$2:$A$22,'Adjusted List Prices'!$I$2:$I$22)</f>
        <v>8025075</v>
      </c>
      <c r="F21" s="18">
        <f>_xlfn.XLOOKUP(D21,'Rates &amp; Costs (T-Intervals)'!$A$2:$A$32,'Rates &amp; Costs (T-Intervals)'!$C$2:$C$32)</f>
        <v>0.84999999999999987</v>
      </c>
      <c r="G21" s="14">
        <f t="shared" si="3"/>
        <v>6821313.7499999991</v>
      </c>
    </row>
    <row r="22" spans="1:7" ht="20" customHeight="1" x14ac:dyDescent="0.2">
      <c r="A22" s="7" t="s">
        <v>29</v>
      </c>
      <c r="B22" s="35">
        <v>10</v>
      </c>
      <c r="C22" s="34" t="str">
        <f>_xlfn.XLOOKUP(A22,'Aircraft Economics (FC)'!$A$2:$A$64,'Aircraft Economics (FC)'!$C$2:$C$64)</f>
        <v>In Production</v>
      </c>
      <c r="D22" s="34">
        <f t="shared" si="2"/>
        <v>10</v>
      </c>
      <c r="E22" s="16">
        <f>_xlfn.XLOOKUP(A22,'Adjusted List Prices'!$A$2:$A$22,'Adjusted List Prices'!$I$2:$I$22)</f>
        <v>8025075</v>
      </c>
      <c r="F22" s="18">
        <f>_xlfn.XLOOKUP(D22,'Rates &amp; Costs (T-Intervals)'!$A$2:$A$32,'Rates &amp; Costs (T-Intervals)'!$C$2:$C$32)</f>
        <v>0.69999999999999973</v>
      </c>
      <c r="G22" s="14">
        <f t="shared" si="3"/>
        <v>5617552.4999999981</v>
      </c>
    </row>
    <row r="23" spans="1:7" ht="20" customHeight="1" x14ac:dyDescent="0.2">
      <c r="A23" s="7" t="s">
        <v>32</v>
      </c>
      <c r="B23" s="35">
        <v>0</v>
      </c>
      <c r="C23" s="34" t="str">
        <f>_xlfn.XLOOKUP(A23,'Aircraft Economics (FC)'!$A$2:$A$64,'Aircraft Economics (FC)'!$C$2:$C$64)</f>
        <v>In Production</v>
      </c>
      <c r="D23" s="34">
        <f t="shared" si="2"/>
        <v>0</v>
      </c>
      <c r="E23" s="16">
        <f>_xlfn.XLOOKUP(A23,'Adjusted List Prices'!$A$2:$A$22,'Adjusted List Prices'!$I$2:$I$22)</f>
        <v>9003150</v>
      </c>
      <c r="F23" s="18">
        <f>_xlfn.XLOOKUP(D23,'Rates &amp; Costs (T-Intervals)'!$A$2:$A$32,'Rates &amp; Costs (T-Intervals)'!$C$2:$C$32)</f>
        <v>1</v>
      </c>
      <c r="G23" s="14">
        <f t="shared" si="3"/>
        <v>9003150</v>
      </c>
    </row>
    <row r="24" spans="1:7" ht="20" customHeight="1" x14ac:dyDescent="0.2">
      <c r="A24" s="7" t="s">
        <v>32</v>
      </c>
      <c r="B24" s="35">
        <v>5</v>
      </c>
      <c r="C24" s="34" t="str">
        <f>_xlfn.XLOOKUP(A24,'Aircraft Economics (FC)'!$A$2:$A$64,'Aircraft Economics (FC)'!$C$2:$C$64)</f>
        <v>In Production</v>
      </c>
      <c r="D24" s="34">
        <f t="shared" si="2"/>
        <v>5</v>
      </c>
      <c r="E24" s="16">
        <f>_xlfn.XLOOKUP(A24,'Adjusted List Prices'!$A$2:$A$22,'Adjusted List Prices'!$I$2:$I$22)</f>
        <v>9003150</v>
      </c>
      <c r="F24" s="18">
        <f>_xlfn.XLOOKUP(D24,'Rates &amp; Costs (T-Intervals)'!$A$2:$A$32,'Rates &amp; Costs (T-Intervals)'!$C$2:$C$32)</f>
        <v>0.84999999999999987</v>
      </c>
      <c r="G24" s="14">
        <f t="shared" si="3"/>
        <v>7652677.4999999991</v>
      </c>
    </row>
    <row r="25" spans="1:7" ht="20" customHeight="1" x14ac:dyDescent="0.2">
      <c r="A25" s="7" t="s">
        <v>32</v>
      </c>
      <c r="B25" s="35">
        <v>10</v>
      </c>
      <c r="C25" s="34" t="str">
        <f>_xlfn.XLOOKUP(A25,'Aircraft Economics (FC)'!$A$2:$A$64,'Aircraft Economics (FC)'!$C$2:$C$64)</f>
        <v>In Production</v>
      </c>
      <c r="D25" s="34">
        <f t="shared" si="2"/>
        <v>10</v>
      </c>
      <c r="E25" s="16">
        <f>_xlfn.XLOOKUP(A25,'Adjusted List Prices'!$A$2:$A$22,'Adjusted List Prices'!$I$2:$I$22)</f>
        <v>9003150</v>
      </c>
      <c r="F25" s="18">
        <f>_xlfn.XLOOKUP(D25,'Rates &amp; Costs (T-Intervals)'!$A$2:$A$32,'Rates &amp; Costs (T-Intervals)'!$C$2:$C$32)</f>
        <v>0.69999999999999973</v>
      </c>
      <c r="G25" s="14">
        <f t="shared" si="3"/>
        <v>6302204.9999999972</v>
      </c>
    </row>
    <row r="26" spans="1:7" ht="20" customHeight="1" x14ac:dyDescent="0.2">
      <c r="A26" s="7" t="s">
        <v>31</v>
      </c>
      <c r="B26" s="35">
        <v>0</v>
      </c>
      <c r="C26" s="34">
        <f>_xlfn.XLOOKUP(A26,'Aircraft Economics (FC)'!$A$2:$A$64,'Aircraft Economics (FC)'!$C$2:$C$64)</f>
        <v>2011</v>
      </c>
      <c r="D26" s="34">
        <f t="shared" si="2"/>
        <v>12</v>
      </c>
      <c r="E26" s="16">
        <f>_xlfn.XLOOKUP(A26,'Adjusted List Prices'!$A$2:$A$22,'Adjusted List Prices'!$I$2:$I$22)</f>
        <v>8068200</v>
      </c>
      <c r="F26" s="18">
        <f>_xlfn.XLOOKUP(D26,'Rates &amp; Costs (T-Intervals)'!$A$2:$A$32,'Rates &amp; Costs (T-Intervals)'!$C$2:$C$32)</f>
        <v>0.63999999999999968</v>
      </c>
      <c r="G26" s="14">
        <f t="shared" si="3"/>
        <v>5163647.9999999972</v>
      </c>
    </row>
    <row r="27" spans="1:7" ht="20" customHeight="1" x14ac:dyDescent="0.2">
      <c r="A27" s="7" t="s">
        <v>31</v>
      </c>
      <c r="B27" s="35">
        <v>5</v>
      </c>
      <c r="C27" s="34">
        <f>_xlfn.XLOOKUP(A27,'Aircraft Economics (FC)'!$A$2:$A$64,'Aircraft Economics (FC)'!$C$2:$C$64)</f>
        <v>2011</v>
      </c>
      <c r="D27" s="34">
        <f t="shared" si="2"/>
        <v>17</v>
      </c>
      <c r="E27" s="16">
        <f>_xlfn.XLOOKUP(A27,'Adjusted List Prices'!$A$2:$A$22,'Adjusted List Prices'!$I$2:$I$22)</f>
        <v>8068200</v>
      </c>
      <c r="F27" s="18">
        <f>_xlfn.XLOOKUP(D27,'Rates &amp; Costs (T-Intervals)'!$A$2:$A$32,'Rates &amp; Costs (T-Intervals)'!$C$2:$C$32)</f>
        <v>0.48999999999999955</v>
      </c>
      <c r="G27" s="14">
        <f t="shared" si="3"/>
        <v>3953417.9999999963</v>
      </c>
    </row>
    <row r="28" spans="1:7" ht="20" customHeight="1" x14ac:dyDescent="0.2">
      <c r="A28" s="7" t="s">
        <v>31</v>
      </c>
      <c r="B28" s="35">
        <v>10</v>
      </c>
      <c r="C28" s="34">
        <f>_xlfn.XLOOKUP(A28,'Aircraft Economics (FC)'!$A$2:$A$64,'Aircraft Economics (FC)'!$C$2:$C$64)</f>
        <v>2011</v>
      </c>
      <c r="D28" s="34">
        <f t="shared" si="2"/>
        <v>22</v>
      </c>
      <c r="E28" s="16">
        <f>_xlfn.XLOOKUP(A28,'Adjusted List Prices'!$A$2:$A$22,'Adjusted List Prices'!$I$2:$I$22)</f>
        <v>8068200</v>
      </c>
      <c r="F28" s="18">
        <f>_xlfn.XLOOKUP(D28,'Rates &amp; Costs (T-Intervals)'!$A$2:$A$32,'Rates &amp; Costs (T-Intervals)'!$C$2:$C$32)</f>
        <v>0.33999999999999941</v>
      </c>
      <c r="G28" s="14">
        <f t="shared" si="3"/>
        <v>2743187.9999999953</v>
      </c>
    </row>
    <row r="29" spans="1:7" ht="20" customHeight="1" x14ac:dyDescent="0.2">
      <c r="A29" s="7" t="s">
        <v>30</v>
      </c>
      <c r="B29" s="35">
        <v>0</v>
      </c>
      <c r="C29" s="34">
        <f>_xlfn.XLOOKUP(A29,'Aircraft Economics (FC)'!$A$2:$A$64,'Aircraft Economics (FC)'!$C$2:$C$64)</f>
        <v>2011</v>
      </c>
      <c r="D29" s="34">
        <f t="shared" si="2"/>
        <v>12</v>
      </c>
      <c r="E29" s="16">
        <f>_xlfn.XLOOKUP(A29,'Adjusted List Prices'!$A$2:$A$22,'Adjusted List Prices'!$I$2:$I$22)</f>
        <v>9336060</v>
      </c>
      <c r="F29" s="18">
        <f>_xlfn.XLOOKUP(D29,'Rates &amp; Costs (T-Intervals)'!$A$2:$A$32,'Rates &amp; Costs (T-Intervals)'!$C$2:$C$32)</f>
        <v>0.63999999999999968</v>
      </c>
      <c r="G29" s="14">
        <f t="shared" si="3"/>
        <v>5975078.3999999966</v>
      </c>
    </row>
    <row r="30" spans="1:7" ht="20" customHeight="1" x14ac:dyDescent="0.2">
      <c r="A30" s="7" t="s">
        <v>30</v>
      </c>
      <c r="B30" s="35">
        <v>5</v>
      </c>
      <c r="C30" s="34">
        <f>_xlfn.XLOOKUP(A30,'Aircraft Economics (FC)'!$A$2:$A$64,'Aircraft Economics (FC)'!$C$2:$C$64)</f>
        <v>2011</v>
      </c>
      <c r="D30" s="34">
        <f t="shared" si="2"/>
        <v>17</v>
      </c>
      <c r="E30" s="16">
        <f>_xlfn.XLOOKUP(A30,'Adjusted List Prices'!$A$2:$A$22,'Adjusted List Prices'!$I$2:$I$22)</f>
        <v>9336060</v>
      </c>
      <c r="F30" s="18">
        <f>_xlfn.XLOOKUP(D30,'Rates &amp; Costs (T-Intervals)'!$A$2:$A$32,'Rates &amp; Costs (T-Intervals)'!$C$2:$C$32)</f>
        <v>0.48999999999999955</v>
      </c>
      <c r="G30" s="14">
        <f t="shared" si="3"/>
        <v>4574669.3999999957</v>
      </c>
    </row>
    <row r="31" spans="1:7" ht="20" customHeight="1" x14ac:dyDescent="0.2">
      <c r="A31" s="7" t="s">
        <v>30</v>
      </c>
      <c r="B31" s="35">
        <v>10</v>
      </c>
      <c r="C31" s="34">
        <f>_xlfn.XLOOKUP(A31,'Aircraft Economics (FC)'!$A$2:$A$64,'Aircraft Economics (FC)'!$C$2:$C$64)</f>
        <v>2011</v>
      </c>
      <c r="D31" s="34">
        <f t="shared" si="2"/>
        <v>22</v>
      </c>
      <c r="E31" s="16">
        <f>_xlfn.XLOOKUP(A31,'Adjusted List Prices'!$A$2:$A$22,'Adjusted List Prices'!$I$2:$I$22)</f>
        <v>9336060</v>
      </c>
      <c r="F31" s="18">
        <f>_xlfn.XLOOKUP(D31,'Rates &amp; Costs (T-Intervals)'!$A$2:$A$32,'Rates &amp; Costs (T-Intervals)'!$C$2:$C$32)</f>
        <v>0.33999999999999941</v>
      </c>
      <c r="G31" s="14">
        <f t="shared" si="3"/>
        <v>3174260.3999999943</v>
      </c>
    </row>
    <row r="32" spans="1:7" ht="20" customHeight="1" x14ac:dyDescent="0.2">
      <c r="A32" s="7" t="s">
        <v>28</v>
      </c>
      <c r="B32" s="35">
        <v>0</v>
      </c>
      <c r="C32" s="34" t="str">
        <f>_xlfn.XLOOKUP(A32,'Aircraft Economics (FC)'!$A$2:$A$64,'Aircraft Economics (FC)'!$C$2:$C$64)</f>
        <v>In Production</v>
      </c>
      <c r="D32" s="34">
        <f t="shared" si="2"/>
        <v>0</v>
      </c>
      <c r="E32" s="16">
        <f>_xlfn.XLOOKUP(A32,'Adjusted List Prices'!$A$2:$A$22,'Adjusted List Prices'!$I$2:$I$22)</f>
        <v>9641025</v>
      </c>
      <c r="F32" s="18">
        <f>_xlfn.XLOOKUP(D32,'Rates &amp; Costs (T-Intervals)'!$A$2:$A$32,'Rates &amp; Costs (T-Intervals)'!$C$2:$C$32)</f>
        <v>1</v>
      </c>
      <c r="G32" s="14">
        <f t="shared" si="3"/>
        <v>9641025</v>
      </c>
    </row>
    <row r="33" spans="1:7" ht="20" customHeight="1" x14ac:dyDescent="0.2">
      <c r="A33" s="7" t="s">
        <v>28</v>
      </c>
      <c r="B33" s="35">
        <v>5</v>
      </c>
      <c r="C33" s="34" t="str">
        <f>_xlfn.XLOOKUP(A33,'Aircraft Economics (FC)'!$A$2:$A$64,'Aircraft Economics (FC)'!$C$2:$C$64)</f>
        <v>In Production</v>
      </c>
      <c r="D33" s="34">
        <f t="shared" si="2"/>
        <v>5</v>
      </c>
      <c r="E33" s="16">
        <f>_xlfn.XLOOKUP(A33,'Adjusted List Prices'!$A$2:$A$22,'Adjusted List Prices'!$I$2:$I$22)</f>
        <v>9641025</v>
      </c>
      <c r="F33" s="18">
        <f>_xlfn.XLOOKUP(D33,'Rates &amp; Costs (T-Intervals)'!$A$2:$A$32,'Rates &amp; Costs (T-Intervals)'!$C$2:$C$32)</f>
        <v>0.84999999999999987</v>
      </c>
      <c r="G33" s="14">
        <f t="shared" si="3"/>
        <v>8194871.2499999991</v>
      </c>
    </row>
    <row r="34" spans="1:7" ht="20" customHeight="1" x14ac:dyDescent="0.2">
      <c r="A34" s="7" t="s">
        <v>28</v>
      </c>
      <c r="B34" s="35">
        <v>10</v>
      </c>
      <c r="C34" s="34" t="str">
        <f>_xlfn.XLOOKUP(A34,'Aircraft Economics (FC)'!$A$2:$A$64,'Aircraft Economics (FC)'!$C$2:$C$64)</f>
        <v>In Production</v>
      </c>
      <c r="D34" s="34">
        <f t="shared" si="2"/>
        <v>10</v>
      </c>
      <c r="E34" s="16">
        <f>_xlfn.XLOOKUP(A34,'Adjusted List Prices'!$A$2:$A$22,'Adjusted List Prices'!$I$2:$I$22)</f>
        <v>9641025</v>
      </c>
      <c r="F34" s="18">
        <f>_xlfn.XLOOKUP(D34,'Rates &amp; Costs (T-Intervals)'!$A$2:$A$32,'Rates &amp; Costs (T-Intervals)'!$C$2:$C$32)</f>
        <v>0.69999999999999973</v>
      </c>
      <c r="G34" s="14">
        <f t="shared" si="3"/>
        <v>6748717.4999999972</v>
      </c>
    </row>
    <row r="35" spans="1:7" ht="20" customHeight="1" x14ac:dyDescent="0.2">
      <c r="A35" s="7" t="s">
        <v>27</v>
      </c>
      <c r="B35" s="35">
        <v>0</v>
      </c>
      <c r="C35" s="34">
        <f>_xlfn.XLOOKUP(A35,'Aircraft Economics (FC)'!$A$2:$A$64,'Aircraft Economics (FC)'!$C$2:$C$64)</f>
        <v>2021</v>
      </c>
      <c r="D35" s="34">
        <f t="shared" si="2"/>
        <v>2</v>
      </c>
      <c r="E35" s="16">
        <f>_xlfn.XLOOKUP(A35,'Adjusted List Prices'!$A$2:$A$22,'Adjusted List Prices'!$I$2:$I$22)</f>
        <v>13535100</v>
      </c>
      <c r="F35" s="18">
        <f>_xlfn.XLOOKUP(D35,'Rates &amp; Costs (T-Intervals)'!$A$2:$A$32,'Rates &amp; Costs (T-Intervals)'!$C$2:$C$32)</f>
        <v>0.94</v>
      </c>
      <c r="G35" s="14">
        <f t="shared" si="3"/>
        <v>12722994</v>
      </c>
    </row>
    <row r="36" spans="1:7" ht="20" customHeight="1" x14ac:dyDescent="0.2">
      <c r="A36" s="7" t="s">
        <v>27</v>
      </c>
      <c r="B36" s="35">
        <v>5</v>
      </c>
      <c r="C36" s="34">
        <f>_xlfn.XLOOKUP(A36,'Aircraft Economics (FC)'!$A$2:$A$64,'Aircraft Economics (FC)'!$C$2:$C$64)</f>
        <v>2021</v>
      </c>
      <c r="D36" s="34">
        <f t="shared" si="2"/>
        <v>7</v>
      </c>
      <c r="E36" s="16">
        <f>_xlfn.XLOOKUP(A36,'Adjusted List Prices'!$A$2:$A$22,'Adjusted List Prices'!$I$2:$I$22)</f>
        <v>13535100</v>
      </c>
      <c r="F36" s="18">
        <f>_xlfn.XLOOKUP(D36,'Rates &amp; Costs (T-Intervals)'!$A$2:$A$32,'Rates &amp; Costs (T-Intervals)'!$C$2:$C$32)</f>
        <v>0.78999999999999981</v>
      </c>
      <c r="G36" s="14">
        <f t="shared" si="3"/>
        <v>10692728.999999998</v>
      </c>
    </row>
    <row r="37" spans="1:7" ht="20" customHeight="1" x14ac:dyDescent="0.2">
      <c r="A37" s="7" t="s">
        <v>27</v>
      </c>
      <c r="B37" s="35">
        <v>10</v>
      </c>
      <c r="C37" s="34">
        <f>_xlfn.XLOOKUP(A37,'Aircraft Economics (FC)'!$A$2:$A$64,'Aircraft Economics (FC)'!$C$2:$C$64)</f>
        <v>2021</v>
      </c>
      <c r="D37" s="34">
        <f t="shared" si="2"/>
        <v>12</v>
      </c>
      <c r="E37" s="16">
        <f>_xlfn.XLOOKUP(A37,'Adjusted List Prices'!$A$2:$A$22,'Adjusted List Prices'!$I$2:$I$22)</f>
        <v>13535100</v>
      </c>
      <c r="F37" s="18">
        <f>_xlfn.XLOOKUP(D37,'Rates &amp; Costs (T-Intervals)'!$A$2:$A$32,'Rates &amp; Costs (T-Intervals)'!$C$2:$C$32)</f>
        <v>0.63999999999999968</v>
      </c>
      <c r="G37" s="14">
        <f t="shared" si="3"/>
        <v>8662463.9999999963</v>
      </c>
    </row>
    <row r="38" spans="1:7" ht="20" customHeight="1" x14ac:dyDescent="0.2">
      <c r="A38" s="7" t="s">
        <v>45</v>
      </c>
      <c r="B38" s="35">
        <v>0</v>
      </c>
      <c r="C38" s="34" t="str">
        <f>_xlfn.XLOOKUP(A38,'Aircraft Economics (FC)'!$A$2:$A$64,'Aircraft Economics (FC)'!$C$2:$C$64)</f>
        <v>In Production</v>
      </c>
      <c r="D38" s="34">
        <f t="shared" si="2"/>
        <v>0</v>
      </c>
      <c r="E38" s="16">
        <f>_xlfn.XLOOKUP(A38,'Adjusted List Prices'!$A$2:$A$22,'Adjusted List Prices'!$I$2:$I$22)</f>
        <v>3170720</v>
      </c>
      <c r="F38" s="18">
        <f>_xlfn.XLOOKUP(D38,'Rates &amp; Costs (T-Intervals)'!$A$2:$A$32,'Rates &amp; Costs (T-Intervals)'!$C$2:$C$32)</f>
        <v>1</v>
      </c>
      <c r="G38" s="14">
        <f t="shared" si="3"/>
        <v>3170720</v>
      </c>
    </row>
    <row r="39" spans="1:7" ht="20" customHeight="1" x14ac:dyDescent="0.2">
      <c r="A39" s="7" t="s">
        <v>45</v>
      </c>
      <c r="B39" s="35">
        <v>5</v>
      </c>
      <c r="C39" s="34" t="str">
        <f>_xlfn.XLOOKUP(A39,'Aircraft Economics (FC)'!$A$2:$A$64,'Aircraft Economics (FC)'!$C$2:$C$64)</f>
        <v>In Production</v>
      </c>
      <c r="D39" s="34">
        <f t="shared" si="2"/>
        <v>5</v>
      </c>
      <c r="E39" s="16">
        <f>_xlfn.XLOOKUP(A39,'Adjusted List Prices'!$A$2:$A$22,'Adjusted List Prices'!$I$2:$I$22)</f>
        <v>3170720</v>
      </c>
      <c r="F39" s="18">
        <f>_xlfn.XLOOKUP(D39,'Rates &amp; Costs (T-Intervals)'!$A$2:$A$32,'Rates &amp; Costs (T-Intervals)'!$C$2:$C$32)</f>
        <v>0.84999999999999987</v>
      </c>
      <c r="G39" s="14">
        <f t="shared" si="3"/>
        <v>2695111.9999999995</v>
      </c>
    </row>
    <row r="40" spans="1:7" ht="20" customHeight="1" x14ac:dyDescent="0.2">
      <c r="A40" s="7" t="s">
        <v>45</v>
      </c>
      <c r="B40" s="35">
        <v>10</v>
      </c>
      <c r="C40" s="34" t="str">
        <f>_xlfn.XLOOKUP(A40,'Aircraft Economics (FC)'!$A$2:$A$64,'Aircraft Economics (FC)'!$C$2:$C$64)</f>
        <v>In Production</v>
      </c>
      <c r="D40" s="34">
        <f t="shared" si="2"/>
        <v>10</v>
      </c>
      <c r="E40" s="16">
        <f>_xlfn.XLOOKUP(A40,'Adjusted List Prices'!$A$2:$A$22,'Adjusted List Prices'!$I$2:$I$22)</f>
        <v>3170720</v>
      </c>
      <c r="F40" s="18">
        <f>_xlfn.XLOOKUP(D40,'Rates &amp; Costs (T-Intervals)'!$A$2:$A$32,'Rates &amp; Costs (T-Intervals)'!$C$2:$C$32)</f>
        <v>0.69999999999999973</v>
      </c>
      <c r="G40" s="14">
        <f t="shared" si="3"/>
        <v>2219503.9999999991</v>
      </c>
    </row>
    <row r="41" spans="1:7" ht="20" customHeight="1" x14ac:dyDescent="0.2">
      <c r="A41" s="7" t="s">
        <v>43</v>
      </c>
      <c r="B41" s="35">
        <v>0</v>
      </c>
      <c r="C41" s="34" t="str">
        <f>_xlfn.XLOOKUP(A41,'Aircraft Economics (FC)'!$A$2:$A$64,'Aircraft Economics (FC)'!$C$2:$C$64)</f>
        <v>In Production</v>
      </c>
      <c r="D41" s="34">
        <f t="shared" si="2"/>
        <v>0</v>
      </c>
      <c r="E41" s="16">
        <f>_xlfn.XLOOKUP(A41,'Adjusted List Prices'!$A$2:$A$22,'Adjusted List Prices'!$I$2:$I$22)</f>
        <v>3361067.5</v>
      </c>
      <c r="F41" s="18">
        <f>_xlfn.XLOOKUP(D41,'Rates &amp; Costs (T-Intervals)'!$A$2:$A$32,'Rates &amp; Costs (T-Intervals)'!$C$2:$C$32)</f>
        <v>1</v>
      </c>
      <c r="G41" s="14">
        <f t="shared" si="3"/>
        <v>3361067.5</v>
      </c>
    </row>
    <row r="42" spans="1:7" ht="20" customHeight="1" x14ac:dyDescent="0.2">
      <c r="A42" s="7" t="s">
        <v>43</v>
      </c>
      <c r="B42" s="35">
        <v>5</v>
      </c>
      <c r="C42" s="34" t="str">
        <f>_xlfn.XLOOKUP(A42,'Aircraft Economics (FC)'!$A$2:$A$64,'Aircraft Economics (FC)'!$C$2:$C$64)</f>
        <v>In Production</v>
      </c>
      <c r="D42" s="34">
        <f t="shared" si="2"/>
        <v>5</v>
      </c>
      <c r="E42" s="16">
        <f>_xlfn.XLOOKUP(A42,'Adjusted List Prices'!$A$2:$A$22,'Adjusted List Prices'!$I$2:$I$22)</f>
        <v>3361067.5</v>
      </c>
      <c r="F42" s="18">
        <f>_xlfn.XLOOKUP(D42,'Rates &amp; Costs (T-Intervals)'!$A$2:$A$32,'Rates &amp; Costs (T-Intervals)'!$C$2:$C$32)</f>
        <v>0.84999999999999987</v>
      </c>
      <c r="G42" s="14">
        <f t="shared" si="3"/>
        <v>2856907.3749999995</v>
      </c>
    </row>
    <row r="43" spans="1:7" ht="20" customHeight="1" x14ac:dyDescent="0.2">
      <c r="A43" s="7" t="s">
        <v>43</v>
      </c>
      <c r="B43" s="35">
        <v>10</v>
      </c>
      <c r="C43" s="34" t="str">
        <f>_xlfn.XLOOKUP(A43,'Aircraft Economics (FC)'!$A$2:$A$64,'Aircraft Economics (FC)'!$C$2:$C$64)</f>
        <v>In Production</v>
      </c>
      <c r="D43" s="34">
        <f t="shared" si="2"/>
        <v>10</v>
      </c>
      <c r="E43" s="16">
        <f>_xlfn.XLOOKUP(A43,'Adjusted List Prices'!$A$2:$A$22,'Adjusted List Prices'!$I$2:$I$22)</f>
        <v>3361067.5</v>
      </c>
      <c r="F43" s="18">
        <f>_xlfn.XLOOKUP(D43,'Rates &amp; Costs (T-Intervals)'!$A$2:$A$32,'Rates &amp; Costs (T-Intervals)'!$C$2:$C$32)</f>
        <v>0.69999999999999973</v>
      </c>
      <c r="G43" s="14">
        <f t="shared" si="3"/>
        <v>2352747.2499999991</v>
      </c>
    </row>
    <row r="44" spans="1:7" ht="20" customHeight="1" x14ac:dyDescent="0.2">
      <c r="A44" s="7" t="s">
        <v>46</v>
      </c>
      <c r="B44" s="35">
        <v>0</v>
      </c>
      <c r="C44" s="34">
        <f>_xlfn.XLOOKUP(A44,'Aircraft Economics (FC)'!$A$2:$A$64,'Aircraft Economics (FC)'!$C$2:$C$64)</f>
        <v>2019</v>
      </c>
      <c r="D44" s="34">
        <f t="shared" si="2"/>
        <v>4</v>
      </c>
      <c r="E44" s="16">
        <f>_xlfn.XLOOKUP(A44,'Adjusted List Prices'!$A$2:$A$22,'Adjusted List Prices'!$I$2:$I$22)</f>
        <v>2766557.5</v>
      </c>
      <c r="F44" s="18">
        <f>_xlfn.XLOOKUP(D44,'Rates &amp; Costs (T-Intervals)'!$A$2:$A$32,'Rates &amp; Costs (T-Intervals)'!$C$2:$C$32)</f>
        <v>0.87999999999999989</v>
      </c>
      <c r="G44" s="14">
        <f t="shared" si="3"/>
        <v>2434570.5999999996</v>
      </c>
    </row>
    <row r="45" spans="1:7" ht="20" customHeight="1" x14ac:dyDescent="0.2">
      <c r="A45" s="7" t="s">
        <v>46</v>
      </c>
      <c r="B45" s="35">
        <v>5</v>
      </c>
      <c r="C45" s="34">
        <f>_xlfn.XLOOKUP(A45,'Aircraft Economics (FC)'!$A$2:$A$64,'Aircraft Economics (FC)'!$C$2:$C$64)</f>
        <v>2019</v>
      </c>
      <c r="D45" s="34">
        <f t="shared" si="2"/>
        <v>9</v>
      </c>
      <c r="E45" s="16">
        <f>_xlfn.XLOOKUP(A45,'Adjusted List Prices'!$A$2:$A$22,'Adjusted List Prices'!$I$2:$I$22)</f>
        <v>2766557.5</v>
      </c>
      <c r="F45" s="18">
        <f>_xlfn.XLOOKUP(D45,'Rates &amp; Costs (T-Intervals)'!$A$2:$A$32,'Rates &amp; Costs (T-Intervals)'!$C$2:$C$32)</f>
        <v>0.72999999999999976</v>
      </c>
      <c r="G45" s="14">
        <f t="shared" si="3"/>
        <v>2019586.9749999994</v>
      </c>
    </row>
    <row r="46" spans="1:7" ht="20" customHeight="1" x14ac:dyDescent="0.2">
      <c r="A46" s="7" t="s">
        <v>46</v>
      </c>
      <c r="B46" s="35">
        <v>10</v>
      </c>
      <c r="C46" s="34">
        <f>_xlfn.XLOOKUP(A46,'Aircraft Economics (FC)'!$A$2:$A$64,'Aircraft Economics (FC)'!$C$2:$C$64)</f>
        <v>2019</v>
      </c>
      <c r="D46" s="34">
        <f t="shared" si="2"/>
        <v>14</v>
      </c>
      <c r="E46" s="16">
        <f>_xlfn.XLOOKUP(A46,'Adjusted List Prices'!$A$2:$A$22,'Adjusted List Prices'!$I$2:$I$22)</f>
        <v>2766557.5</v>
      </c>
      <c r="F46" s="18">
        <f>_xlfn.XLOOKUP(D46,'Rates &amp; Costs (T-Intervals)'!$A$2:$A$32,'Rates &amp; Costs (T-Intervals)'!$C$2:$C$32)</f>
        <v>0.57999999999999963</v>
      </c>
      <c r="G46" s="14">
        <f t="shared" si="3"/>
        <v>1604603.3499999989</v>
      </c>
    </row>
    <row r="47" spans="1:7" ht="20" customHeight="1" x14ac:dyDescent="0.2">
      <c r="A47" s="7" t="s">
        <v>44</v>
      </c>
      <c r="B47" s="35">
        <v>0</v>
      </c>
      <c r="C47" s="34">
        <f>_xlfn.XLOOKUP(A47,'Aircraft Economics (FC)'!$A$2:$A$64,'Aircraft Economics (FC)'!$C$2:$C$64)</f>
        <v>2019</v>
      </c>
      <c r="D47" s="34">
        <f t="shared" si="2"/>
        <v>4</v>
      </c>
      <c r="E47" s="16">
        <f>_xlfn.XLOOKUP(A47,'Adjusted List Prices'!$A$2:$A$22,'Adjusted List Prices'!$I$2:$I$22)</f>
        <v>2936045</v>
      </c>
      <c r="F47" s="18">
        <f>_xlfn.XLOOKUP(D47,'Rates &amp; Costs (T-Intervals)'!$A$2:$A$32,'Rates &amp; Costs (T-Intervals)'!$C$2:$C$32)</f>
        <v>0.87999999999999989</v>
      </c>
      <c r="G47" s="14">
        <f t="shared" si="3"/>
        <v>2583719.5999999996</v>
      </c>
    </row>
    <row r="48" spans="1:7" ht="20" customHeight="1" x14ac:dyDescent="0.2">
      <c r="A48" s="7" t="s">
        <v>44</v>
      </c>
      <c r="B48" s="35">
        <v>5</v>
      </c>
      <c r="C48" s="34">
        <f>_xlfn.XLOOKUP(A48,'Aircraft Economics (FC)'!$A$2:$A$64,'Aircraft Economics (FC)'!$C$2:$C$64)</f>
        <v>2019</v>
      </c>
      <c r="D48" s="34">
        <f t="shared" si="2"/>
        <v>9</v>
      </c>
      <c r="E48" s="16">
        <f>_xlfn.XLOOKUP(A48,'Adjusted List Prices'!$A$2:$A$22,'Adjusted List Prices'!$I$2:$I$22)</f>
        <v>2936045</v>
      </c>
      <c r="F48" s="18">
        <f>_xlfn.XLOOKUP(D48,'Rates &amp; Costs (T-Intervals)'!$A$2:$A$32,'Rates &amp; Costs (T-Intervals)'!$C$2:$C$32)</f>
        <v>0.72999999999999976</v>
      </c>
      <c r="G48" s="14">
        <f t="shared" si="3"/>
        <v>2143312.8499999992</v>
      </c>
    </row>
    <row r="49" spans="1:7" ht="20" customHeight="1" x14ac:dyDescent="0.2">
      <c r="A49" s="7" t="s">
        <v>44</v>
      </c>
      <c r="B49" s="35">
        <v>10</v>
      </c>
      <c r="C49" s="34">
        <f>_xlfn.XLOOKUP(A49,'Aircraft Economics (FC)'!$A$2:$A$64,'Aircraft Economics (FC)'!$C$2:$C$64)</f>
        <v>2019</v>
      </c>
      <c r="D49" s="34">
        <f t="shared" si="2"/>
        <v>14</v>
      </c>
      <c r="E49" s="16">
        <f>_xlfn.XLOOKUP(A49,'Adjusted List Prices'!$A$2:$A$22,'Adjusted List Prices'!$I$2:$I$22)</f>
        <v>2936045</v>
      </c>
      <c r="F49" s="18">
        <f>_xlfn.XLOOKUP(D49,'Rates &amp; Costs (T-Intervals)'!$A$2:$A$32,'Rates &amp; Costs (T-Intervals)'!$C$2:$C$32)</f>
        <v>0.57999999999999963</v>
      </c>
      <c r="G49" s="14">
        <f t="shared" si="3"/>
        <v>1702906.0999999989</v>
      </c>
    </row>
    <row r="50" spans="1:7" ht="20" customHeight="1" x14ac:dyDescent="0.2">
      <c r="A50" s="7" t="s">
        <v>42</v>
      </c>
      <c r="B50" s="35">
        <v>0</v>
      </c>
      <c r="C50" s="34">
        <f>_xlfn.XLOOKUP(A50,'Aircraft Economics (FC)'!$A$2:$A$64,'Aircraft Economics (FC)'!$C$2:$C$64)</f>
        <v>2005</v>
      </c>
      <c r="D50" s="34">
        <f t="shared" si="2"/>
        <v>18</v>
      </c>
      <c r="E50" s="16">
        <f>_xlfn.XLOOKUP(A50,'Adjusted List Prices'!$A$2:$A$22,'Adjusted List Prices'!$I$2:$I$22)</f>
        <v>9807200</v>
      </c>
      <c r="F50" s="18">
        <f>_xlfn.XLOOKUP(D50,'Rates &amp; Costs (T-Intervals)'!$A$2:$A$32,'Rates &amp; Costs (T-Intervals)'!$C$2:$C$32)</f>
        <v>0.45999999999999952</v>
      </c>
      <c r="G50" s="14">
        <f t="shared" si="3"/>
        <v>4511311.9999999953</v>
      </c>
    </row>
    <row r="51" spans="1:7" ht="20" customHeight="1" x14ac:dyDescent="0.2">
      <c r="A51" s="7" t="s">
        <v>42</v>
      </c>
      <c r="B51" s="35">
        <v>5</v>
      </c>
      <c r="C51" s="34">
        <f>_xlfn.XLOOKUP(A51,'Aircraft Economics (FC)'!$A$2:$A$64,'Aircraft Economics (FC)'!$C$2:$C$64)</f>
        <v>2005</v>
      </c>
      <c r="D51" s="34">
        <f t="shared" si="2"/>
        <v>23</v>
      </c>
      <c r="E51" s="16">
        <f>_xlfn.XLOOKUP(A51,'Adjusted List Prices'!$A$2:$A$22,'Adjusted List Prices'!$I$2:$I$22)</f>
        <v>9807200</v>
      </c>
      <c r="F51" s="18">
        <f>_xlfn.XLOOKUP(D51,'Rates &amp; Costs (T-Intervals)'!$A$2:$A$32,'Rates &amp; Costs (T-Intervals)'!$C$2:$C$32)</f>
        <v>0.30999999999999939</v>
      </c>
      <c r="G51" s="14">
        <f t="shared" si="3"/>
        <v>3040231.9999999939</v>
      </c>
    </row>
    <row r="52" spans="1:7" ht="20" customHeight="1" x14ac:dyDescent="0.2">
      <c r="A52" s="7" t="s">
        <v>42</v>
      </c>
      <c r="B52" s="35">
        <v>10</v>
      </c>
      <c r="C52" s="34">
        <f>_xlfn.XLOOKUP(A52,'Aircraft Economics (FC)'!$A$2:$A$64,'Aircraft Economics (FC)'!$C$2:$C$64)</f>
        <v>2005</v>
      </c>
      <c r="D52" s="34">
        <f t="shared" si="2"/>
        <v>28</v>
      </c>
      <c r="E52" s="16">
        <f>_xlfn.XLOOKUP(A52,'Adjusted List Prices'!$A$2:$A$22,'Adjusted List Prices'!$I$2:$I$22)</f>
        <v>9807200</v>
      </c>
      <c r="F52" s="18">
        <f>_xlfn.XLOOKUP(D52,'Rates &amp; Costs (T-Intervals)'!$A$2:$A$32,'Rates &amp; Costs (T-Intervals)'!$C$2:$C$32)</f>
        <v>0.15999999999999936</v>
      </c>
      <c r="G52" s="14">
        <f t="shared" si="3"/>
        <v>1569151.9999999937</v>
      </c>
    </row>
    <row r="53" spans="1:7" ht="20" customHeight="1" x14ac:dyDescent="0.2">
      <c r="A53" s="7" t="s">
        <v>41</v>
      </c>
      <c r="B53" s="35">
        <v>0</v>
      </c>
      <c r="C53" s="34">
        <f>_xlfn.XLOOKUP(A53,'Aircraft Economics (FC)'!$A$2:$A$64,'Aircraft Economics (FC)'!$C$2:$C$64)</f>
        <v>2023</v>
      </c>
      <c r="D53" s="34">
        <f t="shared" si="2"/>
        <v>0</v>
      </c>
      <c r="E53" s="16">
        <f>_xlfn.XLOOKUP(A53,'Adjusted List Prices'!$A$2:$A$22,'Adjusted List Prices'!$I$2:$I$22)</f>
        <v>10909780</v>
      </c>
      <c r="F53" s="18">
        <f>_xlfn.XLOOKUP(D53,'Rates &amp; Costs (T-Intervals)'!$A$2:$A$32,'Rates &amp; Costs (T-Intervals)'!$C$2:$C$32)</f>
        <v>1</v>
      </c>
      <c r="G53" s="14">
        <f t="shared" si="3"/>
        <v>10909780</v>
      </c>
    </row>
    <row r="54" spans="1:7" ht="20" customHeight="1" x14ac:dyDescent="0.2">
      <c r="A54" s="7" t="s">
        <v>41</v>
      </c>
      <c r="B54" s="35">
        <v>5</v>
      </c>
      <c r="C54" s="34">
        <f>_xlfn.XLOOKUP(A54,'Aircraft Economics (FC)'!$A$2:$A$64,'Aircraft Economics (FC)'!$C$2:$C$64)</f>
        <v>2023</v>
      </c>
      <c r="D54" s="34">
        <f t="shared" si="2"/>
        <v>5</v>
      </c>
      <c r="E54" s="16">
        <f>_xlfn.XLOOKUP(A54,'Adjusted List Prices'!$A$2:$A$22,'Adjusted List Prices'!$I$2:$I$22)</f>
        <v>10909780</v>
      </c>
      <c r="F54" s="18">
        <f>_xlfn.XLOOKUP(D54,'Rates &amp; Costs (T-Intervals)'!$A$2:$A$32,'Rates &amp; Costs (T-Intervals)'!$C$2:$C$32)</f>
        <v>0.84999999999999987</v>
      </c>
      <c r="G54" s="14">
        <f t="shared" si="3"/>
        <v>9273312.9999999981</v>
      </c>
    </row>
    <row r="55" spans="1:7" ht="20" customHeight="1" x14ac:dyDescent="0.2">
      <c r="A55" s="7" t="s">
        <v>41</v>
      </c>
      <c r="B55" s="35">
        <v>10</v>
      </c>
      <c r="C55" s="34">
        <f>_xlfn.XLOOKUP(A55,'Aircraft Economics (FC)'!$A$2:$A$64,'Aircraft Economics (FC)'!$C$2:$C$64)</f>
        <v>2023</v>
      </c>
      <c r="D55" s="34">
        <f t="shared" si="2"/>
        <v>10</v>
      </c>
      <c r="E55" s="16">
        <f>_xlfn.XLOOKUP(A55,'Adjusted List Prices'!$A$2:$A$22,'Adjusted List Prices'!$I$2:$I$22)</f>
        <v>10909780</v>
      </c>
      <c r="F55" s="18">
        <f>_xlfn.XLOOKUP(D55,'Rates &amp; Costs (T-Intervals)'!$A$2:$A$32,'Rates &amp; Costs (T-Intervals)'!$C$2:$C$32)</f>
        <v>0.69999999999999973</v>
      </c>
      <c r="G55" s="14">
        <f t="shared" si="3"/>
        <v>7636845.9999999972</v>
      </c>
    </row>
    <row r="56" spans="1:7" ht="20" customHeight="1" x14ac:dyDescent="0.2">
      <c r="A56" s="7" t="s">
        <v>48</v>
      </c>
      <c r="B56" s="35">
        <v>0</v>
      </c>
      <c r="C56" s="34">
        <f>_xlfn.XLOOKUP(A56,'Aircraft Economics (FC)'!$A$2:$A$64,'Aircraft Economics (FC)'!$C$2:$C$64)</f>
        <v>2014</v>
      </c>
      <c r="D56" s="34">
        <f t="shared" si="2"/>
        <v>9</v>
      </c>
      <c r="E56" s="16">
        <f>_xlfn.XLOOKUP(A56,'Adjusted List Prices'!$A$2:$A$22,'Adjusted List Prices'!$I$2:$I$22)</f>
        <v>6128525</v>
      </c>
      <c r="F56" s="18">
        <f>_xlfn.XLOOKUP(D56,'Rates &amp; Costs (T-Intervals)'!$A$2:$A$32,'Rates &amp; Costs (T-Intervals)'!$C$2:$C$32)</f>
        <v>0.72999999999999976</v>
      </c>
      <c r="G56" s="14">
        <f t="shared" si="3"/>
        <v>4473823.2499999981</v>
      </c>
    </row>
    <row r="57" spans="1:7" ht="20" customHeight="1" x14ac:dyDescent="0.2">
      <c r="A57" s="7" t="s">
        <v>48</v>
      </c>
      <c r="B57" s="35">
        <v>5</v>
      </c>
      <c r="C57" s="34">
        <f>_xlfn.XLOOKUP(A57,'Aircraft Economics (FC)'!$A$2:$A$64,'Aircraft Economics (FC)'!$C$2:$C$64)</f>
        <v>2014</v>
      </c>
      <c r="D57" s="34">
        <f t="shared" si="2"/>
        <v>14</v>
      </c>
      <c r="E57" s="16">
        <f>_xlfn.XLOOKUP(A57,'Adjusted List Prices'!$A$2:$A$22,'Adjusted List Prices'!$I$2:$I$22)</f>
        <v>6128525</v>
      </c>
      <c r="F57" s="18">
        <f>_xlfn.XLOOKUP(D57,'Rates &amp; Costs (T-Intervals)'!$A$2:$A$32,'Rates &amp; Costs (T-Intervals)'!$C$2:$C$32)</f>
        <v>0.57999999999999963</v>
      </c>
      <c r="G57" s="14">
        <f t="shared" si="3"/>
        <v>3554544.4999999977</v>
      </c>
    </row>
    <row r="58" spans="1:7" ht="20" customHeight="1" x14ac:dyDescent="0.2">
      <c r="A58" s="7" t="s">
        <v>48</v>
      </c>
      <c r="B58" s="35">
        <v>10</v>
      </c>
      <c r="C58" s="34">
        <f>_xlfn.XLOOKUP(A58,'Aircraft Economics (FC)'!$A$2:$A$64,'Aircraft Economics (FC)'!$C$2:$C$64)</f>
        <v>2014</v>
      </c>
      <c r="D58" s="34">
        <f t="shared" si="2"/>
        <v>19</v>
      </c>
      <c r="E58" s="16">
        <f>_xlfn.XLOOKUP(A58,'Adjusted List Prices'!$A$2:$A$22,'Adjusted List Prices'!$I$2:$I$22)</f>
        <v>6128525</v>
      </c>
      <c r="F58" s="18">
        <f>_xlfn.XLOOKUP(D58,'Rates &amp; Costs (T-Intervals)'!$A$2:$A$32,'Rates &amp; Costs (T-Intervals)'!$C$2:$C$32)</f>
        <v>0.42999999999999949</v>
      </c>
      <c r="G58" s="14">
        <f t="shared" si="3"/>
        <v>2635265.7499999967</v>
      </c>
    </row>
    <row r="59" spans="1:7" ht="20" customHeight="1" x14ac:dyDescent="0.2">
      <c r="A59" s="7" t="s">
        <v>40</v>
      </c>
      <c r="B59" s="35">
        <v>0</v>
      </c>
      <c r="C59" s="34" t="str">
        <f>_xlfn.XLOOKUP(A59,'Aircraft Economics (FC)'!$A$2:$A$64,'Aircraft Economics (FC)'!$C$2:$C$64)</f>
        <v>In Production</v>
      </c>
      <c r="D59" s="34">
        <f t="shared" si="2"/>
        <v>0</v>
      </c>
      <c r="E59" s="16">
        <f>_xlfn.XLOOKUP(A59,'Adjusted List Prices'!$A$2:$A$22,'Adjusted List Prices'!$I$2:$I$22)</f>
        <v>9791162.5</v>
      </c>
      <c r="F59" s="18">
        <f>_xlfn.XLOOKUP(D59,'Rates &amp; Costs (T-Intervals)'!$A$2:$A$32,'Rates &amp; Costs (T-Intervals)'!$C$2:$C$32)</f>
        <v>1</v>
      </c>
      <c r="G59" s="14">
        <f t="shared" si="3"/>
        <v>9791162.5</v>
      </c>
    </row>
    <row r="60" spans="1:7" ht="20" customHeight="1" x14ac:dyDescent="0.2">
      <c r="A60" s="7" t="s">
        <v>40</v>
      </c>
      <c r="B60" s="35">
        <v>5</v>
      </c>
      <c r="C60" s="34" t="str">
        <f>_xlfn.XLOOKUP(A60,'Aircraft Economics (FC)'!$A$2:$A$64,'Aircraft Economics (FC)'!$C$2:$C$64)</f>
        <v>In Production</v>
      </c>
      <c r="D60" s="34">
        <f t="shared" si="2"/>
        <v>5</v>
      </c>
      <c r="E60" s="16">
        <f>_xlfn.XLOOKUP(A60,'Adjusted List Prices'!$A$2:$A$22,'Adjusted List Prices'!$I$2:$I$22)</f>
        <v>9791162.5</v>
      </c>
      <c r="F60" s="18">
        <f>_xlfn.XLOOKUP(D60,'Rates &amp; Costs (T-Intervals)'!$A$2:$A$32,'Rates &amp; Costs (T-Intervals)'!$C$2:$C$32)</f>
        <v>0.84999999999999987</v>
      </c>
      <c r="G60" s="14">
        <f t="shared" si="3"/>
        <v>8322488.1249999991</v>
      </c>
    </row>
    <row r="61" spans="1:7" ht="20" customHeight="1" x14ac:dyDescent="0.2">
      <c r="A61" s="7" t="s">
        <v>40</v>
      </c>
      <c r="B61" s="35">
        <v>10</v>
      </c>
      <c r="C61" s="34" t="str">
        <f>_xlfn.XLOOKUP(A61,'Aircraft Economics (FC)'!$A$2:$A$64,'Aircraft Economics (FC)'!$C$2:$C$64)</f>
        <v>In Production</v>
      </c>
      <c r="D61" s="34">
        <f t="shared" si="2"/>
        <v>10</v>
      </c>
      <c r="E61" s="16">
        <f>_xlfn.XLOOKUP(A61,'Adjusted List Prices'!$A$2:$A$22,'Adjusted List Prices'!$I$2:$I$22)</f>
        <v>9791162.5</v>
      </c>
      <c r="F61" s="18">
        <f>_xlfn.XLOOKUP(D61,'Rates &amp; Costs (T-Intervals)'!$A$2:$A$32,'Rates &amp; Costs (T-Intervals)'!$C$2:$C$32)</f>
        <v>0.69999999999999973</v>
      </c>
      <c r="G61" s="14">
        <f t="shared" si="3"/>
        <v>6853813.7499999972</v>
      </c>
    </row>
    <row r="62" spans="1:7" ht="20" customHeight="1" x14ac:dyDescent="0.2">
      <c r="A62" s="7" t="s">
        <v>39</v>
      </c>
      <c r="B62" s="35">
        <v>0</v>
      </c>
      <c r="C62" s="34" t="str">
        <f>_xlfn.XLOOKUP(A62,'Aircraft Economics (FC)'!$A$2:$A$64,'Aircraft Economics (FC)'!$C$2:$C$64)</f>
        <v>In Production</v>
      </c>
      <c r="D62" s="34">
        <f t="shared" si="2"/>
        <v>0</v>
      </c>
      <c r="E62" s="16">
        <f>_xlfn.XLOOKUP(A62,'Adjusted List Prices'!$A$2:$A$22,'Adjusted List Prices'!$I$2:$I$22)</f>
        <v>7626937.5</v>
      </c>
      <c r="F62" s="18">
        <f>_xlfn.XLOOKUP(D62,'Rates &amp; Costs (T-Intervals)'!$A$2:$A$32,'Rates &amp; Costs (T-Intervals)'!$C$2:$C$32)</f>
        <v>1</v>
      </c>
      <c r="G62" s="14">
        <f t="shared" si="3"/>
        <v>7626937.5</v>
      </c>
    </row>
    <row r="63" spans="1:7" ht="20" customHeight="1" x14ac:dyDescent="0.2">
      <c r="A63" s="7" t="s">
        <v>39</v>
      </c>
      <c r="B63" s="35">
        <v>5</v>
      </c>
      <c r="C63" s="34" t="str">
        <f>_xlfn.XLOOKUP(A63,'Aircraft Economics (FC)'!$A$2:$A$64,'Aircraft Economics (FC)'!$C$2:$C$64)</f>
        <v>In Production</v>
      </c>
      <c r="D63" s="34">
        <f t="shared" si="2"/>
        <v>5</v>
      </c>
      <c r="E63" s="16">
        <f>_xlfn.XLOOKUP(A63,'Adjusted List Prices'!$A$2:$A$22,'Adjusted List Prices'!$I$2:$I$22)</f>
        <v>7626937.5</v>
      </c>
      <c r="F63" s="18">
        <f>_xlfn.XLOOKUP(D63,'Rates &amp; Costs (T-Intervals)'!$A$2:$A$32,'Rates &amp; Costs (T-Intervals)'!$C$2:$C$32)</f>
        <v>0.84999999999999987</v>
      </c>
      <c r="G63" s="14">
        <f t="shared" si="3"/>
        <v>6482896.8749999991</v>
      </c>
    </row>
    <row r="64" spans="1:7" ht="20" customHeight="1" thickBot="1" x14ac:dyDescent="0.25">
      <c r="A64" s="8" t="s">
        <v>39</v>
      </c>
      <c r="B64" s="20">
        <v>10</v>
      </c>
      <c r="C64" s="6" t="str">
        <f>_xlfn.XLOOKUP(A64,'Aircraft Economics (FC)'!$A$2:$A$64,'Aircraft Economics (FC)'!$C$2:$C$64)</f>
        <v>In Production</v>
      </c>
      <c r="D64" s="6">
        <f t="shared" si="2"/>
        <v>10</v>
      </c>
      <c r="E64" s="12">
        <f>_xlfn.XLOOKUP(A64,'Adjusted List Prices'!$A$2:$A$22,'Adjusted List Prices'!$I$2:$I$22)</f>
        <v>7626937.5</v>
      </c>
      <c r="F64" s="19">
        <f>_xlfn.XLOOKUP(D64,'Rates &amp; Costs (T-Intervals)'!$A$2:$A$32,'Rates &amp; Costs (T-Intervals)'!$C$2:$C$32)</f>
        <v>0.69999999999999973</v>
      </c>
      <c r="G64" s="15">
        <f t="shared" si="3"/>
        <v>5338856.2499999981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A734F-0848-3F47-99D4-8A61DAD6A531}">
  <dimension ref="A1:I64"/>
  <sheetViews>
    <sheetView topLeftCell="A2" workbookViewId="0">
      <selection activeCell="I4" sqref="I4"/>
    </sheetView>
  </sheetViews>
  <sheetFormatPr baseColWidth="10" defaultColWidth="25.83203125" defaultRowHeight="20" customHeight="1" x14ac:dyDescent="0.2"/>
  <cols>
    <col min="1" max="16384" width="25.83203125" style="1"/>
  </cols>
  <sheetData>
    <row r="1" spans="1:9" ht="20" customHeight="1" thickBot="1" x14ac:dyDescent="0.25">
      <c r="A1" s="2" t="s">
        <v>0</v>
      </c>
      <c r="B1" s="3" t="s">
        <v>8</v>
      </c>
      <c r="C1" s="3" t="s">
        <v>1</v>
      </c>
      <c r="D1" s="3" t="s">
        <v>10</v>
      </c>
      <c r="E1" s="3" t="s">
        <v>5</v>
      </c>
      <c r="F1" s="3" t="s">
        <v>22</v>
      </c>
      <c r="G1" s="3" t="s">
        <v>21</v>
      </c>
      <c r="H1" s="3" t="s">
        <v>19</v>
      </c>
      <c r="I1" s="4" t="s">
        <v>20</v>
      </c>
    </row>
    <row r="2" spans="1:9" ht="20" customHeight="1" x14ac:dyDescent="0.2">
      <c r="A2" s="39" t="s">
        <v>38</v>
      </c>
      <c r="B2" s="21">
        <v>0</v>
      </c>
      <c r="C2" s="5" t="str">
        <f>_xlfn.XLOOKUP(A2,'Aircraft Economics (FC)'!$A$2:$A$64,'Aircraft Economics (FC)'!$C$2:$C$64)</f>
        <v>In Production</v>
      </c>
      <c r="D2" s="5">
        <f>IF(C2="In Production",B2,B2+(2023-C2))</f>
        <v>0</v>
      </c>
      <c r="E2" s="11">
        <f>_xlfn.XLOOKUP(A2,'Adjusted List Prices'!$A$2:$A$22,'Adjusted List Prices'!$G$2:$G$22)</f>
        <v>49207500</v>
      </c>
      <c r="F2" s="17">
        <f>_xlfn.XLOOKUP(D2,'Rates &amp; Costs (T-Intervals)'!$A$2:$A$32,'Rates &amp; Costs (T-Intervals)'!$B$2:$B$32)</f>
        <v>1</v>
      </c>
      <c r="G2" s="11">
        <f>(E2*F2)</f>
        <v>49207500</v>
      </c>
      <c r="H2" s="45">
        <v>0.01</v>
      </c>
      <c r="I2" s="13">
        <f>(G2*H2)</f>
        <v>492075</v>
      </c>
    </row>
    <row r="3" spans="1:9" ht="20" customHeight="1" x14ac:dyDescent="0.2">
      <c r="A3" s="7" t="s">
        <v>38</v>
      </c>
      <c r="B3" s="35">
        <v>5</v>
      </c>
      <c r="C3" s="34" t="str">
        <f>_xlfn.XLOOKUP(A3,'Aircraft Economics (FC)'!$A$2:$A$64,'Aircraft Economics (FC)'!$C$2:$C$64)</f>
        <v>In Production</v>
      </c>
      <c r="D3" s="34">
        <f t="shared" ref="D3:D31" si="0">IF(C3="In Production",B3,B3+(2023-C3))</f>
        <v>5</v>
      </c>
      <c r="E3" s="16">
        <f>_xlfn.XLOOKUP(A3,'Adjusted List Prices'!$A$2:$A$22,'Adjusted List Prices'!$G$2:$G$22)</f>
        <v>49207500</v>
      </c>
      <c r="F3" s="18">
        <f>_xlfn.XLOOKUP(D3,'Rates &amp; Costs (T-Intervals)'!$A$2:$A$32,'Rates &amp; Costs (T-Intervals)'!$B$2:$B$32)</f>
        <v>0.84999999999999987</v>
      </c>
      <c r="G3" s="16">
        <f t="shared" ref="G3:G31" si="1">(E3*F3)</f>
        <v>41826374.999999993</v>
      </c>
      <c r="H3" s="9">
        <v>0.01</v>
      </c>
      <c r="I3" s="14">
        <f t="shared" ref="I3:I31" si="2">(G3*H3)</f>
        <v>418263.74999999994</v>
      </c>
    </row>
    <row r="4" spans="1:9" ht="20" customHeight="1" x14ac:dyDescent="0.2">
      <c r="A4" s="7" t="s">
        <v>38</v>
      </c>
      <c r="B4" s="35">
        <v>10</v>
      </c>
      <c r="C4" s="34" t="str">
        <f>_xlfn.XLOOKUP(A4,'Aircraft Economics (FC)'!$A$2:$A$64,'Aircraft Economics (FC)'!$C$2:$C$64)</f>
        <v>In Production</v>
      </c>
      <c r="D4" s="34">
        <f t="shared" si="0"/>
        <v>10</v>
      </c>
      <c r="E4" s="16">
        <f>_xlfn.XLOOKUP(A4,'Adjusted List Prices'!$A$2:$A$22,'Adjusted List Prices'!$G$2:$G$22)</f>
        <v>49207500</v>
      </c>
      <c r="F4" s="18">
        <f>_xlfn.XLOOKUP(D4,'Rates &amp; Costs (T-Intervals)'!$A$2:$A$32,'Rates &amp; Costs (T-Intervals)'!$B$2:$B$32)</f>
        <v>0.69999999999999973</v>
      </c>
      <c r="G4" s="16">
        <f t="shared" si="1"/>
        <v>34445249.999999985</v>
      </c>
      <c r="H4" s="9">
        <v>0.01</v>
      </c>
      <c r="I4" s="14">
        <f t="shared" si="2"/>
        <v>344452.49999999988</v>
      </c>
    </row>
    <row r="5" spans="1:9" ht="20" customHeight="1" x14ac:dyDescent="0.2">
      <c r="A5" s="7" t="s">
        <v>37</v>
      </c>
      <c r="B5" s="35">
        <v>0</v>
      </c>
      <c r="C5" s="34" t="str">
        <f>_xlfn.XLOOKUP(A5,'Aircraft Economics (FC)'!$A$2:$A$64,'Aircraft Economics (FC)'!$C$2:$C$64)</f>
        <v>In Production</v>
      </c>
      <c r="D5" s="34">
        <f t="shared" si="0"/>
        <v>0</v>
      </c>
      <c r="E5" s="16">
        <f>_xlfn.XLOOKUP(A5,'Adjusted List Prices'!$A$2:$A$22,'Adjusted List Prices'!$G$2:$G$22)</f>
        <v>55586250</v>
      </c>
      <c r="F5" s="18">
        <f>_xlfn.XLOOKUP(D5,'Rates &amp; Costs (T-Intervals)'!$A$2:$A$32,'Rates &amp; Costs (T-Intervals)'!$B$2:$B$32)</f>
        <v>1</v>
      </c>
      <c r="G5" s="16">
        <f t="shared" si="1"/>
        <v>55586250</v>
      </c>
      <c r="H5" s="9">
        <v>0.01</v>
      </c>
      <c r="I5" s="14">
        <f t="shared" si="2"/>
        <v>555862.5</v>
      </c>
    </row>
    <row r="6" spans="1:9" ht="20" customHeight="1" x14ac:dyDescent="0.2">
      <c r="A6" s="7" t="s">
        <v>37</v>
      </c>
      <c r="B6" s="35">
        <v>5</v>
      </c>
      <c r="C6" s="34" t="str">
        <f>_xlfn.XLOOKUP(A6,'Aircraft Economics (FC)'!$A$2:$A$64,'Aircraft Economics (FC)'!$C$2:$C$64)</f>
        <v>In Production</v>
      </c>
      <c r="D6" s="34">
        <f t="shared" si="0"/>
        <v>5</v>
      </c>
      <c r="E6" s="16">
        <f>_xlfn.XLOOKUP(A6,'Adjusted List Prices'!$A$2:$A$22,'Adjusted List Prices'!$G$2:$G$22)</f>
        <v>55586250</v>
      </c>
      <c r="F6" s="18">
        <f>_xlfn.XLOOKUP(D6,'Rates &amp; Costs (T-Intervals)'!$A$2:$A$32,'Rates &amp; Costs (T-Intervals)'!$B$2:$B$32)</f>
        <v>0.84999999999999987</v>
      </c>
      <c r="G6" s="16">
        <f t="shared" si="1"/>
        <v>47248312.499999993</v>
      </c>
      <c r="H6" s="9">
        <v>0.01</v>
      </c>
      <c r="I6" s="14">
        <f t="shared" si="2"/>
        <v>472483.12499999994</v>
      </c>
    </row>
    <row r="7" spans="1:9" ht="20" customHeight="1" x14ac:dyDescent="0.2">
      <c r="A7" s="7" t="s">
        <v>37</v>
      </c>
      <c r="B7" s="35">
        <v>10</v>
      </c>
      <c r="C7" s="34" t="str">
        <f>_xlfn.XLOOKUP(A7,'Aircraft Economics (FC)'!$A$2:$A$64,'Aircraft Economics (FC)'!$C$2:$C$64)</f>
        <v>In Production</v>
      </c>
      <c r="D7" s="34">
        <f t="shared" si="0"/>
        <v>10</v>
      </c>
      <c r="E7" s="16">
        <f>_xlfn.XLOOKUP(A7,'Adjusted List Prices'!$A$2:$A$22,'Adjusted List Prices'!$G$2:$G$22)</f>
        <v>55586250</v>
      </c>
      <c r="F7" s="18">
        <f>_xlfn.XLOOKUP(D7,'Rates &amp; Costs (T-Intervals)'!$A$2:$A$32,'Rates &amp; Costs (T-Intervals)'!$B$2:$B$32)</f>
        <v>0.69999999999999973</v>
      </c>
      <c r="G7" s="16">
        <f t="shared" si="1"/>
        <v>38910374.999999985</v>
      </c>
      <c r="H7" s="9">
        <v>0.01</v>
      </c>
      <c r="I7" s="14">
        <f t="shared" si="2"/>
        <v>389103.74999999988</v>
      </c>
    </row>
    <row r="8" spans="1:9" ht="20" customHeight="1" x14ac:dyDescent="0.2">
      <c r="A8" s="7" t="s">
        <v>36</v>
      </c>
      <c r="B8" s="35">
        <v>0</v>
      </c>
      <c r="C8" s="34">
        <f>_xlfn.XLOOKUP(A8,'Aircraft Economics (FC)'!$A$2:$A$64,'Aircraft Economics (FC)'!$C$2:$C$64)</f>
        <v>2021</v>
      </c>
      <c r="D8" s="34">
        <f t="shared" si="0"/>
        <v>2</v>
      </c>
      <c r="E8" s="16">
        <f>_xlfn.XLOOKUP(A8,'Adjusted List Prices'!$A$2:$A$22,'Adjusted List Prices'!$G$2:$G$22)</f>
        <v>61357500</v>
      </c>
      <c r="F8" s="18">
        <f>_xlfn.XLOOKUP(D8,'Rates &amp; Costs (T-Intervals)'!$A$2:$A$32,'Rates &amp; Costs (T-Intervals)'!$B$2:$B$32)</f>
        <v>0.94</v>
      </c>
      <c r="G8" s="16">
        <f>(E8*F8)</f>
        <v>57676050</v>
      </c>
      <c r="H8" s="9">
        <v>0.01</v>
      </c>
      <c r="I8" s="14">
        <f t="shared" si="2"/>
        <v>576760.5</v>
      </c>
    </row>
    <row r="9" spans="1:9" ht="20" customHeight="1" x14ac:dyDescent="0.2">
      <c r="A9" s="7" t="s">
        <v>36</v>
      </c>
      <c r="B9" s="35">
        <v>5</v>
      </c>
      <c r="C9" s="34">
        <f>_xlfn.XLOOKUP(A9,'Aircraft Economics (FC)'!$A$2:$A$64,'Aircraft Economics (FC)'!$C$2:$C$64)</f>
        <v>2021</v>
      </c>
      <c r="D9" s="34">
        <f t="shared" si="0"/>
        <v>7</v>
      </c>
      <c r="E9" s="16">
        <f>_xlfn.XLOOKUP(A9,'Adjusted List Prices'!$A$2:$A$22,'Adjusted List Prices'!$G$2:$G$22)</f>
        <v>61357500</v>
      </c>
      <c r="F9" s="18">
        <f>_xlfn.XLOOKUP(D9,'Rates &amp; Costs (T-Intervals)'!$A$2:$A$32,'Rates &amp; Costs (T-Intervals)'!$B$2:$B$32)</f>
        <v>0.78999999999999981</v>
      </c>
      <c r="G9" s="16">
        <f t="shared" si="1"/>
        <v>48472424.999999985</v>
      </c>
      <c r="H9" s="9">
        <v>0.01</v>
      </c>
      <c r="I9" s="14">
        <f t="shared" si="2"/>
        <v>484724.24999999988</v>
      </c>
    </row>
    <row r="10" spans="1:9" ht="20" customHeight="1" x14ac:dyDescent="0.2">
      <c r="A10" s="7" t="s">
        <v>36</v>
      </c>
      <c r="B10" s="35">
        <v>10</v>
      </c>
      <c r="C10" s="34">
        <f>_xlfn.XLOOKUP(A10,'Aircraft Economics (FC)'!$A$2:$A$64,'Aircraft Economics (FC)'!$C$2:$C$64)</f>
        <v>2021</v>
      </c>
      <c r="D10" s="34">
        <f t="shared" si="0"/>
        <v>12</v>
      </c>
      <c r="E10" s="16">
        <f>_xlfn.XLOOKUP(A10,'Adjusted List Prices'!$A$2:$A$22,'Adjusted List Prices'!$G$2:$G$22)</f>
        <v>61357500</v>
      </c>
      <c r="F10" s="18">
        <f>_xlfn.XLOOKUP(D10,'Rates &amp; Costs (T-Intervals)'!$A$2:$A$32,'Rates &amp; Costs (T-Intervals)'!$B$2:$B$32)</f>
        <v>0.63999999999999968</v>
      </c>
      <c r="G10" s="16">
        <f t="shared" si="1"/>
        <v>39268799.999999978</v>
      </c>
      <c r="H10" s="9">
        <v>0.01</v>
      </c>
      <c r="I10" s="14">
        <f t="shared" si="2"/>
        <v>392687.99999999977</v>
      </c>
    </row>
    <row r="11" spans="1:9" ht="20" customHeight="1" x14ac:dyDescent="0.2">
      <c r="A11" s="7" t="s">
        <v>34</v>
      </c>
      <c r="B11" s="35">
        <v>0</v>
      </c>
      <c r="C11" s="34" t="str">
        <f>_xlfn.XLOOKUP(A11,'Aircraft Economics (FC)'!$A$2:$A$64,'Aircraft Economics (FC)'!$C$2:$C$64)</f>
        <v>In Production</v>
      </c>
      <c r="D11" s="34">
        <f t="shared" si="0"/>
        <v>0</v>
      </c>
      <c r="E11" s="16">
        <f>_xlfn.XLOOKUP(A11,'Adjusted List Prices'!$A$2:$A$22,'Adjusted List Prices'!$G$2:$G$22)</f>
        <v>67189500</v>
      </c>
      <c r="F11" s="18">
        <f>_xlfn.XLOOKUP(D11,'Rates &amp; Costs (T-Intervals)'!$A$2:$A$32,'Rates &amp; Costs (T-Intervals)'!$B$2:$B$32)</f>
        <v>1</v>
      </c>
      <c r="G11" s="16">
        <f t="shared" si="1"/>
        <v>67189500</v>
      </c>
      <c r="H11" s="9">
        <v>0.01</v>
      </c>
      <c r="I11" s="14">
        <f t="shared" si="2"/>
        <v>671895</v>
      </c>
    </row>
    <row r="12" spans="1:9" ht="20" customHeight="1" x14ac:dyDescent="0.2">
      <c r="A12" s="7" t="s">
        <v>34</v>
      </c>
      <c r="B12" s="35">
        <v>5</v>
      </c>
      <c r="C12" s="34" t="str">
        <f>_xlfn.XLOOKUP(A12,'Aircraft Economics (FC)'!$A$2:$A$64,'Aircraft Economics (FC)'!$C$2:$C$64)</f>
        <v>In Production</v>
      </c>
      <c r="D12" s="34">
        <f t="shared" si="0"/>
        <v>5</v>
      </c>
      <c r="E12" s="16">
        <f>_xlfn.XLOOKUP(A12,'Adjusted List Prices'!$A$2:$A$22,'Adjusted List Prices'!$G$2:$G$22)</f>
        <v>67189500</v>
      </c>
      <c r="F12" s="18">
        <f>_xlfn.XLOOKUP(D12,'Rates &amp; Costs (T-Intervals)'!$A$2:$A$32,'Rates &amp; Costs (T-Intervals)'!$B$2:$B$32)</f>
        <v>0.84999999999999987</v>
      </c>
      <c r="G12" s="16">
        <f t="shared" si="1"/>
        <v>57111074.999999993</v>
      </c>
      <c r="H12" s="9">
        <v>0.01</v>
      </c>
      <c r="I12" s="14">
        <f t="shared" si="2"/>
        <v>571110.74999999988</v>
      </c>
    </row>
    <row r="13" spans="1:9" ht="20" customHeight="1" x14ac:dyDescent="0.2">
      <c r="A13" s="7" t="s">
        <v>34</v>
      </c>
      <c r="B13" s="35">
        <v>10</v>
      </c>
      <c r="C13" s="34" t="str">
        <f>_xlfn.XLOOKUP(A13,'Aircraft Economics (FC)'!$A$2:$A$64,'Aircraft Economics (FC)'!$C$2:$C$64)</f>
        <v>In Production</v>
      </c>
      <c r="D13" s="34">
        <f t="shared" si="0"/>
        <v>10</v>
      </c>
      <c r="E13" s="16">
        <f>_xlfn.XLOOKUP(A13,'Adjusted List Prices'!$A$2:$A$22,'Adjusted List Prices'!$G$2:$G$22)</f>
        <v>67189500</v>
      </c>
      <c r="F13" s="18">
        <f>_xlfn.XLOOKUP(D13,'Rates &amp; Costs (T-Intervals)'!$A$2:$A$32,'Rates &amp; Costs (T-Intervals)'!$B$2:$B$32)</f>
        <v>0.69999999999999973</v>
      </c>
      <c r="G13" s="16">
        <f t="shared" si="1"/>
        <v>47032649.999999985</v>
      </c>
      <c r="H13" s="9">
        <v>0.01</v>
      </c>
      <c r="I13" s="14">
        <f t="shared" si="2"/>
        <v>470326.49999999988</v>
      </c>
    </row>
    <row r="14" spans="1:9" ht="20" customHeight="1" x14ac:dyDescent="0.2">
      <c r="A14" s="7" t="s">
        <v>35</v>
      </c>
      <c r="B14" s="35">
        <v>0</v>
      </c>
      <c r="C14" s="34">
        <f>_xlfn.XLOOKUP(A14,'Aircraft Economics (FC)'!$A$2:$A$64,'Aircraft Economics (FC)'!$C$2:$C$64)</f>
        <v>2021</v>
      </c>
      <c r="D14" s="34">
        <f t="shared" si="0"/>
        <v>2</v>
      </c>
      <c r="E14" s="16">
        <f>_xlfn.XLOOKUP(A14,'Adjusted List Prices'!$A$2:$A$22,'Adjusted List Prices'!$G$2:$G$22)</f>
        <v>71867250</v>
      </c>
      <c r="F14" s="18">
        <f>_xlfn.XLOOKUP(D14,'Rates &amp; Costs (T-Intervals)'!$A$2:$A$32,'Rates &amp; Costs (T-Intervals)'!$B$2:$B$32)</f>
        <v>0.94</v>
      </c>
      <c r="G14" s="16">
        <f t="shared" si="1"/>
        <v>67555215</v>
      </c>
      <c r="H14" s="9">
        <v>0.01</v>
      </c>
      <c r="I14" s="14">
        <f t="shared" si="2"/>
        <v>675552.15</v>
      </c>
    </row>
    <row r="15" spans="1:9" ht="20" customHeight="1" x14ac:dyDescent="0.2">
      <c r="A15" s="7" t="s">
        <v>35</v>
      </c>
      <c r="B15" s="35">
        <v>5</v>
      </c>
      <c r="C15" s="34">
        <f>_xlfn.XLOOKUP(A15,'Aircraft Economics (FC)'!$A$2:$A$64,'Aircraft Economics (FC)'!$C$2:$C$64)</f>
        <v>2021</v>
      </c>
      <c r="D15" s="34">
        <f t="shared" si="0"/>
        <v>7</v>
      </c>
      <c r="E15" s="16">
        <f>_xlfn.XLOOKUP(A15,'Adjusted List Prices'!$A$2:$A$22,'Adjusted List Prices'!$G$2:$G$22)</f>
        <v>71867250</v>
      </c>
      <c r="F15" s="18">
        <f>_xlfn.XLOOKUP(D15,'Rates &amp; Costs (T-Intervals)'!$A$2:$A$32,'Rates &amp; Costs (T-Intervals)'!$B$2:$B$32)</f>
        <v>0.78999999999999981</v>
      </c>
      <c r="G15" s="16">
        <f t="shared" si="1"/>
        <v>56775127.499999985</v>
      </c>
      <c r="H15" s="9">
        <v>0.01</v>
      </c>
      <c r="I15" s="14">
        <f t="shared" si="2"/>
        <v>567751.27499999991</v>
      </c>
    </row>
    <row r="16" spans="1:9" ht="20" customHeight="1" x14ac:dyDescent="0.2">
      <c r="A16" s="7" t="s">
        <v>35</v>
      </c>
      <c r="B16" s="35">
        <v>10</v>
      </c>
      <c r="C16" s="34">
        <f>_xlfn.XLOOKUP(A16,'Aircraft Economics (FC)'!$A$2:$A$64,'Aircraft Economics (FC)'!$C$2:$C$64)</f>
        <v>2021</v>
      </c>
      <c r="D16" s="34">
        <f t="shared" si="0"/>
        <v>12</v>
      </c>
      <c r="E16" s="16">
        <f>_xlfn.XLOOKUP(A16,'Adjusted List Prices'!$A$2:$A$22,'Adjusted List Prices'!$G$2:$G$22)</f>
        <v>71867250</v>
      </c>
      <c r="F16" s="18">
        <f>_xlfn.XLOOKUP(D16,'Rates &amp; Costs (T-Intervals)'!$A$2:$A$32,'Rates &amp; Costs (T-Intervals)'!$B$2:$B$32)</f>
        <v>0.63999999999999968</v>
      </c>
      <c r="G16" s="16">
        <f t="shared" si="1"/>
        <v>45995039.999999978</v>
      </c>
      <c r="H16" s="9">
        <v>0.01</v>
      </c>
      <c r="I16" s="14">
        <f t="shared" si="2"/>
        <v>459950.39999999979</v>
      </c>
    </row>
    <row r="17" spans="1:9" ht="20" customHeight="1" x14ac:dyDescent="0.2">
      <c r="A17" s="7" t="s">
        <v>33</v>
      </c>
      <c r="B17" s="35">
        <v>0</v>
      </c>
      <c r="C17" s="34" t="str">
        <f>_xlfn.XLOOKUP(A17,'Aircraft Economics (FC)'!$A$2:$A$64,'Aircraft Economics (FC)'!$C$2:$C$64)</f>
        <v>In Production</v>
      </c>
      <c r="D17" s="34">
        <f t="shared" si="0"/>
        <v>0</v>
      </c>
      <c r="E17" s="16">
        <f>_xlfn.XLOOKUP(A17,'Adjusted List Prices'!$A$2:$A$22,'Adjusted List Prices'!$G$2:$G$22)</f>
        <v>78671250</v>
      </c>
      <c r="F17" s="18">
        <f>_xlfn.XLOOKUP(D17,'Rates &amp; Costs (T-Intervals)'!$A$2:$A$32,'Rates &amp; Costs (T-Intervals)'!$B$2:$B$32)</f>
        <v>1</v>
      </c>
      <c r="G17" s="16">
        <f t="shared" si="1"/>
        <v>78671250</v>
      </c>
      <c r="H17" s="9">
        <v>0.01</v>
      </c>
      <c r="I17" s="14">
        <f t="shared" si="2"/>
        <v>786712.5</v>
      </c>
    </row>
    <row r="18" spans="1:9" ht="20" customHeight="1" x14ac:dyDescent="0.2">
      <c r="A18" s="7" t="s">
        <v>33</v>
      </c>
      <c r="B18" s="35">
        <v>5</v>
      </c>
      <c r="C18" s="34" t="str">
        <f>_xlfn.XLOOKUP(A18,'Aircraft Economics (FC)'!$A$2:$A$64,'Aircraft Economics (FC)'!$C$2:$C$64)</f>
        <v>In Production</v>
      </c>
      <c r="D18" s="34">
        <f t="shared" si="0"/>
        <v>5</v>
      </c>
      <c r="E18" s="16">
        <f>_xlfn.XLOOKUP(A18,'Adjusted List Prices'!$A$2:$A$22,'Adjusted List Prices'!$G$2:$G$22)</f>
        <v>78671250</v>
      </c>
      <c r="F18" s="18">
        <f>_xlfn.XLOOKUP(D18,'Rates &amp; Costs (T-Intervals)'!$A$2:$A$32,'Rates &amp; Costs (T-Intervals)'!$B$2:$B$32)</f>
        <v>0.84999999999999987</v>
      </c>
      <c r="G18" s="16">
        <f t="shared" si="1"/>
        <v>66870562.499999993</v>
      </c>
      <c r="H18" s="9">
        <v>0.01</v>
      </c>
      <c r="I18" s="14">
        <f t="shared" si="2"/>
        <v>668705.62499999988</v>
      </c>
    </row>
    <row r="19" spans="1:9" ht="20" customHeight="1" x14ac:dyDescent="0.2">
      <c r="A19" s="7" t="s">
        <v>33</v>
      </c>
      <c r="B19" s="35">
        <v>10</v>
      </c>
      <c r="C19" s="34" t="str">
        <f>_xlfn.XLOOKUP(A19,'Aircraft Economics (FC)'!$A$2:$A$64,'Aircraft Economics (FC)'!$C$2:$C$64)</f>
        <v>In Production</v>
      </c>
      <c r="D19" s="34">
        <f t="shared" si="0"/>
        <v>10</v>
      </c>
      <c r="E19" s="16">
        <f>_xlfn.XLOOKUP(A19,'Adjusted List Prices'!$A$2:$A$22,'Adjusted List Prices'!$G$2:$G$22)</f>
        <v>78671250</v>
      </c>
      <c r="F19" s="18">
        <f>_xlfn.XLOOKUP(D19,'Rates &amp; Costs (T-Intervals)'!$A$2:$A$32,'Rates &amp; Costs (T-Intervals)'!$B$2:$B$32)</f>
        <v>0.69999999999999973</v>
      </c>
      <c r="G19" s="16">
        <f t="shared" si="1"/>
        <v>55069874.999999978</v>
      </c>
      <c r="H19" s="9">
        <v>0.01</v>
      </c>
      <c r="I19" s="14">
        <f t="shared" si="2"/>
        <v>550698.74999999977</v>
      </c>
    </row>
    <row r="20" spans="1:9" ht="20" customHeight="1" x14ac:dyDescent="0.2">
      <c r="A20" s="7" t="s">
        <v>29</v>
      </c>
      <c r="B20" s="35">
        <v>0</v>
      </c>
      <c r="C20" s="34" t="str">
        <f>_xlfn.XLOOKUP(A20,'Aircraft Economics (FC)'!$A$2:$A$64,'Aircraft Economics (FC)'!$C$2:$C$64)</f>
        <v>In Production</v>
      </c>
      <c r="D20" s="34">
        <f t="shared" si="0"/>
        <v>0</v>
      </c>
      <c r="E20" s="16">
        <f>_xlfn.XLOOKUP(A20,'Adjusted List Prices'!$A$2:$A$22,'Adjusted List Prices'!$G$2:$G$22)</f>
        <v>160501500</v>
      </c>
      <c r="F20" s="18">
        <f>_xlfn.XLOOKUP(D20,'Rates &amp; Costs (T-Intervals)'!$A$2:$A$32,'Rates &amp; Costs (T-Intervals)'!$B$2:$B$32)</f>
        <v>1</v>
      </c>
      <c r="G20" s="16">
        <f t="shared" si="1"/>
        <v>160501500</v>
      </c>
      <c r="H20" s="9">
        <v>0.01</v>
      </c>
      <c r="I20" s="14">
        <f t="shared" si="2"/>
        <v>1605015</v>
      </c>
    </row>
    <row r="21" spans="1:9" ht="20" customHeight="1" x14ac:dyDescent="0.2">
      <c r="A21" s="7" t="s">
        <v>29</v>
      </c>
      <c r="B21" s="35">
        <v>5</v>
      </c>
      <c r="C21" s="34" t="str">
        <f>_xlfn.XLOOKUP(A21,'Aircraft Economics (FC)'!$A$2:$A$64,'Aircraft Economics (FC)'!$C$2:$C$64)</f>
        <v>In Production</v>
      </c>
      <c r="D21" s="34">
        <f t="shared" si="0"/>
        <v>5</v>
      </c>
      <c r="E21" s="16">
        <f>_xlfn.XLOOKUP(A21,'Adjusted List Prices'!$A$2:$A$22,'Adjusted List Prices'!$G$2:$G$22)</f>
        <v>160501500</v>
      </c>
      <c r="F21" s="18">
        <f>_xlfn.XLOOKUP(D21,'Rates &amp; Costs (T-Intervals)'!$A$2:$A$32,'Rates &amp; Costs (T-Intervals)'!$B$2:$B$32)</f>
        <v>0.84999999999999987</v>
      </c>
      <c r="G21" s="16">
        <f t="shared" si="1"/>
        <v>136426274.99999997</v>
      </c>
      <c r="H21" s="9">
        <v>0.01</v>
      </c>
      <c r="I21" s="14">
        <f t="shared" si="2"/>
        <v>1364262.7499999998</v>
      </c>
    </row>
    <row r="22" spans="1:9" ht="20" customHeight="1" x14ac:dyDescent="0.2">
      <c r="A22" s="7" t="s">
        <v>29</v>
      </c>
      <c r="B22" s="35">
        <v>10</v>
      </c>
      <c r="C22" s="34" t="str">
        <f>_xlfn.XLOOKUP(A22,'Aircraft Economics (FC)'!$A$2:$A$64,'Aircraft Economics (FC)'!$C$2:$C$64)</f>
        <v>In Production</v>
      </c>
      <c r="D22" s="34">
        <f t="shared" si="0"/>
        <v>10</v>
      </c>
      <c r="E22" s="16">
        <f>_xlfn.XLOOKUP(A22,'Adjusted List Prices'!$A$2:$A$22,'Adjusted List Prices'!$G$2:$G$22)</f>
        <v>160501500</v>
      </c>
      <c r="F22" s="18">
        <f>_xlfn.XLOOKUP(D22,'Rates &amp; Costs (T-Intervals)'!$A$2:$A$32,'Rates &amp; Costs (T-Intervals)'!$B$2:$B$32)</f>
        <v>0.69999999999999973</v>
      </c>
      <c r="G22" s="16">
        <f t="shared" si="1"/>
        <v>112351049.99999996</v>
      </c>
      <c r="H22" s="9">
        <v>0.01</v>
      </c>
      <c r="I22" s="14">
        <f t="shared" si="2"/>
        <v>1123510.4999999995</v>
      </c>
    </row>
    <row r="23" spans="1:9" ht="20" customHeight="1" x14ac:dyDescent="0.2">
      <c r="A23" s="7" t="s">
        <v>32</v>
      </c>
      <c r="B23" s="35">
        <v>0</v>
      </c>
      <c r="C23" s="34" t="str">
        <f>_xlfn.XLOOKUP(A23,'Aircraft Economics (FC)'!$A$2:$A$64,'Aircraft Economics (FC)'!$C$2:$C$64)</f>
        <v>In Production</v>
      </c>
      <c r="D23" s="34">
        <f t="shared" si="0"/>
        <v>0</v>
      </c>
      <c r="E23" s="16">
        <f>_xlfn.XLOOKUP(A23,'Adjusted List Prices'!$A$2:$A$22,'Adjusted List Prices'!$G$2:$G$22)</f>
        <v>180063000</v>
      </c>
      <c r="F23" s="18">
        <f>_xlfn.XLOOKUP(D23,'Rates &amp; Costs (T-Intervals)'!$A$2:$A$32,'Rates &amp; Costs (T-Intervals)'!$B$2:$B$32)</f>
        <v>1</v>
      </c>
      <c r="G23" s="16">
        <f t="shared" si="1"/>
        <v>180063000</v>
      </c>
      <c r="H23" s="9">
        <v>0.01</v>
      </c>
      <c r="I23" s="14">
        <f t="shared" si="2"/>
        <v>1800630</v>
      </c>
    </row>
    <row r="24" spans="1:9" ht="20" customHeight="1" x14ac:dyDescent="0.2">
      <c r="A24" s="7" t="s">
        <v>32</v>
      </c>
      <c r="B24" s="35">
        <v>5</v>
      </c>
      <c r="C24" s="34" t="str">
        <f>_xlfn.XLOOKUP(A24,'Aircraft Economics (FC)'!$A$2:$A$64,'Aircraft Economics (FC)'!$C$2:$C$64)</f>
        <v>In Production</v>
      </c>
      <c r="D24" s="34">
        <f t="shared" si="0"/>
        <v>5</v>
      </c>
      <c r="E24" s="16">
        <f>_xlfn.XLOOKUP(A24,'Adjusted List Prices'!$A$2:$A$22,'Adjusted List Prices'!$G$2:$G$22)</f>
        <v>180063000</v>
      </c>
      <c r="F24" s="18">
        <f>_xlfn.XLOOKUP(D24,'Rates &amp; Costs (T-Intervals)'!$A$2:$A$32,'Rates &amp; Costs (T-Intervals)'!$B$2:$B$32)</f>
        <v>0.84999999999999987</v>
      </c>
      <c r="G24" s="16">
        <f t="shared" si="1"/>
        <v>153053549.99999997</v>
      </c>
      <c r="H24" s="9">
        <v>0.01</v>
      </c>
      <c r="I24" s="14">
        <f t="shared" si="2"/>
        <v>1530535.4999999998</v>
      </c>
    </row>
    <row r="25" spans="1:9" ht="20" customHeight="1" x14ac:dyDescent="0.2">
      <c r="A25" s="7" t="s">
        <v>32</v>
      </c>
      <c r="B25" s="35">
        <v>10</v>
      </c>
      <c r="C25" s="34" t="str">
        <f>_xlfn.XLOOKUP(A25,'Aircraft Economics (FC)'!$A$2:$A$64,'Aircraft Economics (FC)'!$C$2:$C$64)</f>
        <v>In Production</v>
      </c>
      <c r="D25" s="34">
        <f t="shared" si="0"/>
        <v>10</v>
      </c>
      <c r="E25" s="16">
        <f>_xlfn.XLOOKUP(A25,'Adjusted List Prices'!$A$2:$A$22,'Adjusted List Prices'!$G$2:$G$22)</f>
        <v>180063000</v>
      </c>
      <c r="F25" s="18">
        <f>_xlfn.XLOOKUP(D25,'Rates &amp; Costs (T-Intervals)'!$A$2:$A$32,'Rates &amp; Costs (T-Intervals)'!$B$2:$B$32)</f>
        <v>0.69999999999999973</v>
      </c>
      <c r="G25" s="16">
        <f t="shared" si="1"/>
        <v>126044099.99999996</v>
      </c>
      <c r="H25" s="9">
        <v>0.01</v>
      </c>
      <c r="I25" s="14">
        <f t="shared" si="2"/>
        <v>1260440.9999999995</v>
      </c>
    </row>
    <row r="26" spans="1:9" ht="20" customHeight="1" x14ac:dyDescent="0.2">
      <c r="A26" s="7" t="s">
        <v>31</v>
      </c>
      <c r="B26" s="35">
        <v>0</v>
      </c>
      <c r="C26" s="34">
        <f>_xlfn.XLOOKUP(A26,'Aircraft Economics (FC)'!$A$2:$A$64,'Aircraft Economics (FC)'!$C$2:$C$64)</f>
        <v>2011</v>
      </c>
      <c r="D26" s="34">
        <f t="shared" si="0"/>
        <v>12</v>
      </c>
      <c r="E26" s="16">
        <f>_xlfn.XLOOKUP(A26,'Adjusted List Prices'!$A$2:$A$22,'Adjusted List Prices'!$G$2:$G$22)</f>
        <v>161364000</v>
      </c>
      <c r="F26" s="18">
        <f>_xlfn.XLOOKUP(D26,'Rates &amp; Costs (T-Intervals)'!$A$2:$A$32,'Rates &amp; Costs (T-Intervals)'!$B$2:$B$32)</f>
        <v>0.63999999999999968</v>
      </c>
      <c r="G26" s="16">
        <f t="shared" si="1"/>
        <v>103272959.99999996</v>
      </c>
      <c r="H26" s="9">
        <v>0.01</v>
      </c>
      <c r="I26" s="14">
        <f t="shared" si="2"/>
        <v>1032729.5999999996</v>
      </c>
    </row>
    <row r="27" spans="1:9" ht="20" customHeight="1" x14ac:dyDescent="0.2">
      <c r="A27" s="7" t="s">
        <v>31</v>
      </c>
      <c r="B27" s="35">
        <v>5</v>
      </c>
      <c r="C27" s="34">
        <f>_xlfn.XLOOKUP(A27,'Aircraft Economics (FC)'!$A$2:$A$64,'Aircraft Economics (FC)'!$C$2:$C$64)</f>
        <v>2011</v>
      </c>
      <c r="D27" s="34">
        <f t="shared" si="0"/>
        <v>17</v>
      </c>
      <c r="E27" s="16">
        <f>_xlfn.XLOOKUP(A27,'Adjusted List Prices'!$A$2:$A$22,'Adjusted List Prices'!$G$2:$G$22)</f>
        <v>161364000</v>
      </c>
      <c r="F27" s="18">
        <f>_xlfn.XLOOKUP(D27,'Rates &amp; Costs (T-Intervals)'!$A$2:$A$32,'Rates &amp; Costs (T-Intervals)'!$B$2:$B$32)</f>
        <v>0.48999999999999955</v>
      </c>
      <c r="G27" s="16">
        <f t="shared" si="1"/>
        <v>79068359.999999925</v>
      </c>
      <c r="H27" s="9">
        <v>0.01</v>
      </c>
      <c r="I27" s="14">
        <f t="shared" si="2"/>
        <v>790683.59999999928</v>
      </c>
    </row>
    <row r="28" spans="1:9" ht="20" customHeight="1" x14ac:dyDescent="0.2">
      <c r="A28" s="7" t="s">
        <v>31</v>
      </c>
      <c r="B28" s="35">
        <v>10</v>
      </c>
      <c r="C28" s="34">
        <f>_xlfn.XLOOKUP(A28,'Aircraft Economics (FC)'!$A$2:$A$64,'Aircraft Economics (FC)'!$C$2:$C$64)</f>
        <v>2011</v>
      </c>
      <c r="D28" s="34">
        <f t="shared" si="0"/>
        <v>22</v>
      </c>
      <c r="E28" s="16">
        <f>_xlfn.XLOOKUP(A28,'Adjusted List Prices'!$A$2:$A$22,'Adjusted List Prices'!$G$2:$G$22)</f>
        <v>161364000</v>
      </c>
      <c r="F28" s="18">
        <f>_xlfn.XLOOKUP(D28,'Rates &amp; Costs (T-Intervals)'!$A$2:$A$32,'Rates &amp; Costs (T-Intervals)'!$B$2:$B$32)</f>
        <v>0.33999999999999941</v>
      </c>
      <c r="G28" s="16">
        <f t="shared" si="1"/>
        <v>54863759.999999903</v>
      </c>
      <c r="H28" s="9">
        <v>0.01</v>
      </c>
      <c r="I28" s="14">
        <f t="shared" si="2"/>
        <v>548637.59999999905</v>
      </c>
    </row>
    <row r="29" spans="1:9" ht="20" customHeight="1" x14ac:dyDescent="0.2">
      <c r="A29" s="7" t="s">
        <v>30</v>
      </c>
      <c r="B29" s="35">
        <v>0</v>
      </c>
      <c r="C29" s="34">
        <f>_xlfn.XLOOKUP(A29,'Aircraft Economics (FC)'!$A$2:$A$64,'Aircraft Economics (FC)'!$C$2:$C$64)</f>
        <v>2011</v>
      </c>
      <c r="D29" s="34">
        <f t="shared" si="0"/>
        <v>12</v>
      </c>
      <c r="E29" s="16">
        <f>_xlfn.XLOOKUP(A29,'Adjusted List Prices'!$A$2:$A$22,'Adjusted List Prices'!$G$2:$G$22)</f>
        <v>186721200</v>
      </c>
      <c r="F29" s="18">
        <f>_xlfn.XLOOKUP(D29,'Rates &amp; Costs (T-Intervals)'!$A$2:$A$32,'Rates &amp; Costs (T-Intervals)'!$B$2:$B$32)</f>
        <v>0.63999999999999968</v>
      </c>
      <c r="G29" s="16">
        <f t="shared" si="1"/>
        <v>119501567.99999994</v>
      </c>
      <c r="H29" s="9">
        <v>0.01</v>
      </c>
      <c r="I29" s="14">
        <f t="shared" si="2"/>
        <v>1195015.6799999995</v>
      </c>
    </row>
    <row r="30" spans="1:9" ht="20" customHeight="1" x14ac:dyDescent="0.2">
      <c r="A30" s="7" t="s">
        <v>30</v>
      </c>
      <c r="B30" s="35">
        <v>5</v>
      </c>
      <c r="C30" s="34">
        <f>_xlfn.XLOOKUP(A30,'Aircraft Economics (FC)'!$A$2:$A$64,'Aircraft Economics (FC)'!$C$2:$C$64)</f>
        <v>2011</v>
      </c>
      <c r="D30" s="34">
        <f t="shared" si="0"/>
        <v>17</v>
      </c>
      <c r="E30" s="16">
        <f>_xlfn.XLOOKUP(A30,'Adjusted List Prices'!$A$2:$A$22,'Adjusted List Prices'!$G$2:$G$22)</f>
        <v>186721200</v>
      </c>
      <c r="F30" s="18">
        <f>_xlfn.XLOOKUP(D30,'Rates &amp; Costs (T-Intervals)'!$A$2:$A$32,'Rates &amp; Costs (T-Intervals)'!$B$2:$B$32)</f>
        <v>0.48999999999999955</v>
      </c>
      <c r="G30" s="16">
        <f t="shared" si="1"/>
        <v>91493387.999999911</v>
      </c>
      <c r="H30" s="9">
        <v>0.01</v>
      </c>
      <c r="I30" s="14">
        <f t="shared" si="2"/>
        <v>914933.87999999907</v>
      </c>
    </row>
    <row r="31" spans="1:9" ht="20" customHeight="1" x14ac:dyDescent="0.2">
      <c r="A31" s="7" t="s">
        <v>30</v>
      </c>
      <c r="B31" s="35">
        <v>10</v>
      </c>
      <c r="C31" s="34">
        <f>_xlfn.XLOOKUP(A31,'Aircraft Economics (FC)'!$A$2:$A$64,'Aircraft Economics (FC)'!$C$2:$C$64)</f>
        <v>2011</v>
      </c>
      <c r="D31" s="34">
        <f t="shared" si="0"/>
        <v>22</v>
      </c>
      <c r="E31" s="16">
        <f>_xlfn.XLOOKUP(A31,'Adjusted List Prices'!$A$2:$A$22,'Adjusted List Prices'!$G$2:$G$22)</f>
        <v>186721200</v>
      </c>
      <c r="F31" s="18">
        <f>_xlfn.XLOOKUP(D31,'Rates &amp; Costs (T-Intervals)'!$A$2:$A$32,'Rates &amp; Costs (T-Intervals)'!$B$2:$B$32)</f>
        <v>0.33999999999999941</v>
      </c>
      <c r="G31" s="16">
        <f t="shared" si="1"/>
        <v>63485207.999999888</v>
      </c>
      <c r="H31" s="9">
        <v>0.01</v>
      </c>
      <c r="I31" s="14">
        <f t="shared" si="2"/>
        <v>634852.07999999891</v>
      </c>
    </row>
    <row r="32" spans="1:9" ht="20" customHeight="1" x14ac:dyDescent="0.2">
      <c r="A32" s="7" t="s">
        <v>28</v>
      </c>
      <c r="B32" s="35">
        <v>0</v>
      </c>
      <c r="C32" s="34" t="str">
        <f>_xlfn.XLOOKUP(A32,'Aircraft Economics (FC)'!$A$2:$A$64,'Aircraft Economics (FC)'!$C$2:$C$64)</f>
        <v>In Production</v>
      </c>
      <c r="D32" s="34">
        <f>IF(C32="In Production",B32,B32+(2023-C32))</f>
        <v>0</v>
      </c>
      <c r="E32" s="16">
        <f>_xlfn.XLOOKUP(A32,'Adjusted List Prices'!$A$2:$A$22,'Adjusted List Prices'!$G$2:$G$22)</f>
        <v>192820500</v>
      </c>
      <c r="F32" s="18">
        <f>_xlfn.XLOOKUP(D32,'Rates &amp; Costs (T-Intervals)'!$A$2:$A$32,'Rates &amp; Costs (T-Intervals)'!$B$2:$B$32)</f>
        <v>1</v>
      </c>
      <c r="G32" s="16">
        <f>(E32*F32)</f>
        <v>192820500</v>
      </c>
      <c r="H32" s="9">
        <v>0.01</v>
      </c>
      <c r="I32" s="14">
        <f>(G32*H32)</f>
        <v>1928205</v>
      </c>
    </row>
    <row r="33" spans="1:9" ht="20" customHeight="1" x14ac:dyDescent="0.2">
      <c r="A33" s="7" t="s">
        <v>28</v>
      </c>
      <c r="B33" s="35">
        <v>5</v>
      </c>
      <c r="C33" s="34" t="str">
        <f>_xlfn.XLOOKUP(A33,'Aircraft Economics (FC)'!$A$2:$A$64,'Aircraft Economics (FC)'!$C$2:$C$64)</f>
        <v>In Production</v>
      </c>
      <c r="D33" s="34">
        <f t="shared" ref="D33:D61" si="3">IF(C33="In Production",B33,B33+(2023-C33))</f>
        <v>5</v>
      </c>
      <c r="E33" s="16">
        <f>_xlfn.XLOOKUP(A33,'Adjusted List Prices'!$A$2:$A$22,'Adjusted List Prices'!$G$2:$G$22)</f>
        <v>192820500</v>
      </c>
      <c r="F33" s="18">
        <f>_xlfn.XLOOKUP(D33,'Rates &amp; Costs (T-Intervals)'!$A$2:$A$32,'Rates &amp; Costs (T-Intervals)'!$B$2:$B$32)</f>
        <v>0.84999999999999987</v>
      </c>
      <c r="G33" s="16">
        <f t="shared" ref="G33:G37" si="4">(E33*F33)</f>
        <v>163897424.99999997</v>
      </c>
      <c r="H33" s="9">
        <v>0.01</v>
      </c>
      <c r="I33" s="14">
        <f t="shared" ref="I33:I61" si="5">(G33*H33)</f>
        <v>1638974.2499999998</v>
      </c>
    </row>
    <row r="34" spans="1:9" ht="20" customHeight="1" x14ac:dyDescent="0.2">
      <c r="A34" s="7" t="s">
        <v>28</v>
      </c>
      <c r="B34" s="35">
        <v>10</v>
      </c>
      <c r="C34" s="34" t="str">
        <f>_xlfn.XLOOKUP(A34,'Aircraft Economics (FC)'!$A$2:$A$64,'Aircraft Economics (FC)'!$C$2:$C$64)</f>
        <v>In Production</v>
      </c>
      <c r="D34" s="34">
        <f t="shared" si="3"/>
        <v>10</v>
      </c>
      <c r="E34" s="16">
        <f>_xlfn.XLOOKUP(A34,'Adjusted List Prices'!$A$2:$A$22,'Adjusted List Prices'!$G$2:$G$22)</f>
        <v>192820500</v>
      </c>
      <c r="F34" s="18">
        <f>_xlfn.XLOOKUP(D34,'Rates &amp; Costs (T-Intervals)'!$A$2:$A$32,'Rates &amp; Costs (T-Intervals)'!$B$2:$B$32)</f>
        <v>0.69999999999999973</v>
      </c>
      <c r="G34" s="16">
        <f t="shared" si="4"/>
        <v>134974349.99999994</v>
      </c>
      <c r="H34" s="9">
        <v>0.01</v>
      </c>
      <c r="I34" s="14">
        <f t="shared" si="5"/>
        <v>1349743.4999999995</v>
      </c>
    </row>
    <row r="35" spans="1:9" ht="20" customHeight="1" x14ac:dyDescent="0.2">
      <c r="A35" s="7" t="s">
        <v>27</v>
      </c>
      <c r="B35" s="35">
        <v>0</v>
      </c>
      <c r="C35" s="34">
        <f>_xlfn.XLOOKUP(A35,'Aircraft Economics (FC)'!$A$2:$A$64,'Aircraft Economics (FC)'!$C$2:$C$64)</f>
        <v>2021</v>
      </c>
      <c r="D35" s="34">
        <f t="shared" si="3"/>
        <v>2</v>
      </c>
      <c r="E35" s="16">
        <f>_xlfn.XLOOKUP(A35,'Adjusted List Prices'!$A$2:$A$22,'Adjusted List Prices'!$G$2:$G$22)</f>
        <v>270702000</v>
      </c>
      <c r="F35" s="18">
        <f>_xlfn.XLOOKUP(D35,'Rates &amp; Costs (T-Intervals)'!$A$2:$A$32,'Rates &amp; Costs (T-Intervals)'!$B$2:$B$32)</f>
        <v>0.94</v>
      </c>
      <c r="G35" s="16">
        <f t="shared" si="4"/>
        <v>254459880</v>
      </c>
      <c r="H35" s="9">
        <v>0.01</v>
      </c>
      <c r="I35" s="14">
        <f t="shared" si="5"/>
        <v>2544598.8000000003</v>
      </c>
    </row>
    <row r="36" spans="1:9" ht="20" customHeight="1" x14ac:dyDescent="0.2">
      <c r="A36" s="7" t="s">
        <v>27</v>
      </c>
      <c r="B36" s="35">
        <v>5</v>
      </c>
      <c r="C36" s="34">
        <f>_xlfn.XLOOKUP(A36,'Aircraft Economics (FC)'!$A$2:$A$64,'Aircraft Economics (FC)'!$C$2:$C$64)</f>
        <v>2021</v>
      </c>
      <c r="D36" s="34">
        <f t="shared" si="3"/>
        <v>7</v>
      </c>
      <c r="E36" s="16">
        <f>_xlfn.XLOOKUP(A36,'Adjusted List Prices'!$A$2:$A$22,'Adjusted List Prices'!$G$2:$G$22)</f>
        <v>270702000</v>
      </c>
      <c r="F36" s="18">
        <f>_xlfn.XLOOKUP(D36,'Rates &amp; Costs (T-Intervals)'!$A$2:$A$32,'Rates &amp; Costs (T-Intervals)'!$B$2:$B$32)</f>
        <v>0.78999999999999981</v>
      </c>
      <c r="G36" s="16">
        <f t="shared" si="4"/>
        <v>213854579.99999994</v>
      </c>
      <c r="H36" s="9">
        <v>0.01</v>
      </c>
      <c r="I36" s="14">
        <f t="shared" si="5"/>
        <v>2138545.7999999993</v>
      </c>
    </row>
    <row r="37" spans="1:9" ht="20" customHeight="1" x14ac:dyDescent="0.2">
      <c r="A37" s="7" t="s">
        <v>27</v>
      </c>
      <c r="B37" s="35">
        <v>10</v>
      </c>
      <c r="C37" s="34">
        <f>_xlfn.XLOOKUP(A37,'Aircraft Economics (FC)'!$A$2:$A$64,'Aircraft Economics (FC)'!$C$2:$C$64)</f>
        <v>2021</v>
      </c>
      <c r="D37" s="34">
        <f t="shared" si="3"/>
        <v>12</v>
      </c>
      <c r="E37" s="16">
        <f>_xlfn.XLOOKUP(A37,'Adjusted List Prices'!$A$2:$A$22,'Adjusted List Prices'!$G$2:$G$22)</f>
        <v>270702000</v>
      </c>
      <c r="F37" s="18">
        <f>_xlfn.XLOOKUP(D37,'Rates &amp; Costs (T-Intervals)'!$A$2:$A$32,'Rates &amp; Costs (T-Intervals)'!$B$2:$B$32)</f>
        <v>0.63999999999999968</v>
      </c>
      <c r="G37" s="16">
        <f t="shared" si="4"/>
        <v>173249279.99999991</v>
      </c>
      <c r="H37" s="9">
        <v>0.01</v>
      </c>
      <c r="I37" s="14">
        <f t="shared" si="5"/>
        <v>1732492.7999999991</v>
      </c>
    </row>
    <row r="38" spans="1:9" ht="20" customHeight="1" x14ac:dyDescent="0.2">
      <c r="A38" s="7" t="s">
        <v>45</v>
      </c>
      <c r="B38" s="35">
        <v>0</v>
      </c>
      <c r="C38" s="34" t="str">
        <f>_xlfn.XLOOKUP(A38,'Aircraft Economics (FC)'!$A$2:$A$64,'Aircraft Economics (FC)'!$C$2:$C$64)</f>
        <v>In Production</v>
      </c>
      <c r="D38" s="34">
        <f t="shared" si="3"/>
        <v>0</v>
      </c>
      <c r="E38" s="16">
        <f>_xlfn.XLOOKUP(A38,'Adjusted List Prices'!$A$2:$A$22,'Adjusted List Prices'!$G$2:$G$22)</f>
        <v>63414400</v>
      </c>
      <c r="F38" s="18">
        <f>_xlfn.XLOOKUP(D38,'Rates &amp; Costs (T-Intervals)'!$A$2:$A$32,'Rates &amp; Costs (T-Intervals)'!$B$2:$B$32)</f>
        <v>1</v>
      </c>
      <c r="G38" s="16">
        <f>(E38*F38)</f>
        <v>63414400</v>
      </c>
      <c r="H38" s="9">
        <v>0.01</v>
      </c>
      <c r="I38" s="14">
        <f t="shared" si="5"/>
        <v>634144</v>
      </c>
    </row>
    <row r="39" spans="1:9" ht="20" customHeight="1" x14ac:dyDescent="0.2">
      <c r="A39" s="7" t="s">
        <v>45</v>
      </c>
      <c r="B39" s="35">
        <v>5</v>
      </c>
      <c r="C39" s="34" t="str">
        <f>_xlfn.XLOOKUP(A39,'Aircraft Economics (FC)'!$A$2:$A$64,'Aircraft Economics (FC)'!$C$2:$C$64)</f>
        <v>In Production</v>
      </c>
      <c r="D39" s="34">
        <f t="shared" si="3"/>
        <v>5</v>
      </c>
      <c r="E39" s="16">
        <f>_xlfn.XLOOKUP(A39,'Adjusted List Prices'!$A$2:$A$22,'Adjusted List Prices'!$G$2:$G$22)</f>
        <v>63414400</v>
      </c>
      <c r="F39" s="18">
        <f>_xlfn.XLOOKUP(D39,'Rates &amp; Costs (T-Intervals)'!$A$2:$A$32,'Rates &amp; Costs (T-Intervals)'!$B$2:$B$32)</f>
        <v>0.84999999999999987</v>
      </c>
      <c r="G39" s="16">
        <f t="shared" ref="G39:G61" si="6">(E39*F39)</f>
        <v>53902239.999999993</v>
      </c>
      <c r="H39" s="9">
        <v>0.01</v>
      </c>
      <c r="I39" s="14">
        <f t="shared" si="5"/>
        <v>539022.39999999991</v>
      </c>
    </row>
    <row r="40" spans="1:9" ht="20" customHeight="1" x14ac:dyDescent="0.2">
      <c r="A40" s="7" t="s">
        <v>45</v>
      </c>
      <c r="B40" s="35">
        <v>10</v>
      </c>
      <c r="C40" s="34" t="str">
        <f>_xlfn.XLOOKUP(A40,'Aircraft Economics (FC)'!$A$2:$A$64,'Aircraft Economics (FC)'!$C$2:$C$64)</f>
        <v>In Production</v>
      </c>
      <c r="D40" s="34">
        <f t="shared" si="3"/>
        <v>10</v>
      </c>
      <c r="E40" s="16">
        <f>_xlfn.XLOOKUP(A40,'Adjusted List Prices'!$A$2:$A$22,'Adjusted List Prices'!$G$2:$G$22)</f>
        <v>63414400</v>
      </c>
      <c r="F40" s="18">
        <f>_xlfn.XLOOKUP(D40,'Rates &amp; Costs (T-Intervals)'!$A$2:$A$32,'Rates &amp; Costs (T-Intervals)'!$B$2:$B$32)</f>
        <v>0.69999999999999973</v>
      </c>
      <c r="G40" s="16">
        <f t="shared" si="6"/>
        <v>44390079.999999985</v>
      </c>
      <c r="H40" s="9">
        <v>0.01</v>
      </c>
      <c r="I40" s="14">
        <f t="shared" si="5"/>
        <v>443900.79999999987</v>
      </c>
    </row>
    <row r="41" spans="1:9" ht="20" customHeight="1" x14ac:dyDescent="0.2">
      <c r="A41" s="7" t="s">
        <v>43</v>
      </c>
      <c r="B41" s="35">
        <v>0</v>
      </c>
      <c r="C41" s="34" t="str">
        <f>_xlfn.XLOOKUP(A41,'Aircraft Economics (FC)'!$A$2:$A$64,'Aircraft Economics (FC)'!$C$2:$C$64)</f>
        <v>In Production</v>
      </c>
      <c r="D41" s="34">
        <f t="shared" si="3"/>
        <v>0</v>
      </c>
      <c r="E41" s="16">
        <f>_xlfn.XLOOKUP(A41,'Adjusted List Prices'!$A$2:$A$22,'Adjusted List Prices'!$G$2:$G$22)</f>
        <v>67221350</v>
      </c>
      <c r="F41" s="18">
        <f>_xlfn.XLOOKUP(D41,'Rates &amp; Costs (T-Intervals)'!$A$2:$A$32,'Rates &amp; Costs (T-Intervals)'!$B$2:$B$32)</f>
        <v>1</v>
      </c>
      <c r="G41" s="16">
        <f t="shared" si="6"/>
        <v>67221350</v>
      </c>
      <c r="H41" s="9">
        <v>0.01</v>
      </c>
      <c r="I41" s="14">
        <f t="shared" si="5"/>
        <v>672213.5</v>
      </c>
    </row>
    <row r="42" spans="1:9" ht="20" customHeight="1" x14ac:dyDescent="0.2">
      <c r="A42" s="7" t="s">
        <v>43</v>
      </c>
      <c r="B42" s="35">
        <v>5</v>
      </c>
      <c r="C42" s="34" t="str">
        <f>_xlfn.XLOOKUP(A42,'Aircraft Economics (FC)'!$A$2:$A$64,'Aircraft Economics (FC)'!$C$2:$C$64)</f>
        <v>In Production</v>
      </c>
      <c r="D42" s="34">
        <f t="shared" si="3"/>
        <v>5</v>
      </c>
      <c r="E42" s="16">
        <f>_xlfn.XLOOKUP(A42,'Adjusted List Prices'!$A$2:$A$22,'Adjusted List Prices'!$G$2:$G$22)</f>
        <v>67221350</v>
      </c>
      <c r="F42" s="18">
        <f>_xlfn.XLOOKUP(D42,'Rates &amp; Costs (T-Intervals)'!$A$2:$A$32,'Rates &amp; Costs (T-Intervals)'!$B$2:$B$32)</f>
        <v>0.84999999999999987</v>
      </c>
      <c r="G42" s="16">
        <f t="shared" si="6"/>
        <v>57138147.499999993</v>
      </c>
      <c r="H42" s="9">
        <v>0.01</v>
      </c>
      <c r="I42" s="14">
        <f t="shared" si="5"/>
        <v>571381.47499999998</v>
      </c>
    </row>
    <row r="43" spans="1:9" ht="20" customHeight="1" x14ac:dyDescent="0.2">
      <c r="A43" s="7" t="s">
        <v>43</v>
      </c>
      <c r="B43" s="35">
        <v>10</v>
      </c>
      <c r="C43" s="34" t="str">
        <f>_xlfn.XLOOKUP(A43,'Aircraft Economics (FC)'!$A$2:$A$64,'Aircraft Economics (FC)'!$C$2:$C$64)</f>
        <v>In Production</v>
      </c>
      <c r="D43" s="34">
        <f t="shared" si="3"/>
        <v>10</v>
      </c>
      <c r="E43" s="16">
        <f>_xlfn.XLOOKUP(A43,'Adjusted List Prices'!$A$2:$A$22,'Adjusted List Prices'!$G$2:$G$22)</f>
        <v>67221350</v>
      </c>
      <c r="F43" s="18">
        <f>_xlfn.XLOOKUP(D43,'Rates &amp; Costs (T-Intervals)'!$A$2:$A$32,'Rates &amp; Costs (T-Intervals)'!$B$2:$B$32)</f>
        <v>0.69999999999999973</v>
      </c>
      <c r="G43" s="16">
        <f t="shared" si="6"/>
        <v>47054944.999999985</v>
      </c>
      <c r="H43" s="9">
        <v>0.01</v>
      </c>
      <c r="I43" s="14">
        <f t="shared" si="5"/>
        <v>470549.44999999984</v>
      </c>
    </row>
    <row r="44" spans="1:9" ht="20" customHeight="1" x14ac:dyDescent="0.2">
      <c r="A44" s="7" t="s">
        <v>46</v>
      </c>
      <c r="B44" s="35">
        <v>0</v>
      </c>
      <c r="C44" s="34">
        <f>_xlfn.XLOOKUP(A44,'Aircraft Economics (FC)'!$A$2:$A$64,'Aircraft Economics (FC)'!$C$2:$C$64)</f>
        <v>2019</v>
      </c>
      <c r="D44" s="34">
        <f t="shared" si="3"/>
        <v>4</v>
      </c>
      <c r="E44" s="16">
        <f>_xlfn.XLOOKUP(A44,'Adjusted List Prices'!$A$2:$A$22,'Adjusted List Prices'!$G$2:$G$22)</f>
        <v>55331150</v>
      </c>
      <c r="F44" s="18">
        <f>_xlfn.XLOOKUP(D44,'Rates &amp; Costs (T-Intervals)'!$A$2:$A$32,'Rates &amp; Costs (T-Intervals)'!$B$2:$B$32)</f>
        <v>0.87999999999999989</v>
      </c>
      <c r="G44" s="16">
        <f t="shared" si="6"/>
        <v>48691411.999999993</v>
      </c>
      <c r="H44" s="9">
        <v>0.01</v>
      </c>
      <c r="I44" s="14">
        <f t="shared" si="5"/>
        <v>486914.11999999994</v>
      </c>
    </row>
    <row r="45" spans="1:9" ht="20" customHeight="1" x14ac:dyDescent="0.2">
      <c r="A45" s="7" t="s">
        <v>46</v>
      </c>
      <c r="B45" s="35">
        <v>5</v>
      </c>
      <c r="C45" s="34">
        <f>_xlfn.XLOOKUP(A45,'Aircraft Economics (FC)'!$A$2:$A$64,'Aircraft Economics (FC)'!$C$2:$C$64)</f>
        <v>2019</v>
      </c>
      <c r="D45" s="34">
        <f t="shared" si="3"/>
        <v>9</v>
      </c>
      <c r="E45" s="16">
        <f>_xlfn.XLOOKUP(A45,'Adjusted List Prices'!$A$2:$A$22,'Adjusted List Prices'!$G$2:$G$22)</f>
        <v>55331150</v>
      </c>
      <c r="F45" s="18">
        <f>_xlfn.XLOOKUP(D45,'Rates &amp; Costs (T-Intervals)'!$A$2:$A$32,'Rates &amp; Costs (T-Intervals)'!$B$2:$B$32)</f>
        <v>0.72999999999999976</v>
      </c>
      <c r="G45" s="16">
        <f t="shared" si="6"/>
        <v>40391739.499999985</v>
      </c>
      <c r="H45" s="9">
        <v>0.01</v>
      </c>
      <c r="I45" s="14">
        <f t="shared" si="5"/>
        <v>403917.39499999984</v>
      </c>
    </row>
    <row r="46" spans="1:9" ht="20" customHeight="1" x14ac:dyDescent="0.2">
      <c r="A46" s="7" t="s">
        <v>46</v>
      </c>
      <c r="B46" s="35">
        <v>10</v>
      </c>
      <c r="C46" s="34">
        <f>_xlfn.XLOOKUP(A46,'Aircraft Economics (FC)'!$A$2:$A$64,'Aircraft Economics (FC)'!$C$2:$C$64)</f>
        <v>2019</v>
      </c>
      <c r="D46" s="34">
        <f t="shared" si="3"/>
        <v>14</v>
      </c>
      <c r="E46" s="16">
        <f>_xlfn.XLOOKUP(A46,'Adjusted List Prices'!$A$2:$A$22,'Adjusted List Prices'!$G$2:$G$22)</f>
        <v>55331150</v>
      </c>
      <c r="F46" s="18">
        <f>_xlfn.XLOOKUP(D46,'Rates &amp; Costs (T-Intervals)'!$A$2:$A$32,'Rates &amp; Costs (T-Intervals)'!$B$2:$B$32)</f>
        <v>0.57999999999999963</v>
      </c>
      <c r="G46" s="16">
        <f t="shared" si="6"/>
        <v>32092066.999999978</v>
      </c>
      <c r="H46" s="9">
        <v>0.01</v>
      </c>
      <c r="I46" s="14">
        <f t="shared" si="5"/>
        <v>320920.66999999981</v>
      </c>
    </row>
    <row r="47" spans="1:9" ht="20" customHeight="1" x14ac:dyDescent="0.2">
      <c r="A47" s="7" t="s">
        <v>44</v>
      </c>
      <c r="B47" s="35">
        <v>0</v>
      </c>
      <c r="C47" s="34">
        <f>_xlfn.XLOOKUP(A47,'Aircraft Economics (FC)'!$A$2:$A$64,'Aircraft Economics (FC)'!$C$2:$C$64)</f>
        <v>2019</v>
      </c>
      <c r="D47" s="34">
        <f t="shared" si="3"/>
        <v>4</v>
      </c>
      <c r="E47" s="16">
        <f>_xlfn.XLOOKUP(A47,'Adjusted List Prices'!$A$2:$A$22,'Adjusted List Prices'!$G$2:$G$22)</f>
        <v>58720900</v>
      </c>
      <c r="F47" s="18">
        <f>_xlfn.XLOOKUP(D47,'Rates &amp; Costs (T-Intervals)'!$A$2:$A$32,'Rates &amp; Costs (T-Intervals)'!$B$2:$B$32)</f>
        <v>0.87999999999999989</v>
      </c>
      <c r="G47" s="16">
        <f t="shared" si="6"/>
        <v>51674391.999999993</v>
      </c>
      <c r="H47" s="9">
        <v>0.01</v>
      </c>
      <c r="I47" s="14">
        <f t="shared" si="5"/>
        <v>516743.91999999993</v>
      </c>
    </row>
    <row r="48" spans="1:9" ht="20" customHeight="1" x14ac:dyDescent="0.2">
      <c r="A48" s="7" t="s">
        <v>44</v>
      </c>
      <c r="B48" s="35">
        <v>5</v>
      </c>
      <c r="C48" s="34">
        <f>_xlfn.XLOOKUP(A48,'Aircraft Economics (FC)'!$A$2:$A$64,'Aircraft Economics (FC)'!$C$2:$C$64)</f>
        <v>2019</v>
      </c>
      <c r="D48" s="34">
        <f t="shared" si="3"/>
        <v>9</v>
      </c>
      <c r="E48" s="16">
        <f>_xlfn.XLOOKUP(A48,'Adjusted List Prices'!$A$2:$A$22,'Adjusted List Prices'!$G$2:$G$22)</f>
        <v>58720900</v>
      </c>
      <c r="F48" s="18">
        <f>_xlfn.XLOOKUP(D48,'Rates &amp; Costs (T-Intervals)'!$A$2:$A$32,'Rates &amp; Costs (T-Intervals)'!$B$2:$B$32)</f>
        <v>0.72999999999999976</v>
      </c>
      <c r="G48" s="16">
        <f t="shared" si="6"/>
        <v>42866256.999999985</v>
      </c>
      <c r="H48" s="9">
        <v>0.01</v>
      </c>
      <c r="I48" s="14">
        <f t="shared" si="5"/>
        <v>428662.56999999983</v>
      </c>
    </row>
    <row r="49" spans="1:9" ht="20" customHeight="1" x14ac:dyDescent="0.2">
      <c r="A49" s="7" t="s">
        <v>44</v>
      </c>
      <c r="B49" s="35">
        <v>10</v>
      </c>
      <c r="C49" s="34">
        <f>_xlfn.XLOOKUP(A49,'Aircraft Economics (FC)'!$A$2:$A$64,'Aircraft Economics (FC)'!$C$2:$C$64)</f>
        <v>2019</v>
      </c>
      <c r="D49" s="34">
        <f t="shared" si="3"/>
        <v>14</v>
      </c>
      <c r="E49" s="16">
        <f>_xlfn.XLOOKUP(A49,'Adjusted List Prices'!$A$2:$A$22,'Adjusted List Prices'!$G$2:$G$22)</f>
        <v>58720900</v>
      </c>
      <c r="F49" s="18">
        <f>_xlfn.XLOOKUP(D49,'Rates &amp; Costs (T-Intervals)'!$A$2:$A$32,'Rates &amp; Costs (T-Intervals)'!$B$2:$B$32)</f>
        <v>0.57999999999999963</v>
      </c>
      <c r="G49" s="16">
        <f t="shared" si="6"/>
        <v>34058121.999999978</v>
      </c>
      <c r="H49" s="9">
        <v>0.01</v>
      </c>
      <c r="I49" s="14">
        <f t="shared" si="5"/>
        <v>340581.2199999998</v>
      </c>
    </row>
    <row r="50" spans="1:9" ht="20" customHeight="1" x14ac:dyDescent="0.2">
      <c r="A50" s="7" t="s">
        <v>42</v>
      </c>
      <c r="B50" s="35">
        <v>0</v>
      </c>
      <c r="C50" s="34">
        <f>_xlfn.XLOOKUP(A50,'Aircraft Economics (FC)'!$A$2:$A$64,'Aircraft Economics (FC)'!$C$2:$C$64)</f>
        <v>2005</v>
      </c>
      <c r="D50" s="34">
        <f t="shared" si="3"/>
        <v>18</v>
      </c>
      <c r="E50" s="16">
        <f>_xlfn.XLOOKUP(A50,'Adjusted List Prices'!$A$2:$A$22,'Adjusted List Prices'!$G$2:$G$22)</f>
        <v>196144000</v>
      </c>
      <c r="F50" s="18">
        <f>_xlfn.XLOOKUP(D50,'Rates &amp; Costs (T-Intervals)'!$A$2:$A$32,'Rates &amp; Costs (T-Intervals)'!$B$2:$B$32)</f>
        <v>0.45999999999999952</v>
      </c>
      <c r="G50" s="16">
        <f t="shared" si="6"/>
        <v>90226239.999999911</v>
      </c>
      <c r="H50" s="9">
        <v>0.01</v>
      </c>
      <c r="I50" s="14">
        <f t="shared" si="5"/>
        <v>902262.39999999909</v>
      </c>
    </row>
    <row r="51" spans="1:9" ht="20" customHeight="1" x14ac:dyDescent="0.2">
      <c r="A51" s="7" t="s">
        <v>42</v>
      </c>
      <c r="B51" s="35">
        <v>5</v>
      </c>
      <c r="C51" s="34">
        <f>_xlfn.XLOOKUP(A51,'Aircraft Economics (FC)'!$A$2:$A$64,'Aircraft Economics (FC)'!$C$2:$C$64)</f>
        <v>2005</v>
      </c>
      <c r="D51" s="34">
        <f t="shared" si="3"/>
        <v>23</v>
      </c>
      <c r="E51" s="16">
        <f>_xlfn.XLOOKUP(A51,'Adjusted List Prices'!$A$2:$A$22,'Adjusted List Prices'!$G$2:$G$22)</f>
        <v>196144000</v>
      </c>
      <c r="F51" s="18">
        <f>_xlfn.XLOOKUP(D51,'Rates &amp; Costs (T-Intervals)'!$A$2:$A$32,'Rates &amp; Costs (T-Intervals)'!$B$2:$B$32)</f>
        <v>0.30999999999999939</v>
      </c>
      <c r="G51" s="16">
        <f t="shared" si="6"/>
        <v>60804639.999999881</v>
      </c>
      <c r="H51" s="9">
        <v>0.01</v>
      </c>
      <c r="I51" s="14">
        <f t="shared" si="5"/>
        <v>608046.39999999886</v>
      </c>
    </row>
    <row r="52" spans="1:9" ht="20" customHeight="1" x14ac:dyDescent="0.2">
      <c r="A52" s="7" t="s">
        <v>42</v>
      </c>
      <c r="B52" s="35">
        <v>10</v>
      </c>
      <c r="C52" s="34">
        <f>_xlfn.XLOOKUP(A52,'Aircraft Economics (FC)'!$A$2:$A$64,'Aircraft Economics (FC)'!$C$2:$C$64)</f>
        <v>2005</v>
      </c>
      <c r="D52" s="34">
        <f t="shared" si="3"/>
        <v>28</v>
      </c>
      <c r="E52" s="16">
        <f>_xlfn.XLOOKUP(A52,'Adjusted List Prices'!$A$2:$A$22,'Adjusted List Prices'!$G$2:$G$22)</f>
        <v>196144000</v>
      </c>
      <c r="F52" s="18">
        <f>_xlfn.XLOOKUP(D52,'Rates &amp; Costs (T-Intervals)'!$A$2:$A$32,'Rates &amp; Costs (T-Intervals)'!$B$2:$B$32)</f>
        <v>0.15999999999999936</v>
      </c>
      <c r="G52" s="16">
        <f t="shared" si="6"/>
        <v>31383039.999999877</v>
      </c>
      <c r="H52" s="9">
        <v>0.01</v>
      </c>
      <c r="I52" s="14">
        <f t="shared" si="5"/>
        <v>313830.3999999988</v>
      </c>
    </row>
    <row r="53" spans="1:9" ht="20" customHeight="1" x14ac:dyDescent="0.2">
      <c r="A53" s="7" t="s">
        <v>41</v>
      </c>
      <c r="B53" s="35">
        <v>0</v>
      </c>
      <c r="C53" s="34">
        <f>_xlfn.XLOOKUP(A53,'Aircraft Economics (FC)'!$A$2:$A$64,'Aircraft Economics (FC)'!$C$2:$C$64)</f>
        <v>2023</v>
      </c>
      <c r="D53" s="34">
        <f t="shared" si="3"/>
        <v>0</v>
      </c>
      <c r="E53" s="16">
        <f>_xlfn.XLOOKUP(A53,'Adjusted List Prices'!$A$2:$A$22,'Adjusted List Prices'!$G$2:$G$22)</f>
        <v>218195600</v>
      </c>
      <c r="F53" s="18">
        <f>_xlfn.XLOOKUP(D53,'Rates &amp; Costs (T-Intervals)'!$A$2:$A$32,'Rates &amp; Costs (T-Intervals)'!$B$2:$B$32)</f>
        <v>1</v>
      </c>
      <c r="G53" s="16">
        <f t="shared" si="6"/>
        <v>218195600</v>
      </c>
      <c r="H53" s="9">
        <v>0.01</v>
      </c>
      <c r="I53" s="14">
        <f t="shared" si="5"/>
        <v>2181956</v>
      </c>
    </row>
    <row r="54" spans="1:9" ht="20" customHeight="1" x14ac:dyDescent="0.2">
      <c r="A54" s="7" t="s">
        <v>41</v>
      </c>
      <c r="B54" s="35">
        <v>5</v>
      </c>
      <c r="C54" s="34">
        <f>_xlfn.XLOOKUP(A54,'Aircraft Economics (FC)'!$A$2:$A$64,'Aircraft Economics (FC)'!$C$2:$C$64)</f>
        <v>2023</v>
      </c>
      <c r="D54" s="34">
        <f t="shared" si="3"/>
        <v>5</v>
      </c>
      <c r="E54" s="16">
        <f>_xlfn.XLOOKUP(A54,'Adjusted List Prices'!$A$2:$A$22,'Adjusted List Prices'!$G$2:$G$22)</f>
        <v>218195600</v>
      </c>
      <c r="F54" s="18">
        <f>_xlfn.XLOOKUP(D54,'Rates &amp; Costs (T-Intervals)'!$A$2:$A$32,'Rates &amp; Costs (T-Intervals)'!$B$2:$B$32)</f>
        <v>0.84999999999999987</v>
      </c>
      <c r="G54" s="16">
        <f t="shared" si="6"/>
        <v>185466259.99999997</v>
      </c>
      <c r="H54" s="9">
        <v>0.01</v>
      </c>
      <c r="I54" s="14">
        <f t="shared" si="5"/>
        <v>1854662.5999999996</v>
      </c>
    </row>
    <row r="55" spans="1:9" ht="20" customHeight="1" x14ac:dyDescent="0.2">
      <c r="A55" s="7" t="s">
        <v>41</v>
      </c>
      <c r="B55" s="35">
        <v>10</v>
      </c>
      <c r="C55" s="34">
        <f>_xlfn.XLOOKUP(A55,'Aircraft Economics (FC)'!$A$2:$A$64,'Aircraft Economics (FC)'!$C$2:$C$64)</f>
        <v>2023</v>
      </c>
      <c r="D55" s="34">
        <f t="shared" si="3"/>
        <v>10</v>
      </c>
      <c r="E55" s="16">
        <f>_xlfn.XLOOKUP(A55,'Adjusted List Prices'!$A$2:$A$22,'Adjusted List Prices'!$G$2:$G$22)</f>
        <v>218195600</v>
      </c>
      <c r="F55" s="18">
        <f>_xlfn.XLOOKUP(D55,'Rates &amp; Costs (T-Intervals)'!$A$2:$A$32,'Rates &amp; Costs (T-Intervals)'!$B$2:$B$32)</f>
        <v>0.69999999999999973</v>
      </c>
      <c r="G55" s="16">
        <f t="shared" si="6"/>
        <v>152736919.99999994</v>
      </c>
      <c r="H55" s="9">
        <v>0.01</v>
      </c>
      <c r="I55" s="14">
        <f t="shared" si="5"/>
        <v>1527369.1999999995</v>
      </c>
    </row>
    <row r="56" spans="1:9" ht="20" customHeight="1" x14ac:dyDescent="0.2">
      <c r="A56" s="7" t="s">
        <v>48</v>
      </c>
      <c r="B56" s="35">
        <v>0</v>
      </c>
      <c r="C56" s="34">
        <f>_xlfn.XLOOKUP(A56,'Aircraft Economics (FC)'!$A$2:$A$64,'Aircraft Economics (FC)'!$C$2:$C$64)</f>
        <v>2014</v>
      </c>
      <c r="D56" s="34">
        <f t="shared" si="3"/>
        <v>9</v>
      </c>
      <c r="E56" s="16">
        <f>_xlfn.XLOOKUP(A56,'Adjusted List Prices'!$A$2:$A$22,'Adjusted List Prices'!$G$2:$G$22)</f>
        <v>122570500</v>
      </c>
      <c r="F56" s="18">
        <f>_xlfn.XLOOKUP(D56,'Rates &amp; Costs (T-Intervals)'!$A$2:$A$32,'Rates &amp; Costs (T-Intervals)'!$B$2:$B$32)</f>
        <v>0.72999999999999976</v>
      </c>
      <c r="G56" s="16">
        <f t="shared" si="6"/>
        <v>89476464.99999997</v>
      </c>
      <c r="H56" s="9">
        <v>0.01</v>
      </c>
      <c r="I56" s="14">
        <f t="shared" si="5"/>
        <v>894764.64999999967</v>
      </c>
    </row>
    <row r="57" spans="1:9" ht="20" customHeight="1" x14ac:dyDescent="0.2">
      <c r="A57" s="7" t="s">
        <v>48</v>
      </c>
      <c r="B57" s="35">
        <v>5</v>
      </c>
      <c r="C57" s="34">
        <f>_xlfn.XLOOKUP(A57,'Aircraft Economics (FC)'!$A$2:$A$64,'Aircraft Economics (FC)'!$C$2:$C$64)</f>
        <v>2014</v>
      </c>
      <c r="D57" s="34">
        <f t="shared" si="3"/>
        <v>14</v>
      </c>
      <c r="E57" s="16">
        <f>_xlfn.XLOOKUP(A57,'Adjusted List Prices'!$A$2:$A$22,'Adjusted List Prices'!$G$2:$G$22)</f>
        <v>122570500</v>
      </c>
      <c r="F57" s="18">
        <f>_xlfn.XLOOKUP(D57,'Rates &amp; Costs (T-Intervals)'!$A$2:$A$32,'Rates &amp; Costs (T-Intervals)'!$B$2:$B$32)</f>
        <v>0.57999999999999963</v>
      </c>
      <c r="G57" s="16">
        <f t="shared" si="6"/>
        <v>71090889.999999955</v>
      </c>
      <c r="H57" s="9">
        <v>0.01</v>
      </c>
      <c r="I57" s="14">
        <f t="shared" si="5"/>
        <v>710908.89999999956</v>
      </c>
    </row>
    <row r="58" spans="1:9" ht="20" customHeight="1" x14ac:dyDescent="0.2">
      <c r="A58" s="7" t="s">
        <v>48</v>
      </c>
      <c r="B58" s="35">
        <v>10</v>
      </c>
      <c r="C58" s="34">
        <f>_xlfn.XLOOKUP(A58,'Aircraft Economics (FC)'!$A$2:$A$64,'Aircraft Economics (FC)'!$C$2:$C$64)</f>
        <v>2014</v>
      </c>
      <c r="D58" s="34">
        <f t="shared" si="3"/>
        <v>19</v>
      </c>
      <c r="E58" s="16">
        <f>_xlfn.XLOOKUP(A58,'Adjusted List Prices'!$A$2:$A$22,'Adjusted List Prices'!$G$2:$G$22)</f>
        <v>122570500</v>
      </c>
      <c r="F58" s="18">
        <f>_xlfn.XLOOKUP(D58,'Rates &amp; Costs (T-Intervals)'!$A$2:$A$32,'Rates &amp; Costs (T-Intervals)'!$B$2:$B$32)</f>
        <v>0.42999999999999949</v>
      </c>
      <c r="G58" s="16">
        <f t="shared" si="6"/>
        <v>52705314.99999994</v>
      </c>
      <c r="H58" s="9">
        <v>0.01</v>
      </c>
      <c r="I58" s="14">
        <f t="shared" si="5"/>
        <v>527053.14999999944</v>
      </c>
    </row>
    <row r="59" spans="1:9" ht="20" customHeight="1" x14ac:dyDescent="0.2">
      <c r="A59" s="7" t="s">
        <v>40</v>
      </c>
      <c r="B59" s="35">
        <v>0</v>
      </c>
      <c r="C59" s="34" t="str">
        <f>_xlfn.XLOOKUP(A59,'Aircraft Economics (FC)'!$A$2:$A$64,'Aircraft Economics (FC)'!$C$2:$C$64)</f>
        <v>In Production</v>
      </c>
      <c r="D59" s="34">
        <f t="shared" si="3"/>
        <v>0</v>
      </c>
      <c r="E59" s="16">
        <f>_xlfn.XLOOKUP(A59,'Adjusted List Prices'!$A$2:$A$22,'Adjusted List Prices'!$G$2:$G$22)</f>
        <v>195823250</v>
      </c>
      <c r="F59" s="18">
        <f>_xlfn.XLOOKUP(D59,'Rates &amp; Costs (T-Intervals)'!$A$2:$A$32,'Rates &amp; Costs (T-Intervals)'!$B$2:$B$32)</f>
        <v>1</v>
      </c>
      <c r="G59" s="16">
        <f t="shared" si="6"/>
        <v>195823250</v>
      </c>
      <c r="H59" s="9">
        <v>0.01</v>
      </c>
      <c r="I59" s="14">
        <f t="shared" si="5"/>
        <v>1958232.5</v>
      </c>
    </row>
    <row r="60" spans="1:9" ht="20" customHeight="1" x14ac:dyDescent="0.2">
      <c r="A60" s="7" t="s">
        <v>40</v>
      </c>
      <c r="B60" s="35">
        <v>5</v>
      </c>
      <c r="C60" s="34" t="str">
        <f>_xlfn.XLOOKUP(A60,'Aircraft Economics (FC)'!$A$2:$A$64,'Aircraft Economics (FC)'!$C$2:$C$64)</f>
        <v>In Production</v>
      </c>
      <c r="D60" s="34">
        <f t="shared" si="3"/>
        <v>5</v>
      </c>
      <c r="E60" s="16">
        <f>_xlfn.XLOOKUP(A60,'Adjusted List Prices'!$A$2:$A$22,'Adjusted List Prices'!$G$2:$G$22)</f>
        <v>195823250</v>
      </c>
      <c r="F60" s="18">
        <f>_xlfn.XLOOKUP(D60,'Rates &amp; Costs (T-Intervals)'!$A$2:$A$32,'Rates &amp; Costs (T-Intervals)'!$B$2:$B$32)</f>
        <v>0.84999999999999987</v>
      </c>
      <c r="G60" s="16">
        <f t="shared" si="6"/>
        <v>166449762.49999997</v>
      </c>
      <c r="H60" s="9">
        <v>0.01</v>
      </c>
      <c r="I60" s="14">
        <f t="shared" si="5"/>
        <v>1664497.6249999998</v>
      </c>
    </row>
    <row r="61" spans="1:9" ht="20" customHeight="1" x14ac:dyDescent="0.2">
      <c r="A61" s="7" t="s">
        <v>40</v>
      </c>
      <c r="B61" s="35">
        <v>10</v>
      </c>
      <c r="C61" s="34" t="str">
        <f>_xlfn.XLOOKUP(A61,'Aircraft Economics (FC)'!$A$2:$A$64,'Aircraft Economics (FC)'!$C$2:$C$64)</f>
        <v>In Production</v>
      </c>
      <c r="D61" s="34">
        <f t="shared" si="3"/>
        <v>10</v>
      </c>
      <c r="E61" s="16">
        <f>_xlfn.XLOOKUP(A61,'Adjusted List Prices'!$A$2:$A$22,'Adjusted List Prices'!$G$2:$G$22)</f>
        <v>195823250</v>
      </c>
      <c r="F61" s="18">
        <f>_xlfn.XLOOKUP(D61,'Rates &amp; Costs (T-Intervals)'!$A$2:$A$32,'Rates &amp; Costs (T-Intervals)'!$B$2:$B$32)</f>
        <v>0.69999999999999973</v>
      </c>
      <c r="G61" s="16">
        <f t="shared" si="6"/>
        <v>137076274.99999994</v>
      </c>
      <c r="H61" s="9">
        <v>0.01</v>
      </c>
      <c r="I61" s="14">
        <f t="shared" si="5"/>
        <v>1370762.7499999995</v>
      </c>
    </row>
    <row r="62" spans="1:9" ht="20" customHeight="1" x14ac:dyDescent="0.2">
      <c r="A62" s="7" t="s">
        <v>39</v>
      </c>
      <c r="B62" s="35">
        <v>0</v>
      </c>
      <c r="C62" s="34" t="str">
        <f>_xlfn.XLOOKUP(A62,'Aircraft Economics (FC)'!$A$2:$A$64,'Aircraft Economics (FC)'!$C$2:$C$64)</f>
        <v>In Production</v>
      </c>
      <c r="D62" s="34">
        <f>IF(C62="In Production",B62,B62+(2023-C62))</f>
        <v>0</v>
      </c>
      <c r="E62" s="16">
        <f>_xlfn.XLOOKUP(A62,'Adjusted List Prices'!$A$2:$A$22,'Adjusted List Prices'!$G$2:$G$22)</f>
        <v>152538750</v>
      </c>
      <c r="F62" s="18">
        <f>_xlfn.XLOOKUP(D62,'Rates &amp; Costs (T-Intervals)'!$A$2:$A$32,'Rates &amp; Costs (T-Intervals)'!$B$2:$B$32)</f>
        <v>1</v>
      </c>
      <c r="G62" s="16">
        <f>(E62*F62)</f>
        <v>152538750</v>
      </c>
      <c r="H62" s="9">
        <v>0.01</v>
      </c>
      <c r="I62" s="14">
        <f>(G62*H62)</f>
        <v>1525387.5</v>
      </c>
    </row>
    <row r="63" spans="1:9" ht="20" customHeight="1" x14ac:dyDescent="0.2">
      <c r="A63" s="7" t="s">
        <v>39</v>
      </c>
      <c r="B63" s="35">
        <v>5</v>
      </c>
      <c r="C63" s="34" t="str">
        <f>_xlfn.XLOOKUP(A63,'Aircraft Economics (FC)'!$A$2:$A$64,'Aircraft Economics (FC)'!$C$2:$C$64)</f>
        <v>In Production</v>
      </c>
      <c r="D63" s="34">
        <f t="shared" ref="D63:D64" si="7">IF(C63="In Production",B63,B63+(2023-C63))</f>
        <v>5</v>
      </c>
      <c r="E63" s="16">
        <f>_xlfn.XLOOKUP(A63,'Adjusted List Prices'!$A$2:$A$22,'Adjusted List Prices'!$G$2:$G$22)</f>
        <v>152538750</v>
      </c>
      <c r="F63" s="18">
        <f>_xlfn.XLOOKUP(D63,'Rates &amp; Costs (T-Intervals)'!$A$2:$A$32,'Rates &amp; Costs (T-Intervals)'!$B$2:$B$32)</f>
        <v>0.84999999999999987</v>
      </c>
      <c r="G63" s="16">
        <f t="shared" ref="G63:G64" si="8">(E63*F63)</f>
        <v>129657937.49999999</v>
      </c>
      <c r="H63" s="9">
        <v>0.01</v>
      </c>
      <c r="I63" s="14">
        <f t="shared" ref="I63:I64" si="9">(G63*H63)</f>
        <v>1296579.3749999998</v>
      </c>
    </row>
    <row r="64" spans="1:9" ht="20" customHeight="1" thickBot="1" x14ac:dyDescent="0.25">
      <c r="A64" s="8" t="s">
        <v>39</v>
      </c>
      <c r="B64" s="20">
        <v>10</v>
      </c>
      <c r="C64" s="6" t="str">
        <f>_xlfn.XLOOKUP(A64,'Aircraft Economics (FC)'!$A$2:$A$64,'Aircraft Economics (FC)'!$C$2:$C$64)</f>
        <v>In Production</v>
      </c>
      <c r="D64" s="6">
        <f t="shared" si="7"/>
        <v>10</v>
      </c>
      <c r="E64" s="12">
        <f>_xlfn.XLOOKUP(A64,'Adjusted List Prices'!$A$2:$A$22,'Adjusted List Prices'!$G$2:$G$22)</f>
        <v>152538750</v>
      </c>
      <c r="F64" s="19">
        <f>_xlfn.XLOOKUP(D64,'Rates &amp; Costs (T-Intervals)'!$A$2:$A$32,'Rates &amp; Costs (T-Intervals)'!$B$2:$B$32)</f>
        <v>0.69999999999999973</v>
      </c>
      <c r="G64" s="12">
        <f t="shared" si="8"/>
        <v>106777124.99999996</v>
      </c>
      <c r="H64" s="10">
        <v>0.01</v>
      </c>
      <c r="I64" s="15">
        <f t="shared" si="9"/>
        <v>1067771.2499999995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513E-D652-5842-9E90-09FC700CDA15}">
  <dimension ref="A1:H64"/>
  <sheetViews>
    <sheetView workbookViewId="0">
      <selection activeCell="H14" sqref="H14"/>
    </sheetView>
  </sheetViews>
  <sheetFormatPr baseColWidth="10" defaultColWidth="25.83203125" defaultRowHeight="20" customHeight="1" x14ac:dyDescent="0.2"/>
  <cols>
    <col min="1" max="5" width="25.83203125" style="1"/>
    <col min="6" max="6" width="26.83203125" style="1" customWidth="1"/>
    <col min="7" max="7" width="30" style="1" customWidth="1"/>
    <col min="8" max="16384" width="25.83203125" style="1"/>
  </cols>
  <sheetData>
    <row r="1" spans="1:8" ht="20" customHeight="1" thickBot="1" x14ac:dyDescent="0.25">
      <c r="A1" s="2" t="s">
        <v>0</v>
      </c>
      <c r="B1" s="3" t="s">
        <v>8</v>
      </c>
      <c r="C1" s="3" t="s">
        <v>1</v>
      </c>
      <c r="D1" s="3" t="s">
        <v>10</v>
      </c>
      <c r="E1" s="3" t="s">
        <v>5</v>
      </c>
      <c r="F1" s="3" t="s">
        <v>16</v>
      </c>
      <c r="G1" s="3" t="s">
        <v>17</v>
      </c>
      <c r="H1" s="4" t="s">
        <v>18</v>
      </c>
    </row>
    <row r="2" spans="1:8" ht="20" customHeight="1" x14ac:dyDescent="0.2">
      <c r="A2" s="39" t="s">
        <v>38</v>
      </c>
      <c r="B2" s="21">
        <v>0</v>
      </c>
      <c r="C2" s="5" t="str">
        <f>_xlfn.XLOOKUP(A2,'Aircraft Economics (FC)'!$A$2:$A$64,'Aircraft Economics (FC)'!$C$2:$C$64)</f>
        <v>In Production</v>
      </c>
      <c r="D2" s="5">
        <f>IF(C2="In Production",B2,B2+(2023-C2))</f>
        <v>0</v>
      </c>
      <c r="E2" s="11">
        <f>_xlfn.XLOOKUP(A2,'Adjusted List Prices'!$A$2:$A$22,'Adjusted List Prices'!$G$2:$G$22)</f>
        <v>49207500</v>
      </c>
      <c r="F2" s="45">
        <v>0.01</v>
      </c>
      <c r="G2" s="36">
        <f>_xlfn.XLOOKUP(D2,'Rates &amp; Costs (T-Intervals)'!$A$2:$A$32,'Rates &amp; Costs (T-Intervals)'!$D$2:$D$32)*(F2)</f>
        <v>0.01</v>
      </c>
      <c r="H2" s="13">
        <f>(E2*G2)</f>
        <v>492075</v>
      </c>
    </row>
    <row r="3" spans="1:8" ht="20" customHeight="1" x14ac:dyDescent="0.2">
      <c r="A3" s="7" t="s">
        <v>38</v>
      </c>
      <c r="B3" s="35">
        <v>5</v>
      </c>
      <c r="C3" s="34" t="str">
        <f>_xlfn.XLOOKUP(A3,'Aircraft Economics (FC)'!$A$2:$A$64,'Aircraft Economics (FC)'!$C$2:$C$64)</f>
        <v>In Production</v>
      </c>
      <c r="D3" s="34">
        <f t="shared" ref="D3:D31" si="0">IF(C3="In Production",B3,B3+(2023-C3))</f>
        <v>5</v>
      </c>
      <c r="E3" s="16">
        <f>_xlfn.XLOOKUP(A3,'Adjusted List Prices'!$A$2:$A$22,'Adjusted List Prices'!$G$2:$G$22)</f>
        <v>49207500</v>
      </c>
      <c r="F3" s="9">
        <v>0.01</v>
      </c>
      <c r="G3" s="37">
        <f>_xlfn.XLOOKUP(D3,'Rates &amp; Costs (T-Intervals)'!$A$2:$A$32,'Rates &amp; Costs (T-Intervals)'!$D$2:$D$32)*(F3)</f>
        <v>2.2492441970933749E-2</v>
      </c>
      <c r="H3" s="14">
        <f t="shared" ref="H3:H31" si="1">(E3*G3)</f>
        <v>1106796.8382847225</v>
      </c>
    </row>
    <row r="4" spans="1:8" ht="20" customHeight="1" x14ac:dyDescent="0.2">
      <c r="A4" s="7" t="s">
        <v>38</v>
      </c>
      <c r="B4" s="35">
        <v>10</v>
      </c>
      <c r="C4" s="34" t="str">
        <f>_xlfn.XLOOKUP(A4,'Aircraft Economics (FC)'!$A$2:$A$64,'Aircraft Economics (FC)'!$C$2:$C$64)</f>
        <v>In Production</v>
      </c>
      <c r="D4" s="34">
        <f t="shared" si="0"/>
        <v>10</v>
      </c>
      <c r="E4" s="16">
        <f>_xlfn.XLOOKUP(A4,'Adjusted List Prices'!$A$2:$A$22,'Adjusted List Prices'!$G$2:$G$22)</f>
        <v>49207500</v>
      </c>
      <c r="F4" s="9">
        <v>0.01</v>
      </c>
      <c r="G4" s="37">
        <f>_xlfn.XLOOKUP(D4,'Rates &amp; Costs (T-Intervals)'!$A$2:$A$32,'Rates &amp; Costs (T-Intervals)'!$D$2:$D$32)*(F4)</f>
        <v>3.0353259134198618E-2</v>
      </c>
      <c r="H4" s="14">
        <f t="shared" si="1"/>
        <v>1493607.9988460785</v>
      </c>
    </row>
    <row r="5" spans="1:8" ht="20" customHeight="1" x14ac:dyDescent="0.2">
      <c r="A5" s="7" t="s">
        <v>37</v>
      </c>
      <c r="B5" s="35">
        <v>0</v>
      </c>
      <c r="C5" s="34" t="str">
        <f>_xlfn.XLOOKUP(A5,'Aircraft Economics (FC)'!$A$2:$A$64,'Aircraft Economics (FC)'!$C$2:$C$64)</f>
        <v>In Production</v>
      </c>
      <c r="D5" s="34">
        <f t="shared" si="0"/>
        <v>0</v>
      </c>
      <c r="E5" s="16">
        <f>_xlfn.XLOOKUP(A5,'Adjusted List Prices'!$A$2:$A$22,'Adjusted List Prices'!$G$2:$G$22)</f>
        <v>55586250</v>
      </c>
      <c r="F5" s="9">
        <v>0.01</v>
      </c>
      <c r="G5" s="37">
        <f>_xlfn.XLOOKUP(D5,'Rates &amp; Costs (T-Intervals)'!$A$2:$A$32,'Rates &amp; Costs (T-Intervals)'!$D$2:$D$32)*(F5)</f>
        <v>0.01</v>
      </c>
      <c r="H5" s="14">
        <f t="shared" si="1"/>
        <v>555862.5</v>
      </c>
    </row>
    <row r="6" spans="1:8" ht="20" customHeight="1" x14ac:dyDescent="0.2">
      <c r="A6" s="7" t="s">
        <v>37</v>
      </c>
      <c r="B6" s="35">
        <v>5</v>
      </c>
      <c r="C6" s="34" t="str">
        <f>_xlfn.XLOOKUP(A6,'Aircraft Economics (FC)'!$A$2:$A$64,'Aircraft Economics (FC)'!$C$2:$C$64)</f>
        <v>In Production</v>
      </c>
      <c r="D6" s="34">
        <f t="shared" si="0"/>
        <v>5</v>
      </c>
      <c r="E6" s="16">
        <f>_xlfn.XLOOKUP(A6,'Adjusted List Prices'!$A$2:$A$22,'Adjusted List Prices'!$G$2:$G$22)</f>
        <v>55586250</v>
      </c>
      <c r="F6" s="9">
        <v>0.01</v>
      </c>
      <c r="G6" s="37">
        <f>_xlfn.XLOOKUP(D6,'Rates &amp; Costs (T-Intervals)'!$A$2:$A$32,'Rates &amp; Costs (T-Intervals)'!$D$2:$D$32)*(F6)</f>
        <v>2.2492441970933749E-2</v>
      </c>
      <c r="H6" s="14">
        <f t="shared" si="1"/>
        <v>1250270.5025068161</v>
      </c>
    </row>
    <row r="7" spans="1:8" ht="20" customHeight="1" x14ac:dyDescent="0.2">
      <c r="A7" s="7" t="s">
        <v>37</v>
      </c>
      <c r="B7" s="35">
        <v>10</v>
      </c>
      <c r="C7" s="34" t="str">
        <f>_xlfn.XLOOKUP(A7,'Aircraft Economics (FC)'!$A$2:$A$64,'Aircraft Economics (FC)'!$C$2:$C$64)</f>
        <v>In Production</v>
      </c>
      <c r="D7" s="34">
        <f t="shared" si="0"/>
        <v>10</v>
      </c>
      <c r="E7" s="16">
        <f>_xlfn.XLOOKUP(A7,'Adjusted List Prices'!$A$2:$A$22,'Adjusted List Prices'!$G$2:$G$22)</f>
        <v>55586250</v>
      </c>
      <c r="F7" s="9">
        <v>0.01</v>
      </c>
      <c r="G7" s="37">
        <f>_xlfn.XLOOKUP(D7,'Rates &amp; Costs (T-Intervals)'!$A$2:$A$32,'Rates &amp; Costs (T-Intervals)'!$D$2:$D$32)*(F7)</f>
        <v>3.0353259134198618E-2</v>
      </c>
      <c r="H7" s="14">
        <f t="shared" si="1"/>
        <v>1687223.8505483479</v>
      </c>
    </row>
    <row r="8" spans="1:8" ht="20" customHeight="1" x14ac:dyDescent="0.2">
      <c r="A8" s="7" t="s">
        <v>36</v>
      </c>
      <c r="B8" s="35">
        <v>0</v>
      </c>
      <c r="C8" s="34">
        <f>_xlfn.XLOOKUP(A8,'Aircraft Economics (FC)'!$A$2:$A$64,'Aircraft Economics (FC)'!$C$2:$C$64)</f>
        <v>2021</v>
      </c>
      <c r="D8" s="34">
        <f t="shared" si="0"/>
        <v>2</v>
      </c>
      <c r="E8" s="16">
        <f>_xlfn.XLOOKUP(A8,'Adjusted List Prices'!$A$2:$A$22,'Adjusted List Prices'!$G$2:$G$22)</f>
        <v>61357500</v>
      </c>
      <c r="F8" s="9">
        <v>0.01</v>
      </c>
      <c r="G8" s="37">
        <f>_xlfn.XLOOKUP(D8,'Rates &amp; Costs (T-Intervals)'!$A$2:$A$32,'Rates &amp; Costs (T-Intervals)'!$D$2:$D$32)*(F8)</f>
        <v>1.3829759999999998E-2</v>
      </c>
      <c r="H8" s="14">
        <f t="shared" si="1"/>
        <v>848559.49919999985</v>
      </c>
    </row>
    <row r="9" spans="1:8" ht="20" customHeight="1" x14ac:dyDescent="0.2">
      <c r="A9" s="7" t="s">
        <v>36</v>
      </c>
      <c r="B9" s="35">
        <v>5</v>
      </c>
      <c r="C9" s="34">
        <f>_xlfn.XLOOKUP(A9,'Aircraft Economics (FC)'!$A$2:$A$64,'Aircraft Economics (FC)'!$C$2:$C$64)</f>
        <v>2021</v>
      </c>
      <c r="D9" s="34">
        <f t="shared" si="0"/>
        <v>7</v>
      </c>
      <c r="E9" s="16">
        <f>_xlfn.XLOOKUP(A9,'Adjusted List Prices'!$A$2:$A$22,'Adjusted List Prices'!$G$2:$G$22)</f>
        <v>61357500</v>
      </c>
      <c r="F9" s="9">
        <v>0.01</v>
      </c>
      <c r="G9" s="37">
        <f>_xlfn.XLOOKUP(D9,'Rates &amp; Costs (T-Intervals)'!$A$2:$A$32,'Rates &amp; Costs (T-Intervals)'!$D$2:$D$32)*(F9)</f>
        <v>2.7376900669341717E-2</v>
      </c>
      <c r="H9" s="14">
        <f t="shared" si="1"/>
        <v>1679778.1828191343</v>
      </c>
    </row>
    <row r="10" spans="1:8" ht="20" customHeight="1" x14ac:dyDescent="0.2">
      <c r="A10" s="7" t="s">
        <v>36</v>
      </c>
      <c r="B10" s="35">
        <v>10</v>
      </c>
      <c r="C10" s="34">
        <f>_xlfn.XLOOKUP(A10,'Aircraft Economics (FC)'!$A$2:$A$64,'Aircraft Economics (FC)'!$C$2:$C$64)</f>
        <v>2021</v>
      </c>
      <c r="D10" s="34">
        <f t="shared" si="0"/>
        <v>12</v>
      </c>
      <c r="E10" s="16">
        <f>_xlfn.XLOOKUP(A10,'Adjusted List Prices'!$A$2:$A$22,'Adjusted List Prices'!$G$2:$G$22)</f>
        <v>61357500</v>
      </c>
      <c r="F10" s="9">
        <v>0.01</v>
      </c>
      <c r="G10" s="37">
        <f>_xlfn.XLOOKUP(D10,'Rates &amp; Costs (T-Intervals)'!$A$2:$A$32,'Rates &amp; Costs (T-Intervals)'!$D$2:$D$32)*(F10)</f>
        <v>3.2515170016031908E-2</v>
      </c>
      <c r="H10" s="14">
        <f t="shared" si="1"/>
        <v>1995049.5442586779</v>
      </c>
    </row>
    <row r="11" spans="1:8" ht="20" customHeight="1" x14ac:dyDescent="0.2">
      <c r="A11" s="7" t="s">
        <v>34</v>
      </c>
      <c r="B11" s="35">
        <v>0</v>
      </c>
      <c r="C11" s="34" t="str">
        <f>_xlfn.XLOOKUP(A11,'Aircraft Economics (FC)'!$A$2:$A$64,'Aircraft Economics (FC)'!$C$2:$C$64)</f>
        <v>In Production</v>
      </c>
      <c r="D11" s="34">
        <f t="shared" si="0"/>
        <v>0</v>
      </c>
      <c r="E11" s="16">
        <f>_xlfn.XLOOKUP(A11,'Adjusted List Prices'!$A$2:$A$22,'Adjusted List Prices'!$G$2:$G$22)</f>
        <v>67189500</v>
      </c>
      <c r="F11" s="9">
        <v>0.01</v>
      </c>
      <c r="G11" s="37">
        <f>_xlfn.XLOOKUP(D11,'Rates &amp; Costs (T-Intervals)'!$A$2:$A$32,'Rates &amp; Costs (T-Intervals)'!$D$2:$D$32)*(F11)</f>
        <v>0.01</v>
      </c>
      <c r="H11" s="14">
        <f t="shared" si="1"/>
        <v>671895</v>
      </c>
    </row>
    <row r="12" spans="1:8" ht="20" customHeight="1" x14ac:dyDescent="0.2">
      <c r="A12" s="7" t="s">
        <v>34</v>
      </c>
      <c r="B12" s="35">
        <v>5</v>
      </c>
      <c r="C12" s="34" t="str">
        <f>_xlfn.XLOOKUP(A12,'Aircraft Economics (FC)'!$A$2:$A$64,'Aircraft Economics (FC)'!$C$2:$C$64)</f>
        <v>In Production</v>
      </c>
      <c r="D12" s="34">
        <f t="shared" si="0"/>
        <v>5</v>
      </c>
      <c r="E12" s="16">
        <f>_xlfn.XLOOKUP(A12,'Adjusted List Prices'!$A$2:$A$22,'Adjusted List Prices'!$G$2:$G$22)</f>
        <v>67189500</v>
      </c>
      <c r="F12" s="9">
        <v>0.01</v>
      </c>
      <c r="G12" s="37">
        <f>_xlfn.XLOOKUP(D12,'Rates &amp; Costs (T-Intervals)'!$A$2:$A$32,'Rates &amp; Costs (T-Intervals)'!$D$2:$D$32)*(F12)</f>
        <v>2.2492441970933749E-2</v>
      </c>
      <c r="H12" s="14">
        <f t="shared" si="1"/>
        <v>1511255.9298060532</v>
      </c>
    </row>
    <row r="13" spans="1:8" ht="20" customHeight="1" x14ac:dyDescent="0.2">
      <c r="A13" s="7" t="s">
        <v>34</v>
      </c>
      <c r="B13" s="35">
        <v>10</v>
      </c>
      <c r="C13" s="34" t="str">
        <f>_xlfn.XLOOKUP(A13,'Aircraft Economics (FC)'!$A$2:$A$64,'Aircraft Economics (FC)'!$C$2:$C$64)</f>
        <v>In Production</v>
      </c>
      <c r="D13" s="34">
        <f t="shared" si="0"/>
        <v>10</v>
      </c>
      <c r="E13" s="16">
        <f>_xlfn.XLOOKUP(A13,'Adjusted List Prices'!$A$2:$A$22,'Adjusted List Prices'!$G$2:$G$22)</f>
        <v>67189500</v>
      </c>
      <c r="F13" s="9">
        <v>0.01</v>
      </c>
      <c r="G13" s="37">
        <f>_xlfn.XLOOKUP(D13,'Rates &amp; Costs (T-Intervals)'!$A$2:$A$32,'Rates &amp; Costs (T-Intervals)'!$D$2:$D$32)*(F13)</f>
        <v>3.0353259134198618E-2</v>
      </c>
      <c r="H13" s="14">
        <f>(E13*G13)</f>
        <v>2039420.3045972381</v>
      </c>
    </row>
    <row r="14" spans="1:8" ht="20" customHeight="1" x14ac:dyDescent="0.2">
      <c r="A14" s="7" t="s">
        <v>35</v>
      </c>
      <c r="B14" s="35">
        <v>0</v>
      </c>
      <c r="C14" s="34">
        <f>_xlfn.XLOOKUP(A14,'Aircraft Economics (FC)'!$A$2:$A$64,'Aircraft Economics (FC)'!$C$2:$C$64)</f>
        <v>2021</v>
      </c>
      <c r="D14" s="34">
        <f t="shared" si="0"/>
        <v>2</v>
      </c>
      <c r="E14" s="16">
        <f>_xlfn.XLOOKUP(A14,'Adjusted List Prices'!$A$2:$A$22,'Adjusted List Prices'!$G$2:$G$22)</f>
        <v>71867250</v>
      </c>
      <c r="F14" s="9">
        <v>0.01</v>
      </c>
      <c r="G14" s="37">
        <f>_xlfn.XLOOKUP(D14,'Rates &amp; Costs (T-Intervals)'!$A$2:$A$32,'Rates &amp; Costs (T-Intervals)'!$D$2:$D$32)*(F14)</f>
        <v>1.3829759999999998E-2</v>
      </c>
      <c r="H14" s="14">
        <f t="shared" si="1"/>
        <v>993906.81935999985</v>
      </c>
    </row>
    <row r="15" spans="1:8" ht="20" customHeight="1" x14ac:dyDescent="0.2">
      <c r="A15" s="7" t="s">
        <v>35</v>
      </c>
      <c r="B15" s="35">
        <v>5</v>
      </c>
      <c r="C15" s="34">
        <f>_xlfn.XLOOKUP(A15,'Aircraft Economics (FC)'!$A$2:$A$64,'Aircraft Economics (FC)'!$C$2:$C$64)</f>
        <v>2021</v>
      </c>
      <c r="D15" s="34">
        <f t="shared" si="0"/>
        <v>7</v>
      </c>
      <c r="E15" s="16">
        <f>_xlfn.XLOOKUP(A15,'Adjusted List Prices'!$A$2:$A$22,'Adjusted List Prices'!$G$2:$G$22)</f>
        <v>71867250</v>
      </c>
      <c r="F15" s="9">
        <v>0.01</v>
      </c>
      <c r="G15" s="37">
        <f>_xlfn.XLOOKUP(D15,'Rates &amp; Costs (T-Intervals)'!$A$2:$A$32,'Rates &amp; Costs (T-Intervals)'!$D$2:$D$32)*(F15)</f>
        <v>2.7376900669341717E-2</v>
      </c>
      <c r="H15" s="14">
        <f t="shared" si="1"/>
        <v>1967502.5646287485</v>
      </c>
    </row>
    <row r="16" spans="1:8" ht="20" customHeight="1" x14ac:dyDescent="0.2">
      <c r="A16" s="7" t="s">
        <v>35</v>
      </c>
      <c r="B16" s="35">
        <v>10</v>
      </c>
      <c r="C16" s="34">
        <f>_xlfn.XLOOKUP(A16,'Aircraft Economics (FC)'!$A$2:$A$64,'Aircraft Economics (FC)'!$C$2:$C$64)</f>
        <v>2021</v>
      </c>
      <c r="D16" s="34">
        <f t="shared" si="0"/>
        <v>12</v>
      </c>
      <c r="E16" s="16">
        <f>_xlfn.XLOOKUP(A16,'Adjusted List Prices'!$A$2:$A$22,'Adjusted List Prices'!$G$2:$G$22)</f>
        <v>71867250</v>
      </c>
      <c r="F16" s="9">
        <v>0.01</v>
      </c>
      <c r="G16" s="37">
        <f>_xlfn.XLOOKUP(D16,'Rates &amp; Costs (T-Intervals)'!$A$2:$A$32,'Rates &amp; Costs (T-Intervals)'!$D$2:$D$32)*(F16)</f>
        <v>3.2515170016031908E-2</v>
      </c>
      <c r="H16" s="14">
        <f t="shared" si="1"/>
        <v>2336775.8523346693</v>
      </c>
    </row>
    <row r="17" spans="1:8" ht="20" customHeight="1" x14ac:dyDescent="0.2">
      <c r="A17" s="7" t="s">
        <v>33</v>
      </c>
      <c r="B17" s="35">
        <v>0</v>
      </c>
      <c r="C17" s="34" t="str">
        <f>_xlfn.XLOOKUP(A17,'Aircraft Economics (FC)'!$A$2:$A$64,'Aircraft Economics (FC)'!$C$2:$C$64)</f>
        <v>In Production</v>
      </c>
      <c r="D17" s="34">
        <f t="shared" si="0"/>
        <v>0</v>
      </c>
      <c r="E17" s="16">
        <f>_xlfn.XLOOKUP(A17,'Adjusted List Prices'!$A$2:$A$22,'Adjusted List Prices'!$G$2:$G$22)</f>
        <v>78671250</v>
      </c>
      <c r="F17" s="9">
        <v>0.01</v>
      </c>
      <c r="G17" s="37">
        <f>_xlfn.XLOOKUP(D17,'Rates &amp; Costs (T-Intervals)'!$A$2:$A$32,'Rates &amp; Costs (T-Intervals)'!$D$2:$D$32)*(F17)</f>
        <v>0.01</v>
      </c>
      <c r="H17" s="14">
        <f t="shared" si="1"/>
        <v>786712.5</v>
      </c>
    </row>
    <row r="18" spans="1:8" ht="20" customHeight="1" x14ac:dyDescent="0.2">
      <c r="A18" s="7" t="s">
        <v>33</v>
      </c>
      <c r="B18" s="35">
        <v>5</v>
      </c>
      <c r="C18" s="34" t="str">
        <f>_xlfn.XLOOKUP(A18,'Aircraft Economics (FC)'!$A$2:$A$64,'Aircraft Economics (FC)'!$C$2:$C$64)</f>
        <v>In Production</v>
      </c>
      <c r="D18" s="34">
        <f t="shared" si="0"/>
        <v>5</v>
      </c>
      <c r="E18" s="16">
        <f>_xlfn.XLOOKUP(A18,'Adjusted List Prices'!$A$2:$A$22,'Adjusted List Prices'!$G$2:$G$22)</f>
        <v>78671250</v>
      </c>
      <c r="F18" s="9">
        <v>0.01</v>
      </c>
      <c r="G18" s="37">
        <f>_xlfn.XLOOKUP(D18,'Rates &amp; Costs (T-Intervals)'!$A$2:$A$32,'Rates &amp; Costs (T-Intervals)'!$D$2:$D$32)*(F18)</f>
        <v>2.2492441970933749E-2</v>
      </c>
      <c r="H18" s="14">
        <f t="shared" si="1"/>
        <v>1769508.5254058216</v>
      </c>
    </row>
    <row r="19" spans="1:8" ht="20" customHeight="1" x14ac:dyDescent="0.2">
      <c r="A19" s="7" t="s">
        <v>33</v>
      </c>
      <c r="B19" s="35">
        <v>10</v>
      </c>
      <c r="C19" s="34" t="str">
        <f>_xlfn.XLOOKUP(A19,'Aircraft Economics (FC)'!$A$2:$A$64,'Aircraft Economics (FC)'!$C$2:$C$64)</f>
        <v>In Production</v>
      </c>
      <c r="D19" s="34">
        <f t="shared" si="0"/>
        <v>10</v>
      </c>
      <c r="E19" s="16">
        <f>_xlfn.XLOOKUP(A19,'Adjusted List Prices'!$A$2:$A$22,'Adjusted List Prices'!$G$2:$G$22)</f>
        <v>78671250</v>
      </c>
      <c r="F19" s="9">
        <v>0.01</v>
      </c>
      <c r="G19" s="37">
        <f>_xlfn.XLOOKUP(D19,'Rates &amp; Costs (T-Intervals)'!$A$2:$A$32,'Rates &amp; Costs (T-Intervals)'!$D$2:$D$32)*(F19)</f>
        <v>3.0353259134198618E-2</v>
      </c>
      <c r="H19" s="14">
        <f t="shared" si="1"/>
        <v>2387928.8376613231</v>
      </c>
    </row>
    <row r="20" spans="1:8" ht="20" customHeight="1" x14ac:dyDescent="0.2">
      <c r="A20" s="7" t="s">
        <v>29</v>
      </c>
      <c r="B20" s="35">
        <v>0</v>
      </c>
      <c r="C20" s="34" t="str">
        <f>_xlfn.XLOOKUP(A20,'Aircraft Economics (FC)'!$A$2:$A$64,'Aircraft Economics (FC)'!$C$2:$C$64)</f>
        <v>In Production</v>
      </c>
      <c r="D20" s="34">
        <f t="shared" si="0"/>
        <v>0</v>
      </c>
      <c r="E20" s="16">
        <f>_xlfn.XLOOKUP(A20,'Adjusted List Prices'!$A$2:$A$22,'Adjusted List Prices'!$G$2:$G$22)</f>
        <v>160501500</v>
      </c>
      <c r="F20" s="9">
        <v>0.01</v>
      </c>
      <c r="G20" s="37">
        <f>_xlfn.XLOOKUP(D20,'Rates &amp; Costs (T-Intervals)'!$A$2:$A$32,'Rates &amp; Costs (T-Intervals)'!$D$2:$D$32)*(F20)</f>
        <v>0.01</v>
      </c>
      <c r="H20" s="14">
        <f t="shared" si="1"/>
        <v>1605015</v>
      </c>
    </row>
    <row r="21" spans="1:8" ht="20" customHeight="1" x14ac:dyDescent="0.2">
      <c r="A21" s="7" t="s">
        <v>29</v>
      </c>
      <c r="B21" s="35">
        <v>5</v>
      </c>
      <c r="C21" s="34" t="str">
        <f>_xlfn.XLOOKUP(A21,'Aircraft Economics (FC)'!$A$2:$A$64,'Aircraft Economics (FC)'!$C$2:$C$64)</f>
        <v>In Production</v>
      </c>
      <c r="D21" s="34">
        <f t="shared" si="0"/>
        <v>5</v>
      </c>
      <c r="E21" s="16">
        <f>_xlfn.XLOOKUP(A21,'Adjusted List Prices'!$A$2:$A$22,'Adjusted List Prices'!$G$2:$G$22)</f>
        <v>160501500</v>
      </c>
      <c r="F21" s="9">
        <v>0.01</v>
      </c>
      <c r="G21" s="37">
        <f>_xlfn.XLOOKUP(D21,'Rates &amp; Costs (T-Intervals)'!$A$2:$A$32,'Rates &amp; Costs (T-Intervals)'!$D$2:$D$32)*(F21)</f>
        <v>2.2492441970933749E-2</v>
      </c>
      <c r="H21" s="14">
        <f t="shared" si="1"/>
        <v>3610070.6749978228</v>
      </c>
    </row>
    <row r="22" spans="1:8" ht="20" customHeight="1" x14ac:dyDescent="0.2">
      <c r="A22" s="7" t="s">
        <v>29</v>
      </c>
      <c r="B22" s="35">
        <v>10</v>
      </c>
      <c r="C22" s="34" t="str">
        <f>_xlfn.XLOOKUP(A22,'Aircraft Economics (FC)'!$A$2:$A$64,'Aircraft Economics (FC)'!$C$2:$C$64)</f>
        <v>In Production</v>
      </c>
      <c r="D22" s="34">
        <f t="shared" si="0"/>
        <v>10</v>
      </c>
      <c r="E22" s="16">
        <f>_xlfn.XLOOKUP(A22,'Adjusted List Prices'!$A$2:$A$22,'Adjusted List Prices'!$G$2:$G$22)</f>
        <v>160501500</v>
      </c>
      <c r="F22" s="9">
        <v>0.01</v>
      </c>
      <c r="G22" s="37">
        <f>_xlfn.XLOOKUP(D22,'Rates &amp; Costs (T-Intervals)'!$A$2:$A$32,'Rates &amp; Costs (T-Intervals)'!$D$2:$D$32)*(F22)</f>
        <v>3.0353259134198618E-2</v>
      </c>
      <c r="H22" s="14">
        <f t="shared" si="1"/>
        <v>4871743.6209275797</v>
      </c>
    </row>
    <row r="23" spans="1:8" ht="20" customHeight="1" x14ac:dyDescent="0.2">
      <c r="A23" s="7" t="s">
        <v>32</v>
      </c>
      <c r="B23" s="35">
        <v>0</v>
      </c>
      <c r="C23" s="34" t="str">
        <f>_xlfn.XLOOKUP(A23,'Aircraft Economics (FC)'!$A$2:$A$64,'Aircraft Economics (FC)'!$C$2:$C$64)</f>
        <v>In Production</v>
      </c>
      <c r="D23" s="34">
        <f t="shared" si="0"/>
        <v>0</v>
      </c>
      <c r="E23" s="16">
        <f>_xlfn.XLOOKUP(A23,'Adjusted List Prices'!$A$2:$A$22,'Adjusted List Prices'!$G$2:$G$22)</f>
        <v>180063000</v>
      </c>
      <c r="F23" s="9">
        <v>0.01</v>
      </c>
      <c r="G23" s="37">
        <f>_xlfn.XLOOKUP(D23,'Rates &amp; Costs (T-Intervals)'!$A$2:$A$32,'Rates &amp; Costs (T-Intervals)'!$D$2:$D$32)*(F23)</f>
        <v>0.01</v>
      </c>
      <c r="H23" s="14">
        <f t="shared" si="1"/>
        <v>1800630</v>
      </c>
    </row>
    <row r="24" spans="1:8" ht="20" customHeight="1" x14ac:dyDescent="0.2">
      <c r="A24" s="7" t="s">
        <v>32</v>
      </c>
      <c r="B24" s="35">
        <v>5</v>
      </c>
      <c r="C24" s="34" t="str">
        <f>_xlfn.XLOOKUP(A24,'Aircraft Economics (FC)'!$A$2:$A$64,'Aircraft Economics (FC)'!$C$2:$C$64)</f>
        <v>In Production</v>
      </c>
      <c r="D24" s="34">
        <f t="shared" si="0"/>
        <v>5</v>
      </c>
      <c r="E24" s="16">
        <f>_xlfn.XLOOKUP(A24,'Adjusted List Prices'!$A$2:$A$22,'Adjusted List Prices'!$G$2:$G$22)</f>
        <v>180063000</v>
      </c>
      <c r="F24" s="9">
        <v>0.01</v>
      </c>
      <c r="G24" s="37">
        <f>_xlfn.XLOOKUP(D24,'Rates &amp; Costs (T-Intervals)'!$A$2:$A$32,'Rates &amp; Costs (T-Intervals)'!$D$2:$D$32)*(F24)</f>
        <v>2.2492441970933749E-2</v>
      </c>
      <c r="H24" s="14">
        <f t="shared" si="1"/>
        <v>4050056.5786122438</v>
      </c>
    </row>
    <row r="25" spans="1:8" ht="20" customHeight="1" x14ac:dyDescent="0.2">
      <c r="A25" s="7" t="s">
        <v>32</v>
      </c>
      <c r="B25" s="35">
        <v>10</v>
      </c>
      <c r="C25" s="34" t="str">
        <f>_xlfn.XLOOKUP(A25,'Aircraft Economics (FC)'!$A$2:$A$64,'Aircraft Economics (FC)'!$C$2:$C$64)</f>
        <v>In Production</v>
      </c>
      <c r="D25" s="34">
        <f t="shared" si="0"/>
        <v>10</v>
      </c>
      <c r="E25" s="16">
        <f>_xlfn.XLOOKUP(A25,'Adjusted List Prices'!$A$2:$A$22,'Adjusted List Prices'!$G$2:$G$22)</f>
        <v>180063000</v>
      </c>
      <c r="F25" s="9">
        <v>0.01</v>
      </c>
      <c r="G25" s="37">
        <f>_xlfn.XLOOKUP(D25,'Rates &amp; Costs (T-Intervals)'!$A$2:$A$32,'Rates &amp; Costs (T-Intervals)'!$D$2:$D$32)*(F25)</f>
        <v>3.0353259134198618E-2</v>
      </c>
      <c r="H25" s="14">
        <f t="shared" si="1"/>
        <v>5465498.8994812062</v>
      </c>
    </row>
    <row r="26" spans="1:8" ht="20" customHeight="1" x14ac:dyDescent="0.2">
      <c r="A26" s="7" t="s">
        <v>31</v>
      </c>
      <c r="B26" s="35">
        <v>0</v>
      </c>
      <c r="C26" s="34">
        <f>_xlfn.XLOOKUP(A26,'Aircraft Economics (FC)'!$A$2:$A$64,'Aircraft Economics (FC)'!$C$2:$C$64)</f>
        <v>2011</v>
      </c>
      <c r="D26" s="34">
        <f t="shared" si="0"/>
        <v>12</v>
      </c>
      <c r="E26" s="16">
        <f>_xlfn.XLOOKUP(A26,'Adjusted List Prices'!$A$2:$A$22,'Adjusted List Prices'!$G$2:$G$22)</f>
        <v>161364000</v>
      </c>
      <c r="F26" s="9">
        <v>0.01</v>
      </c>
      <c r="G26" s="37">
        <f>_xlfn.XLOOKUP(D26,'Rates &amp; Costs (T-Intervals)'!$A$2:$A$32,'Rates &amp; Costs (T-Intervals)'!$D$2:$D$32)*(F26)</f>
        <v>3.2515170016031908E-2</v>
      </c>
      <c r="H26" s="14">
        <f t="shared" si="1"/>
        <v>5246777.8944669729</v>
      </c>
    </row>
    <row r="27" spans="1:8" ht="20" customHeight="1" x14ac:dyDescent="0.2">
      <c r="A27" s="7" t="s">
        <v>31</v>
      </c>
      <c r="B27" s="35">
        <v>5</v>
      </c>
      <c r="C27" s="34">
        <f>_xlfn.XLOOKUP(A27,'Aircraft Economics (FC)'!$A$2:$A$64,'Aircraft Economics (FC)'!$C$2:$C$64)</f>
        <v>2011</v>
      </c>
      <c r="D27" s="34">
        <f t="shared" si="0"/>
        <v>17</v>
      </c>
      <c r="E27" s="16">
        <f>_xlfn.XLOOKUP(A27,'Adjusted List Prices'!$A$2:$A$22,'Adjusted List Prices'!$G$2:$G$22)</f>
        <v>161364000</v>
      </c>
      <c r="F27" s="9">
        <v>0.01</v>
      </c>
      <c r="G27" s="37">
        <f>_xlfn.XLOOKUP(D27,'Rates &amp; Costs (T-Intervals)'!$A$2:$A$32,'Rates &amp; Costs (T-Intervals)'!$D$2:$D$32)*(F27)</f>
        <v>3.3669245317825114E-2</v>
      </c>
      <c r="H27" s="14">
        <f t="shared" si="1"/>
        <v>5433004.1014655316</v>
      </c>
    </row>
    <row r="28" spans="1:8" ht="20" customHeight="1" x14ac:dyDescent="0.2">
      <c r="A28" s="7" t="s">
        <v>31</v>
      </c>
      <c r="B28" s="35">
        <v>10</v>
      </c>
      <c r="C28" s="34">
        <f>_xlfn.XLOOKUP(A28,'Aircraft Economics (FC)'!$A$2:$A$64,'Aircraft Economics (FC)'!$C$2:$C$64)</f>
        <v>2011</v>
      </c>
      <c r="D28" s="34">
        <f t="shared" si="0"/>
        <v>22</v>
      </c>
      <c r="E28" s="16">
        <f>_xlfn.XLOOKUP(A28,'Adjusted List Prices'!$A$2:$A$22,'Adjusted List Prices'!$G$2:$G$22)</f>
        <v>161364000</v>
      </c>
      <c r="F28" s="9">
        <v>0.01</v>
      </c>
      <c r="G28" s="37">
        <f>_xlfn.XLOOKUP(D28,'Rates &amp; Costs (T-Intervals)'!$A$2:$A$32,'Rates &amp; Costs (T-Intervals)'!$D$2:$D$32)*(F28)</f>
        <v>3.4864282724431317E-2</v>
      </c>
      <c r="H28" s="14">
        <f t="shared" si="1"/>
        <v>5625840.1175451353</v>
      </c>
    </row>
    <row r="29" spans="1:8" ht="20" customHeight="1" x14ac:dyDescent="0.2">
      <c r="A29" s="7" t="s">
        <v>30</v>
      </c>
      <c r="B29" s="35">
        <v>0</v>
      </c>
      <c r="C29" s="34">
        <f>_xlfn.XLOOKUP(A29,'Aircraft Economics (FC)'!$A$2:$A$64,'Aircraft Economics (FC)'!$C$2:$C$64)</f>
        <v>2011</v>
      </c>
      <c r="D29" s="34">
        <f t="shared" si="0"/>
        <v>12</v>
      </c>
      <c r="E29" s="16">
        <f>_xlfn.XLOOKUP(A29,'Adjusted List Prices'!$A$2:$A$22,'Adjusted List Prices'!$G$2:$G$22)</f>
        <v>186721200</v>
      </c>
      <c r="F29" s="9">
        <v>0.01</v>
      </c>
      <c r="G29" s="37">
        <f>_xlfn.XLOOKUP(D29,'Rates &amp; Costs (T-Intervals)'!$A$2:$A$32,'Rates &amp; Costs (T-Intervals)'!$D$2:$D$32)*(F29)</f>
        <v>3.2515170016031908E-2</v>
      </c>
      <c r="H29" s="14">
        <f t="shared" si="1"/>
        <v>6071271.5635974975</v>
      </c>
    </row>
    <row r="30" spans="1:8" ht="20" customHeight="1" x14ac:dyDescent="0.2">
      <c r="A30" s="7" t="s">
        <v>30</v>
      </c>
      <c r="B30" s="35">
        <v>5</v>
      </c>
      <c r="C30" s="34">
        <f>_xlfn.XLOOKUP(A30,'Aircraft Economics (FC)'!$A$2:$A$64,'Aircraft Economics (FC)'!$C$2:$C$64)</f>
        <v>2011</v>
      </c>
      <c r="D30" s="34">
        <f t="shared" si="0"/>
        <v>17</v>
      </c>
      <c r="E30" s="16">
        <f>_xlfn.XLOOKUP(A30,'Adjusted List Prices'!$A$2:$A$22,'Adjusted List Prices'!$G$2:$G$22)</f>
        <v>186721200</v>
      </c>
      <c r="F30" s="9">
        <v>0.01</v>
      </c>
      <c r="G30" s="37">
        <f>_xlfn.XLOOKUP(D30,'Rates &amp; Costs (T-Intervals)'!$A$2:$A$32,'Rates &amp; Costs (T-Intervals)'!$D$2:$D$32)*(F30)</f>
        <v>3.3669245317825114E-2</v>
      </c>
      <c r="H30" s="14">
        <f t="shared" si="1"/>
        <v>6286761.888838687</v>
      </c>
    </row>
    <row r="31" spans="1:8" ht="20" customHeight="1" x14ac:dyDescent="0.2">
      <c r="A31" s="7" t="s">
        <v>30</v>
      </c>
      <c r="B31" s="35">
        <v>10</v>
      </c>
      <c r="C31" s="34">
        <f>_xlfn.XLOOKUP(A31,'Aircraft Economics (FC)'!$A$2:$A$64,'Aircraft Economics (FC)'!$C$2:$C$64)</f>
        <v>2011</v>
      </c>
      <c r="D31" s="34">
        <f t="shared" si="0"/>
        <v>22</v>
      </c>
      <c r="E31" s="16">
        <f>_xlfn.XLOOKUP(A31,'Adjusted List Prices'!$A$2:$A$22,'Adjusted List Prices'!$G$2:$G$22)</f>
        <v>186721200</v>
      </c>
      <c r="F31" s="9">
        <v>0.01</v>
      </c>
      <c r="G31" s="37">
        <f>_xlfn.XLOOKUP(D31,'Rates &amp; Costs (T-Intervals)'!$A$2:$A$32,'Rates &amp; Costs (T-Intervals)'!$D$2:$D$32)*(F31)</f>
        <v>3.4864282724431317E-2</v>
      </c>
      <c r="H31" s="14">
        <f t="shared" si="1"/>
        <v>6509900.707445085</v>
      </c>
    </row>
    <row r="32" spans="1:8" ht="20" customHeight="1" x14ac:dyDescent="0.2">
      <c r="A32" s="7" t="s">
        <v>28</v>
      </c>
      <c r="B32" s="35">
        <v>0</v>
      </c>
      <c r="C32" s="34" t="str">
        <f>_xlfn.XLOOKUP(A32,'Aircraft Economics (FC)'!$A$2:$A$64,'Aircraft Economics (FC)'!$C$2:$C$64)</f>
        <v>In Production</v>
      </c>
      <c r="D32" s="34">
        <f>IF(C32="In Production",B32,B32+(2023-C32))</f>
        <v>0</v>
      </c>
      <c r="E32" s="16">
        <f>_xlfn.XLOOKUP(A32,'Adjusted List Prices'!$A$2:$A$22,'Adjusted List Prices'!$G$2:$G$22)</f>
        <v>192820500</v>
      </c>
      <c r="F32" s="9">
        <v>0.01</v>
      </c>
      <c r="G32" s="37">
        <f>_xlfn.XLOOKUP(D32,'Rates &amp; Costs (T-Intervals)'!$A$2:$A$32,'Rates &amp; Costs (T-Intervals)'!$D$2:$D$32)*(F32)</f>
        <v>0.01</v>
      </c>
      <c r="H32" s="14">
        <f>(E32*G32)</f>
        <v>1928205</v>
      </c>
    </row>
    <row r="33" spans="1:8" ht="20" customHeight="1" x14ac:dyDescent="0.2">
      <c r="A33" s="7" t="s">
        <v>28</v>
      </c>
      <c r="B33" s="35">
        <v>5</v>
      </c>
      <c r="C33" s="34" t="str">
        <f>_xlfn.XLOOKUP(A33,'Aircraft Economics (FC)'!$A$2:$A$64,'Aircraft Economics (FC)'!$C$2:$C$64)</f>
        <v>In Production</v>
      </c>
      <c r="D33" s="34">
        <f t="shared" ref="D33:D61" si="2">IF(C33="In Production",B33,B33+(2023-C33))</f>
        <v>5</v>
      </c>
      <c r="E33" s="16">
        <f>_xlfn.XLOOKUP(A33,'Adjusted List Prices'!$A$2:$A$22,'Adjusted List Prices'!$G$2:$G$22)</f>
        <v>192820500</v>
      </c>
      <c r="F33" s="9">
        <v>0.01</v>
      </c>
      <c r="G33" s="37">
        <f>_xlfn.XLOOKUP(D33,'Rates &amp; Costs (T-Intervals)'!$A$2:$A$32,'Rates &amp; Costs (T-Intervals)'!$D$2:$D$32)*(F33)</f>
        <v>2.2492441970933749E-2</v>
      </c>
      <c r="H33" s="14">
        <f t="shared" ref="H33:H42" si="3">(E33*G33)</f>
        <v>4337003.9070564313</v>
      </c>
    </row>
    <row r="34" spans="1:8" ht="20" customHeight="1" x14ac:dyDescent="0.2">
      <c r="A34" s="7" t="s">
        <v>28</v>
      </c>
      <c r="B34" s="35">
        <v>10</v>
      </c>
      <c r="C34" s="34" t="str">
        <f>_xlfn.XLOOKUP(A34,'Aircraft Economics (FC)'!$A$2:$A$64,'Aircraft Economics (FC)'!$C$2:$C$64)</f>
        <v>In Production</v>
      </c>
      <c r="D34" s="34">
        <f t="shared" si="2"/>
        <v>10</v>
      </c>
      <c r="E34" s="16">
        <f>_xlfn.XLOOKUP(A34,'Adjusted List Prices'!$A$2:$A$22,'Adjusted List Prices'!$G$2:$G$22)</f>
        <v>192820500</v>
      </c>
      <c r="F34" s="9">
        <v>0.01</v>
      </c>
      <c r="G34" s="37">
        <f>_xlfn.XLOOKUP(D34,'Rates &amp; Costs (T-Intervals)'!$A$2:$A$32,'Rates &amp; Costs (T-Intervals)'!$D$2:$D$32)*(F34)</f>
        <v>3.0353259134198618E-2</v>
      </c>
      <c r="H34" s="14">
        <f t="shared" si="3"/>
        <v>5852730.6028857445</v>
      </c>
    </row>
    <row r="35" spans="1:8" ht="20" customHeight="1" x14ac:dyDescent="0.2">
      <c r="A35" s="7" t="s">
        <v>27</v>
      </c>
      <c r="B35" s="35">
        <v>0</v>
      </c>
      <c r="C35" s="34">
        <f>_xlfn.XLOOKUP(A35,'Aircraft Economics (FC)'!$A$2:$A$64,'Aircraft Economics (FC)'!$C$2:$C$64)</f>
        <v>2021</v>
      </c>
      <c r="D35" s="34">
        <f t="shared" si="2"/>
        <v>2</v>
      </c>
      <c r="E35" s="16">
        <f>_xlfn.XLOOKUP(A35,'Adjusted List Prices'!$A$2:$A$22,'Adjusted List Prices'!$G$2:$G$22)</f>
        <v>270702000</v>
      </c>
      <c r="F35" s="9">
        <v>0.01</v>
      </c>
      <c r="G35" s="37">
        <f>_xlfn.XLOOKUP(D35,'Rates &amp; Costs (T-Intervals)'!$A$2:$A$32,'Rates &amp; Costs (T-Intervals)'!$D$2:$D$32)*(F35)</f>
        <v>1.3829759999999998E-2</v>
      </c>
      <c r="H35" s="14">
        <f t="shared" si="3"/>
        <v>3743743.6915199994</v>
      </c>
    </row>
    <row r="36" spans="1:8" ht="20" customHeight="1" x14ac:dyDescent="0.2">
      <c r="A36" s="7" t="s">
        <v>27</v>
      </c>
      <c r="B36" s="35">
        <v>5</v>
      </c>
      <c r="C36" s="34">
        <f>_xlfn.XLOOKUP(A36,'Aircraft Economics (FC)'!$A$2:$A$64,'Aircraft Economics (FC)'!$C$2:$C$64)</f>
        <v>2021</v>
      </c>
      <c r="D36" s="34">
        <f t="shared" si="2"/>
        <v>7</v>
      </c>
      <c r="E36" s="16">
        <f>_xlfn.XLOOKUP(A36,'Adjusted List Prices'!$A$2:$A$22,'Adjusted List Prices'!$G$2:$G$22)</f>
        <v>270702000</v>
      </c>
      <c r="F36" s="9">
        <v>0.01</v>
      </c>
      <c r="G36" s="37">
        <f>_xlfn.XLOOKUP(D36,'Rates &amp; Costs (T-Intervals)'!$A$2:$A$32,'Rates &amp; Costs (T-Intervals)'!$D$2:$D$32)*(F36)</f>
        <v>2.7376900669341717E-2</v>
      </c>
      <c r="H36" s="14">
        <f t="shared" si="3"/>
        <v>7410981.7649921412</v>
      </c>
    </row>
    <row r="37" spans="1:8" ht="20" customHeight="1" x14ac:dyDescent="0.2">
      <c r="A37" s="7" t="s">
        <v>27</v>
      </c>
      <c r="B37" s="35">
        <v>10</v>
      </c>
      <c r="C37" s="34">
        <f>_xlfn.XLOOKUP(A37,'Aircraft Economics (FC)'!$A$2:$A$64,'Aircraft Economics (FC)'!$C$2:$C$64)</f>
        <v>2021</v>
      </c>
      <c r="D37" s="34">
        <f t="shared" si="2"/>
        <v>12</v>
      </c>
      <c r="E37" s="16">
        <f>_xlfn.XLOOKUP(A37,'Adjusted List Prices'!$A$2:$A$22,'Adjusted List Prices'!$G$2:$G$22)</f>
        <v>270702000</v>
      </c>
      <c r="F37" s="9">
        <v>0.01</v>
      </c>
      <c r="G37" s="37">
        <f>_xlfn.XLOOKUP(D37,'Rates &amp; Costs (T-Intervals)'!$A$2:$A$32,'Rates &amp; Costs (T-Intervals)'!$D$2:$D$32)*(F37)</f>
        <v>3.2515170016031908E-2</v>
      </c>
      <c r="H37" s="14">
        <f t="shared" si="3"/>
        <v>8801921.5536798704</v>
      </c>
    </row>
    <row r="38" spans="1:8" ht="20" customHeight="1" x14ac:dyDescent="0.2">
      <c r="A38" s="7" t="s">
        <v>45</v>
      </c>
      <c r="B38" s="35">
        <v>0</v>
      </c>
      <c r="C38" s="34" t="str">
        <f>_xlfn.XLOOKUP(A38,'Aircraft Economics (FC)'!$A$2:$A$64,'Aircraft Economics (FC)'!$C$2:$C$64)</f>
        <v>In Production</v>
      </c>
      <c r="D38" s="34">
        <f t="shared" si="2"/>
        <v>0</v>
      </c>
      <c r="E38" s="16">
        <f>_xlfn.XLOOKUP(A38,'Adjusted List Prices'!$A$2:$A$22,'Adjusted List Prices'!$G$2:$G$22)</f>
        <v>63414400</v>
      </c>
      <c r="F38" s="9">
        <v>0.01</v>
      </c>
      <c r="G38" s="37">
        <f>_xlfn.XLOOKUP(D38,'Rates &amp; Costs (T-Intervals)'!$A$2:$A$32,'Rates &amp; Costs (T-Intervals)'!$D$2:$D$32)*(F38)</f>
        <v>0.01</v>
      </c>
      <c r="H38" s="14">
        <f t="shared" si="3"/>
        <v>634144</v>
      </c>
    </row>
    <row r="39" spans="1:8" ht="20" customHeight="1" x14ac:dyDescent="0.2">
      <c r="A39" s="7" t="s">
        <v>45</v>
      </c>
      <c r="B39" s="35">
        <v>5</v>
      </c>
      <c r="C39" s="34" t="str">
        <f>_xlfn.XLOOKUP(A39,'Aircraft Economics (FC)'!$A$2:$A$64,'Aircraft Economics (FC)'!$C$2:$C$64)</f>
        <v>In Production</v>
      </c>
      <c r="D39" s="34">
        <f t="shared" si="2"/>
        <v>5</v>
      </c>
      <c r="E39" s="16">
        <f>_xlfn.XLOOKUP(A39,'Adjusted List Prices'!$A$2:$A$22,'Adjusted List Prices'!$G$2:$G$22)</f>
        <v>63414400</v>
      </c>
      <c r="F39" s="9">
        <v>0.01</v>
      </c>
      <c r="G39" s="37">
        <f>_xlfn.XLOOKUP(D39,'Rates &amp; Costs (T-Intervals)'!$A$2:$A$32,'Rates &amp; Costs (T-Intervals)'!$D$2:$D$32)*(F39)</f>
        <v>2.2492441970933749E-2</v>
      </c>
      <c r="H39" s="14">
        <f t="shared" si="3"/>
        <v>1426344.7121215812</v>
      </c>
    </row>
    <row r="40" spans="1:8" ht="20" customHeight="1" x14ac:dyDescent="0.2">
      <c r="A40" s="7" t="s">
        <v>45</v>
      </c>
      <c r="B40" s="35">
        <v>10</v>
      </c>
      <c r="C40" s="34" t="str">
        <f>_xlfn.XLOOKUP(A40,'Aircraft Economics (FC)'!$A$2:$A$64,'Aircraft Economics (FC)'!$C$2:$C$64)</f>
        <v>In Production</v>
      </c>
      <c r="D40" s="34">
        <f t="shared" si="2"/>
        <v>10</v>
      </c>
      <c r="E40" s="16">
        <f>_xlfn.XLOOKUP(A40,'Adjusted List Prices'!$A$2:$A$22,'Adjusted List Prices'!$G$2:$G$22)</f>
        <v>63414400</v>
      </c>
      <c r="F40" s="9">
        <v>0.01</v>
      </c>
      <c r="G40" s="37">
        <f>_xlfn.XLOOKUP(D40,'Rates &amp; Costs (T-Intervals)'!$A$2:$A$32,'Rates &amp; Costs (T-Intervals)'!$D$2:$D$32)*(F40)</f>
        <v>3.0353259134198618E-2</v>
      </c>
      <c r="H40" s="14">
        <f t="shared" si="3"/>
        <v>1924833.7160397249</v>
      </c>
    </row>
    <row r="41" spans="1:8" ht="20" customHeight="1" x14ac:dyDescent="0.2">
      <c r="A41" s="7" t="s">
        <v>43</v>
      </c>
      <c r="B41" s="35">
        <v>0</v>
      </c>
      <c r="C41" s="34" t="str">
        <f>_xlfn.XLOOKUP(A41,'Aircraft Economics (FC)'!$A$2:$A$64,'Aircraft Economics (FC)'!$C$2:$C$64)</f>
        <v>In Production</v>
      </c>
      <c r="D41" s="34">
        <f t="shared" si="2"/>
        <v>0</v>
      </c>
      <c r="E41" s="16">
        <f>_xlfn.XLOOKUP(A41,'Adjusted List Prices'!$A$2:$A$22,'Adjusted List Prices'!$G$2:$G$22)</f>
        <v>67221350</v>
      </c>
      <c r="F41" s="9">
        <v>0.01</v>
      </c>
      <c r="G41" s="37">
        <f>_xlfn.XLOOKUP(D41,'Rates &amp; Costs (T-Intervals)'!$A$2:$A$32,'Rates &amp; Costs (T-Intervals)'!$D$2:$D$32)*(F41)</f>
        <v>0.01</v>
      </c>
      <c r="H41" s="14">
        <f t="shared" si="3"/>
        <v>672213.5</v>
      </c>
    </row>
    <row r="42" spans="1:8" ht="20" customHeight="1" x14ac:dyDescent="0.2">
      <c r="A42" s="7" t="s">
        <v>43</v>
      </c>
      <c r="B42" s="35">
        <v>5</v>
      </c>
      <c r="C42" s="34" t="str">
        <f>_xlfn.XLOOKUP(A42,'Aircraft Economics (FC)'!$A$2:$A$64,'Aircraft Economics (FC)'!$C$2:$C$64)</f>
        <v>In Production</v>
      </c>
      <c r="D42" s="34">
        <f t="shared" si="2"/>
        <v>5</v>
      </c>
      <c r="E42" s="16">
        <f>_xlfn.XLOOKUP(A42,'Adjusted List Prices'!$A$2:$A$22,'Adjusted List Prices'!$G$2:$G$22)</f>
        <v>67221350</v>
      </c>
      <c r="F42" s="9">
        <v>0.01</v>
      </c>
      <c r="G42" s="37">
        <f>_xlfn.XLOOKUP(D42,'Rates &amp; Costs (T-Intervals)'!$A$2:$A$32,'Rates &amp; Costs (T-Intervals)'!$D$2:$D$32)*(F42)</f>
        <v>2.2492441970933749E-2</v>
      </c>
      <c r="H42" s="14">
        <f t="shared" si="3"/>
        <v>1511972.3140828274</v>
      </c>
    </row>
    <row r="43" spans="1:8" ht="20" customHeight="1" x14ac:dyDescent="0.2">
      <c r="A43" s="7" t="s">
        <v>43</v>
      </c>
      <c r="B43" s="35">
        <v>10</v>
      </c>
      <c r="C43" s="34" t="str">
        <f>_xlfn.XLOOKUP(A43,'Aircraft Economics (FC)'!$A$2:$A$64,'Aircraft Economics (FC)'!$C$2:$C$64)</f>
        <v>In Production</v>
      </c>
      <c r="D43" s="34">
        <f t="shared" si="2"/>
        <v>10</v>
      </c>
      <c r="E43" s="16">
        <f>_xlfn.XLOOKUP(A43,'Adjusted List Prices'!$A$2:$A$22,'Adjusted List Prices'!$G$2:$G$22)</f>
        <v>67221350</v>
      </c>
      <c r="F43" s="9">
        <v>0.01</v>
      </c>
      <c r="G43" s="37">
        <f>_xlfn.XLOOKUP(D43,'Rates &amp; Costs (T-Intervals)'!$A$2:$A$32,'Rates &amp; Costs (T-Intervals)'!$D$2:$D$32)*(F43)</f>
        <v>3.0353259134198618E-2</v>
      </c>
      <c r="H43" s="14">
        <f>(E43*G43)</f>
        <v>2040387.0559006622</v>
      </c>
    </row>
    <row r="44" spans="1:8" ht="20" customHeight="1" x14ac:dyDescent="0.2">
      <c r="A44" s="7" t="s">
        <v>46</v>
      </c>
      <c r="B44" s="35">
        <v>0</v>
      </c>
      <c r="C44" s="34">
        <f>_xlfn.XLOOKUP(A44,'Aircraft Economics (FC)'!$A$2:$A$64,'Aircraft Economics (FC)'!$C$2:$C$64)</f>
        <v>2019</v>
      </c>
      <c r="D44" s="34">
        <f t="shared" si="2"/>
        <v>4</v>
      </c>
      <c r="E44" s="16">
        <f>_xlfn.XLOOKUP(A44,'Adjusted List Prices'!$A$2:$A$22,'Adjusted List Prices'!$G$2:$G$22)</f>
        <v>55331150</v>
      </c>
      <c r="F44" s="9">
        <v>0.01</v>
      </c>
      <c r="G44" s="37">
        <f>_xlfn.XLOOKUP(D44,'Rates &amp; Costs (T-Intervals)'!$A$2:$A$32,'Rates &amp; Costs (T-Intervals)'!$D$2:$D$32)*(F44)</f>
        <v>1.9126226165759996E-2</v>
      </c>
      <c r="H44" s="14">
        <f t="shared" ref="H44:H61" si="4">(E44*G44)</f>
        <v>1058276.0889115911</v>
      </c>
    </row>
    <row r="45" spans="1:8" ht="20" customHeight="1" x14ac:dyDescent="0.2">
      <c r="A45" s="7" t="s">
        <v>46</v>
      </c>
      <c r="B45" s="35">
        <v>5</v>
      </c>
      <c r="C45" s="34">
        <f>_xlfn.XLOOKUP(A45,'Aircraft Economics (FC)'!$A$2:$A$64,'Aircraft Economics (FC)'!$C$2:$C$64)</f>
        <v>2019</v>
      </c>
      <c r="D45" s="34">
        <f t="shared" si="2"/>
        <v>9</v>
      </c>
      <c r="E45" s="16">
        <f>_xlfn.XLOOKUP(A45,'Adjusted List Prices'!$A$2:$A$22,'Adjusted List Prices'!$G$2:$G$22)</f>
        <v>55331150</v>
      </c>
      <c r="F45" s="9">
        <v>0.01</v>
      </c>
      <c r="G45" s="37">
        <f>_xlfn.XLOOKUP(D45,'Rates &amp; Costs (T-Intervals)'!$A$2:$A$32,'Rates &amp; Costs (T-Intervals)'!$D$2:$D$32)*(F45)</f>
        <v>2.9326820419515575E-2</v>
      </c>
      <c r="H45" s="14">
        <f t="shared" si="4"/>
        <v>1622686.6996552793</v>
      </c>
    </row>
    <row r="46" spans="1:8" ht="20" customHeight="1" x14ac:dyDescent="0.2">
      <c r="A46" s="7" t="s">
        <v>46</v>
      </c>
      <c r="B46" s="35">
        <v>10</v>
      </c>
      <c r="C46" s="34">
        <f>_xlfn.XLOOKUP(A46,'Aircraft Economics (FC)'!$A$2:$A$64,'Aircraft Economics (FC)'!$C$2:$C$64)</f>
        <v>2019</v>
      </c>
      <c r="D46" s="34">
        <f t="shared" si="2"/>
        <v>14</v>
      </c>
      <c r="E46" s="16">
        <f>_xlfn.XLOOKUP(A46,'Adjusted List Prices'!$A$2:$A$22,'Adjusted List Prices'!$G$2:$G$22)</f>
        <v>55331150</v>
      </c>
      <c r="F46" s="9">
        <v>0.01</v>
      </c>
      <c r="G46" s="37">
        <f>_xlfn.XLOOKUP(D46,'Rates &amp; Costs (T-Intervals)'!$A$2:$A$32,'Rates &amp; Costs (T-Intervals)'!$D$2:$D$32)*(F46)</f>
        <v>3.2971975639587134E-2</v>
      </c>
      <c r="H46" s="14">
        <f t="shared" si="4"/>
        <v>1824377.3299103417</v>
      </c>
    </row>
    <row r="47" spans="1:8" ht="20" customHeight="1" x14ac:dyDescent="0.2">
      <c r="A47" s="7" t="s">
        <v>44</v>
      </c>
      <c r="B47" s="35">
        <v>0</v>
      </c>
      <c r="C47" s="34">
        <f>_xlfn.XLOOKUP(A47,'Aircraft Economics (FC)'!$A$2:$A$64,'Aircraft Economics (FC)'!$C$2:$C$64)</f>
        <v>2019</v>
      </c>
      <c r="D47" s="34">
        <f t="shared" si="2"/>
        <v>4</v>
      </c>
      <c r="E47" s="16">
        <f>_xlfn.XLOOKUP(A47,'Adjusted List Prices'!$A$2:$A$22,'Adjusted List Prices'!$G$2:$G$22)</f>
        <v>58720900</v>
      </c>
      <c r="F47" s="9">
        <v>0.01</v>
      </c>
      <c r="G47" s="37">
        <f>_xlfn.XLOOKUP(D47,'Rates &amp; Costs (T-Intervals)'!$A$2:$A$32,'Rates &amp; Costs (T-Intervals)'!$D$2:$D$32)*(F47)</f>
        <v>1.9126226165759996E-2</v>
      </c>
      <c r="H47" s="14">
        <f t="shared" si="4"/>
        <v>1123109.2140569761</v>
      </c>
    </row>
    <row r="48" spans="1:8" ht="20" customHeight="1" x14ac:dyDescent="0.2">
      <c r="A48" s="7" t="s">
        <v>44</v>
      </c>
      <c r="B48" s="35">
        <v>5</v>
      </c>
      <c r="C48" s="34">
        <f>_xlfn.XLOOKUP(A48,'Aircraft Economics (FC)'!$A$2:$A$64,'Aircraft Economics (FC)'!$C$2:$C$64)</f>
        <v>2019</v>
      </c>
      <c r="D48" s="34">
        <f t="shared" si="2"/>
        <v>9</v>
      </c>
      <c r="E48" s="16">
        <f>_xlfn.XLOOKUP(A48,'Adjusted List Prices'!$A$2:$A$22,'Adjusted List Prices'!$G$2:$G$22)</f>
        <v>58720900</v>
      </c>
      <c r="F48" s="9">
        <v>0.01</v>
      </c>
      <c r="G48" s="37">
        <f>_xlfn.XLOOKUP(D48,'Rates &amp; Costs (T-Intervals)'!$A$2:$A$32,'Rates &amp; Costs (T-Intervals)'!$D$2:$D$32)*(F48)</f>
        <v>2.9326820419515575E-2</v>
      </c>
      <c r="H48" s="14">
        <f t="shared" si="4"/>
        <v>1722097.289172332</v>
      </c>
    </row>
    <row r="49" spans="1:8" ht="20" customHeight="1" x14ac:dyDescent="0.2">
      <c r="A49" s="7" t="s">
        <v>44</v>
      </c>
      <c r="B49" s="35">
        <v>10</v>
      </c>
      <c r="C49" s="34">
        <f>_xlfn.XLOOKUP(A49,'Aircraft Economics (FC)'!$A$2:$A$64,'Aircraft Economics (FC)'!$C$2:$C$64)</f>
        <v>2019</v>
      </c>
      <c r="D49" s="34">
        <f t="shared" si="2"/>
        <v>14</v>
      </c>
      <c r="E49" s="16">
        <f>_xlfn.XLOOKUP(A49,'Adjusted List Prices'!$A$2:$A$22,'Adjusted List Prices'!$G$2:$G$22)</f>
        <v>58720900</v>
      </c>
      <c r="F49" s="9">
        <v>0.01</v>
      </c>
      <c r="G49" s="37">
        <f>_xlfn.XLOOKUP(D49,'Rates &amp; Costs (T-Intervals)'!$A$2:$A$32,'Rates &amp; Costs (T-Intervals)'!$D$2:$D$32)*(F49)</f>
        <v>3.2971975639587134E-2</v>
      </c>
      <c r="H49" s="14">
        <f t="shared" si="4"/>
        <v>1936144.0843346321</v>
      </c>
    </row>
    <row r="50" spans="1:8" ht="20" customHeight="1" x14ac:dyDescent="0.2">
      <c r="A50" s="7" t="s">
        <v>42</v>
      </c>
      <c r="B50" s="35">
        <v>0</v>
      </c>
      <c r="C50" s="34">
        <f>_xlfn.XLOOKUP(A50,'Aircraft Economics (FC)'!$A$2:$A$64,'Aircraft Economics (FC)'!$C$2:$C$64)</f>
        <v>2005</v>
      </c>
      <c r="D50" s="34">
        <f t="shared" si="2"/>
        <v>18</v>
      </c>
      <c r="E50" s="16">
        <f>_xlfn.XLOOKUP(A50,'Adjusted List Prices'!$A$2:$A$22,'Adjusted List Prices'!$G$2:$G$22)</f>
        <v>196144000</v>
      </c>
      <c r="F50" s="9">
        <v>0.01</v>
      </c>
      <c r="G50" s="37">
        <f>_xlfn.XLOOKUP(D50,'Rates &amp; Costs (T-Intervals)'!$A$2:$A$32,'Rates &amp; Costs (T-Intervals)'!$D$2:$D$32)*(F50)</f>
        <v>3.3904930035049886E-2</v>
      </c>
      <c r="H50" s="14">
        <f t="shared" si="4"/>
        <v>6650248.596794825</v>
      </c>
    </row>
    <row r="51" spans="1:8" ht="20" customHeight="1" x14ac:dyDescent="0.2">
      <c r="A51" s="7" t="s">
        <v>42</v>
      </c>
      <c r="B51" s="35">
        <v>5</v>
      </c>
      <c r="C51" s="34">
        <f>_xlfn.XLOOKUP(A51,'Aircraft Economics (FC)'!$A$2:$A$64,'Aircraft Economics (FC)'!$C$2:$C$64)</f>
        <v>2005</v>
      </c>
      <c r="D51" s="34">
        <f t="shared" si="2"/>
        <v>23</v>
      </c>
      <c r="E51" s="16">
        <f>_xlfn.XLOOKUP(A51,'Adjusted List Prices'!$A$2:$A$22,'Adjusted List Prices'!$G$2:$G$22)</f>
        <v>196144000</v>
      </c>
      <c r="F51" s="9">
        <v>0.01</v>
      </c>
      <c r="G51" s="37">
        <f>_xlfn.XLOOKUP(D51,'Rates &amp; Costs (T-Intervals)'!$A$2:$A$32,'Rates &amp; Costs (T-Intervals)'!$D$2:$D$32)*(F51)</f>
        <v>3.5108332703502332E-2</v>
      </c>
      <c r="H51" s="14">
        <f t="shared" si="4"/>
        <v>6886288.8097957615</v>
      </c>
    </row>
    <row r="52" spans="1:8" ht="20" customHeight="1" x14ac:dyDescent="0.2">
      <c r="A52" s="7" t="s">
        <v>42</v>
      </c>
      <c r="B52" s="35">
        <v>10</v>
      </c>
      <c r="C52" s="34">
        <f>_xlfn.XLOOKUP(A52,'Aircraft Economics (FC)'!$A$2:$A$64,'Aircraft Economics (FC)'!$C$2:$C$64)</f>
        <v>2005</v>
      </c>
      <c r="D52" s="34">
        <f t="shared" si="2"/>
        <v>28</v>
      </c>
      <c r="E52" s="16">
        <f>_xlfn.XLOOKUP(A52,'Adjusted List Prices'!$A$2:$A$22,'Adjusted List Prices'!$G$2:$G$22)</f>
        <v>196144000</v>
      </c>
      <c r="F52" s="9">
        <v>0.01</v>
      </c>
      <c r="G52" s="37">
        <f>_xlfn.XLOOKUP(D52,'Rates &amp; Costs (T-Intervals)'!$A$2:$A$32,'Rates &amp; Costs (T-Intervals)'!$D$2:$D$32)*(F52)</f>
        <v>3.6354448274796385E-2</v>
      </c>
      <c r="H52" s="14">
        <f t="shared" si="4"/>
        <v>7130706.902411662</v>
      </c>
    </row>
    <row r="53" spans="1:8" ht="20" customHeight="1" x14ac:dyDescent="0.2">
      <c r="A53" s="7" t="s">
        <v>41</v>
      </c>
      <c r="B53" s="35">
        <v>0</v>
      </c>
      <c r="C53" s="34">
        <f>_xlfn.XLOOKUP(A53,'Aircraft Economics (FC)'!$A$2:$A$64,'Aircraft Economics (FC)'!$C$2:$C$64)</f>
        <v>2023</v>
      </c>
      <c r="D53" s="34">
        <f t="shared" si="2"/>
        <v>0</v>
      </c>
      <c r="E53" s="16">
        <f>_xlfn.XLOOKUP(A53,'Adjusted List Prices'!$A$2:$A$22,'Adjusted List Prices'!$G$2:$G$22)</f>
        <v>218195600</v>
      </c>
      <c r="F53" s="9">
        <v>0.01</v>
      </c>
      <c r="G53" s="37">
        <f>_xlfn.XLOOKUP(D53,'Rates &amp; Costs (T-Intervals)'!$A$2:$A$32,'Rates &amp; Costs (T-Intervals)'!$D$2:$D$32)*(F53)</f>
        <v>0.01</v>
      </c>
      <c r="H53" s="14">
        <f t="shared" si="4"/>
        <v>2181956</v>
      </c>
    </row>
    <row r="54" spans="1:8" ht="20" customHeight="1" x14ac:dyDescent="0.2">
      <c r="A54" s="7" t="s">
        <v>41</v>
      </c>
      <c r="B54" s="35">
        <v>5</v>
      </c>
      <c r="C54" s="34">
        <f>_xlfn.XLOOKUP(A54,'Aircraft Economics (FC)'!$A$2:$A$64,'Aircraft Economics (FC)'!$C$2:$C$64)</f>
        <v>2023</v>
      </c>
      <c r="D54" s="34">
        <f t="shared" si="2"/>
        <v>5</v>
      </c>
      <c r="E54" s="16">
        <f>_xlfn.XLOOKUP(A54,'Adjusted List Prices'!$A$2:$A$22,'Adjusted List Prices'!$G$2:$G$22)</f>
        <v>218195600</v>
      </c>
      <c r="F54" s="9">
        <v>0.01</v>
      </c>
      <c r="G54" s="37">
        <f>_xlfn.XLOOKUP(D54,'Rates &amp; Costs (T-Intervals)'!$A$2:$A$32,'Rates &amp; Costs (T-Intervals)'!$D$2:$D$32)*(F54)</f>
        <v>2.2492441970933749E-2</v>
      </c>
      <c r="H54" s="14">
        <f t="shared" si="4"/>
        <v>4907751.8713130718</v>
      </c>
    </row>
    <row r="55" spans="1:8" ht="20" customHeight="1" x14ac:dyDescent="0.2">
      <c r="A55" s="7" t="s">
        <v>41</v>
      </c>
      <c r="B55" s="35">
        <v>10</v>
      </c>
      <c r="C55" s="34">
        <f>_xlfn.XLOOKUP(A55,'Aircraft Economics (FC)'!$A$2:$A$64,'Aircraft Economics (FC)'!$C$2:$C$64)</f>
        <v>2023</v>
      </c>
      <c r="D55" s="34">
        <f t="shared" si="2"/>
        <v>10</v>
      </c>
      <c r="E55" s="16">
        <f>_xlfn.XLOOKUP(A55,'Adjusted List Prices'!$A$2:$A$22,'Adjusted List Prices'!$G$2:$G$22)</f>
        <v>218195600</v>
      </c>
      <c r="F55" s="9">
        <v>0.01</v>
      </c>
      <c r="G55" s="37">
        <f>_xlfn.XLOOKUP(D55,'Rates &amp; Costs (T-Intervals)'!$A$2:$A$32,'Rates &amp; Costs (T-Intervals)'!$D$2:$D$32)*(F55)</f>
        <v>3.0353259134198618E-2</v>
      </c>
      <c r="H55" s="14">
        <f t="shared" si="4"/>
        <v>6622947.5887419479</v>
      </c>
    </row>
    <row r="56" spans="1:8" ht="20" customHeight="1" x14ac:dyDescent="0.2">
      <c r="A56" s="7" t="s">
        <v>48</v>
      </c>
      <c r="B56" s="35">
        <v>0</v>
      </c>
      <c r="C56" s="34">
        <f>_xlfn.XLOOKUP(A56,'Aircraft Economics (FC)'!$A$2:$A$64,'Aircraft Economics (FC)'!$C$2:$C$64)</f>
        <v>2014</v>
      </c>
      <c r="D56" s="34">
        <f t="shared" si="2"/>
        <v>9</v>
      </c>
      <c r="E56" s="16">
        <f>_xlfn.XLOOKUP(A56,'Adjusted List Prices'!$A$2:$A$22,'Adjusted List Prices'!$G$2:$G$22)</f>
        <v>122570500</v>
      </c>
      <c r="F56" s="9">
        <v>0.01</v>
      </c>
      <c r="G56" s="37">
        <f>_xlfn.XLOOKUP(D56,'Rates &amp; Costs (T-Intervals)'!$A$2:$A$32,'Rates &amp; Costs (T-Intervals)'!$D$2:$D$32)*(F56)</f>
        <v>2.9326820419515575E-2</v>
      </c>
      <c r="H56" s="14">
        <f t="shared" si="4"/>
        <v>3594603.042230234</v>
      </c>
    </row>
    <row r="57" spans="1:8" ht="20" customHeight="1" x14ac:dyDescent="0.2">
      <c r="A57" s="7" t="s">
        <v>48</v>
      </c>
      <c r="B57" s="35">
        <v>5</v>
      </c>
      <c r="C57" s="34">
        <f>_xlfn.XLOOKUP(A57,'Aircraft Economics (FC)'!$A$2:$A$64,'Aircraft Economics (FC)'!$C$2:$C$64)</f>
        <v>2014</v>
      </c>
      <c r="D57" s="34">
        <f t="shared" si="2"/>
        <v>14</v>
      </c>
      <c r="E57" s="16">
        <f>_xlfn.XLOOKUP(A57,'Adjusted List Prices'!$A$2:$A$22,'Adjusted List Prices'!$G$2:$G$22)</f>
        <v>122570500</v>
      </c>
      <c r="F57" s="9">
        <v>0.01</v>
      </c>
      <c r="G57" s="37">
        <f>_xlfn.XLOOKUP(D57,'Rates &amp; Costs (T-Intervals)'!$A$2:$A$32,'Rates &amp; Costs (T-Intervals)'!$D$2:$D$32)*(F57)</f>
        <v>3.2971975639587134E-2</v>
      </c>
      <c r="H57" s="14">
        <f t="shared" si="4"/>
        <v>4041391.540132015</v>
      </c>
    </row>
    <row r="58" spans="1:8" ht="20" customHeight="1" x14ac:dyDescent="0.2">
      <c r="A58" s="7" t="s">
        <v>48</v>
      </c>
      <c r="B58" s="35">
        <v>10</v>
      </c>
      <c r="C58" s="34">
        <f>_xlfn.XLOOKUP(A58,'Aircraft Economics (FC)'!$A$2:$A$64,'Aircraft Economics (FC)'!$C$2:$C$64)</f>
        <v>2014</v>
      </c>
      <c r="D58" s="34">
        <f t="shared" si="2"/>
        <v>19</v>
      </c>
      <c r="E58" s="16">
        <f>_xlfn.XLOOKUP(A58,'Adjusted List Prices'!$A$2:$A$22,'Adjusted List Prices'!$G$2:$G$22)</f>
        <v>122570500</v>
      </c>
      <c r="F58" s="9">
        <v>0.01</v>
      </c>
      <c r="G58" s="37">
        <f>_xlfn.XLOOKUP(D58,'Rates &amp; Costs (T-Intervals)'!$A$2:$A$32,'Rates &amp; Costs (T-Intervals)'!$D$2:$D$32)*(F58)</f>
        <v>3.4142264545295231E-2</v>
      </c>
      <c r="H58" s="14">
        <f t="shared" si="4"/>
        <v>4184834.4364491091</v>
      </c>
    </row>
    <row r="59" spans="1:8" ht="20" customHeight="1" x14ac:dyDescent="0.2">
      <c r="A59" s="7" t="s">
        <v>40</v>
      </c>
      <c r="B59" s="35">
        <v>0</v>
      </c>
      <c r="C59" s="34" t="str">
        <f>_xlfn.XLOOKUP(A59,'Aircraft Economics (FC)'!$A$2:$A$64,'Aircraft Economics (FC)'!$C$2:$C$64)</f>
        <v>In Production</v>
      </c>
      <c r="D59" s="34">
        <f t="shared" si="2"/>
        <v>0</v>
      </c>
      <c r="E59" s="16">
        <f>_xlfn.XLOOKUP(A59,'Adjusted List Prices'!$A$2:$A$22,'Adjusted List Prices'!$G$2:$G$22)</f>
        <v>195823250</v>
      </c>
      <c r="F59" s="9">
        <v>0.01</v>
      </c>
      <c r="G59" s="37">
        <f>_xlfn.XLOOKUP(D59,'Rates &amp; Costs (T-Intervals)'!$A$2:$A$32,'Rates &amp; Costs (T-Intervals)'!$D$2:$D$32)*(F59)</f>
        <v>0.01</v>
      </c>
      <c r="H59" s="14">
        <f t="shared" si="4"/>
        <v>1958232.5</v>
      </c>
    </row>
    <row r="60" spans="1:8" ht="20" customHeight="1" x14ac:dyDescent="0.2">
      <c r="A60" s="7" t="s">
        <v>40</v>
      </c>
      <c r="B60" s="35">
        <v>5</v>
      </c>
      <c r="C60" s="34" t="str">
        <f>_xlfn.XLOOKUP(A60,'Aircraft Economics (FC)'!$A$2:$A$64,'Aircraft Economics (FC)'!$C$2:$C$64)</f>
        <v>In Production</v>
      </c>
      <c r="D60" s="34">
        <f t="shared" si="2"/>
        <v>5</v>
      </c>
      <c r="E60" s="16">
        <f>_xlfn.XLOOKUP(A60,'Adjusted List Prices'!$A$2:$A$22,'Adjusted List Prices'!$G$2:$G$22)</f>
        <v>195823250</v>
      </c>
      <c r="F60" s="9">
        <v>0.01</v>
      </c>
      <c r="G60" s="37">
        <f>_xlfn.XLOOKUP(D60,'Rates &amp; Costs (T-Intervals)'!$A$2:$A$32,'Rates &amp; Costs (T-Intervals)'!$D$2:$D$32)*(F60)</f>
        <v>2.2492441970933749E-2</v>
      </c>
      <c r="H60" s="14">
        <f t="shared" si="4"/>
        <v>4404543.0871846518</v>
      </c>
    </row>
    <row r="61" spans="1:8" ht="20" customHeight="1" x14ac:dyDescent="0.2">
      <c r="A61" s="7" t="s">
        <v>40</v>
      </c>
      <c r="B61" s="35">
        <v>10</v>
      </c>
      <c r="C61" s="34" t="str">
        <f>_xlfn.XLOOKUP(A61,'Aircraft Economics (FC)'!$A$2:$A$64,'Aircraft Economics (FC)'!$C$2:$C$64)</f>
        <v>In Production</v>
      </c>
      <c r="D61" s="34">
        <f t="shared" si="2"/>
        <v>10</v>
      </c>
      <c r="E61" s="16">
        <f>_xlfn.XLOOKUP(A61,'Adjusted List Prices'!$A$2:$A$22,'Adjusted List Prices'!$G$2:$G$22)</f>
        <v>195823250</v>
      </c>
      <c r="F61" s="9">
        <v>0.01</v>
      </c>
      <c r="G61" s="37">
        <f>_xlfn.XLOOKUP(D61,'Rates &amp; Costs (T-Intervals)'!$A$2:$A$32,'Rates &amp; Costs (T-Intervals)'!$D$2:$D$32)*(F61)</f>
        <v>3.0353259134198618E-2</v>
      </c>
      <c r="H61" s="14">
        <f t="shared" si="4"/>
        <v>5943873.8517509596</v>
      </c>
    </row>
    <row r="62" spans="1:8" ht="20" customHeight="1" x14ac:dyDescent="0.2">
      <c r="A62" s="7" t="s">
        <v>39</v>
      </c>
      <c r="B62" s="35">
        <v>0</v>
      </c>
      <c r="C62" s="34" t="str">
        <f>_xlfn.XLOOKUP(A62,'Aircraft Economics (FC)'!$A$2:$A$64,'Aircraft Economics (FC)'!$C$2:$C$64)</f>
        <v>In Production</v>
      </c>
      <c r="D62" s="34">
        <f>IF(C62="In Production",B62,B62+(2023-C62))</f>
        <v>0</v>
      </c>
      <c r="E62" s="16">
        <f>_xlfn.XLOOKUP(A62,'Adjusted List Prices'!$A$2:$A$22,'Adjusted List Prices'!$G$2:$G$22)</f>
        <v>152538750</v>
      </c>
      <c r="F62" s="9">
        <v>0.01</v>
      </c>
      <c r="G62" s="37">
        <f>_xlfn.XLOOKUP(D62,'Rates &amp; Costs (T-Intervals)'!$A$2:$A$32,'Rates &amp; Costs (T-Intervals)'!$D$2:$D$32)*(F62)</f>
        <v>0.01</v>
      </c>
      <c r="H62" s="14">
        <f>(E62*G62)</f>
        <v>1525387.5</v>
      </c>
    </row>
    <row r="63" spans="1:8" ht="20" customHeight="1" x14ac:dyDescent="0.2">
      <c r="A63" s="7" t="s">
        <v>39</v>
      </c>
      <c r="B63" s="35">
        <v>5</v>
      </c>
      <c r="C63" s="34" t="str">
        <f>_xlfn.XLOOKUP(A63,'Aircraft Economics (FC)'!$A$2:$A$64,'Aircraft Economics (FC)'!$C$2:$C$64)</f>
        <v>In Production</v>
      </c>
      <c r="D63" s="34">
        <f t="shared" ref="D63:D64" si="5">IF(C63="In Production",B63,B63+(2023-C63))</f>
        <v>5</v>
      </c>
      <c r="E63" s="16">
        <f>_xlfn.XLOOKUP(A63,'Adjusted List Prices'!$A$2:$A$22,'Adjusted List Prices'!$G$2:$G$22)</f>
        <v>152538750</v>
      </c>
      <c r="F63" s="9">
        <v>0.01</v>
      </c>
      <c r="G63" s="37">
        <f>_xlfn.XLOOKUP(D63,'Rates &amp; Costs (T-Intervals)'!$A$2:$A$32,'Rates &amp; Costs (T-Intervals)'!$D$2:$D$32)*(F63)</f>
        <v>2.2492441970933749E-2</v>
      </c>
      <c r="H63" s="14">
        <f t="shared" ref="H63:H64" si="6">(E63*G63)</f>
        <v>3430968.9826937704</v>
      </c>
    </row>
    <row r="64" spans="1:8" ht="20" customHeight="1" thickBot="1" x14ac:dyDescent="0.25">
      <c r="A64" s="8" t="s">
        <v>39</v>
      </c>
      <c r="B64" s="20">
        <v>10</v>
      </c>
      <c r="C64" s="6" t="str">
        <f>_xlfn.XLOOKUP(A64,'Aircraft Economics (FC)'!$A$2:$A$64,'Aircraft Economics (FC)'!$C$2:$C$64)</f>
        <v>In Production</v>
      </c>
      <c r="D64" s="6">
        <f t="shared" si="5"/>
        <v>10</v>
      </c>
      <c r="E64" s="12">
        <f>_xlfn.XLOOKUP(A64,'Adjusted List Prices'!$A$2:$A$22,'Adjusted List Prices'!$G$2:$G$22)</f>
        <v>152538750</v>
      </c>
      <c r="F64" s="10">
        <v>0.01</v>
      </c>
      <c r="G64" s="38">
        <f>_xlfn.XLOOKUP(D64,'Rates &amp; Costs (T-Intervals)'!$A$2:$A$32,'Rates &amp; Costs (T-Intervals)'!$D$2:$D$32)*(F64)</f>
        <v>3.0353259134198618E-2</v>
      </c>
      <c r="H64" s="15">
        <f t="shared" si="6"/>
        <v>4630048.2067567399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BA7C8-F97C-CF4E-8A15-829A1B0860BC}">
  <dimension ref="A1:E32"/>
  <sheetViews>
    <sheetView zoomScaleNormal="75" workbookViewId="0">
      <selection activeCell="B3" sqref="B3:C28"/>
    </sheetView>
  </sheetViews>
  <sheetFormatPr baseColWidth="10" defaultColWidth="25.83203125" defaultRowHeight="20" customHeight="1" x14ac:dyDescent="0.2"/>
  <cols>
    <col min="1" max="16384" width="25.83203125" style="1"/>
  </cols>
  <sheetData>
    <row r="1" spans="1:5" ht="20" customHeight="1" thickBot="1" x14ac:dyDescent="0.25">
      <c r="A1" s="2" t="s">
        <v>9</v>
      </c>
      <c r="B1" s="3" t="s">
        <v>22</v>
      </c>
      <c r="C1" s="3" t="s">
        <v>23</v>
      </c>
      <c r="D1" s="3" t="s">
        <v>24</v>
      </c>
      <c r="E1" s="4" t="s">
        <v>25</v>
      </c>
    </row>
    <row r="2" spans="1:5" ht="20" customHeight="1" x14ac:dyDescent="0.2">
      <c r="A2" s="39">
        <v>0</v>
      </c>
      <c r="B2" s="45">
        <v>1</v>
      </c>
      <c r="C2" s="45">
        <v>1</v>
      </c>
      <c r="D2" s="47">
        <v>1</v>
      </c>
      <c r="E2" s="48">
        <v>1</v>
      </c>
    </row>
    <row r="3" spans="1:5" ht="20" customHeight="1" x14ac:dyDescent="0.2">
      <c r="A3" s="7">
        <v>1</v>
      </c>
      <c r="B3" s="9">
        <f>(B2-0.03)</f>
        <v>0.97</v>
      </c>
      <c r="C3" s="9">
        <f>(C2-0.03)</f>
        <v>0.97</v>
      </c>
      <c r="D3" s="46">
        <f>(D2*1.176)</f>
        <v>1.1759999999999999</v>
      </c>
      <c r="E3" s="43">
        <v>1</v>
      </c>
    </row>
    <row r="4" spans="1:5" ht="20" customHeight="1" x14ac:dyDescent="0.2">
      <c r="A4" s="7">
        <v>2</v>
      </c>
      <c r="B4" s="9">
        <f t="shared" ref="B4:B32" si="0">(B3-0.03)</f>
        <v>0.94</v>
      </c>
      <c r="C4" s="9">
        <f t="shared" ref="C4:C32" si="1">(C3-0.03)</f>
        <v>0.94</v>
      </c>
      <c r="D4" s="46">
        <f t="shared" ref="D4:D8" si="2">(D3*1.176)</f>
        <v>1.3829759999999998</v>
      </c>
      <c r="E4" s="43">
        <v>1</v>
      </c>
    </row>
    <row r="5" spans="1:5" ht="20" customHeight="1" x14ac:dyDescent="0.2">
      <c r="A5" s="7">
        <v>3</v>
      </c>
      <c r="B5" s="9">
        <f t="shared" si="0"/>
        <v>0.90999999999999992</v>
      </c>
      <c r="C5" s="9">
        <f t="shared" si="1"/>
        <v>0.90999999999999992</v>
      </c>
      <c r="D5" s="46">
        <f t="shared" si="2"/>
        <v>1.6263797759999996</v>
      </c>
      <c r="E5" s="43">
        <v>1</v>
      </c>
    </row>
    <row r="6" spans="1:5" ht="20" customHeight="1" x14ac:dyDescent="0.2">
      <c r="A6" s="7">
        <v>4</v>
      </c>
      <c r="B6" s="9">
        <f t="shared" si="0"/>
        <v>0.87999999999999989</v>
      </c>
      <c r="C6" s="9">
        <f t="shared" si="1"/>
        <v>0.87999999999999989</v>
      </c>
      <c r="D6" s="46">
        <f t="shared" si="2"/>
        <v>1.9126226165759994</v>
      </c>
      <c r="E6" s="43">
        <v>1</v>
      </c>
    </row>
    <row r="7" spans="1:5" ht="20" customHeight="1" x14ac:dyDescent="0.2">
      <c r="A7" s="7">
        <v>5</v>
      </c>
      <c r="B7" s="9">
        <f t="shared" si="0"/>
        <v>0.84999999999999987</v>
      </c>
      <c r="C7" s="9">
        <f t="shared" si="1"/>
        <v>0.84999999999999987</v>
      </c>
      <c r="D7" s="46">
        <f t="shared" si="2"/>
        <v>2.249244197093375</v>
      </c>
      <c r="E7" s="43">
        <v>1</v>
      </c>
    </row>
    <row r="8" spans="1:5" ht="20" customHeight="1" x14ac:dyDescent="0.2">
      <c r="A8" s="7">
        <v>6</v>
      </c>
      <c r="B8" s="9">
        <f t="shared" si="0"/>
        <v>0.81999999999999984</v>
      </c>
      <c r="C8" s="9">
        <f t="shared" si="1"/>
        <v>0.81999999999999984</v>
      </c>
      <c r="D8" s="46">
        <f t="shared" si="2"/>
        <v>2.6451111757818087</v>
      </c>
      <c r="E8" s="43">
        <v>1</v>
      </c>
    </row>
    <row r="9" spans="1:5" ht="20" customHeight="1" x14ac:dyDescent="0.2">
      <c r="A9" s="7">
        <v>7</v>
      </c>
      <c r="B9" s="9">
        <f t="shared" si="0"/>
        <v>0.78999999999999981</v>
      </c>
      <c r="C9" s="9">
        <f t="shared" si="1"/>
        <v>0.78999999999999981</v>
      </c>
      <c r="D9" s="46">
        <f>(D8*1.035)</f>
        <v>2.7376900669341717</v>
      </c>
      <c r="E9" s="43">
        <v>1</v>
      </c>
    </row>
    <row r="10" spans="1:5" ht="20" customHeight="1" x14ac:dyDescent="0.2">
      <c r="A10" s="7">
        <v>8</v>
      </c>
      <c r="B10" s="9">
        <f t="shared" si="0"/>
        <v>0.75999999999999979</v>
      </c>
      <c r="C10" s="9">
        <f t="shared" si="1"/>
        <v>0.75999999999999979</v>
      </c>
      <c r="D10" s="46">
        <f t="shared" ref="D10:D14" si="3">(D9*1.035)</f>
        <v>2.8335092192768676</v>
      </c>
      <c r="E10" s="43">
        <v>1</v>
      </c>
    </row>
    <row r="11" spans="1:5" ht="20" customHeight="1" x14ac:dyDescent="0.2">
      <c r="A11" s="7">
        <v>9</v>
      </c>
      <c r="B11" s="9">
        <f t="shared" si="0"/>
        <v>0.72999999999999976</v>
      </c>
      <c r="C11" s="9">
        <f t="shared" si="1"/>
        <v>0.72999999999999976</v>
      </c>
      <c r="D11" s="46">
        <f t="shared" si="3"/>
        <v>2.9326820419515576</v>
      </c>
      <c r="E11" s="43">
        <v>1</v>
      </c>
    </row>
    <row r="12" spans="1:5" ht="20" customHeight="1" x14ac:dyDescent="0.2">
      <c r="A12" s="7">
        <v>10</v>
      </c>
      <c r="B12" s="9">
        <f t="shared" si="0"/>
        <v>0.69999999999999973</v>
      </c>
      <c r="C12" s="9">
        <f t="shared" si="1"/>
        <v>0.69999999999999973</v>
      </c>
      <c r="D12" s="46">
        <f t="shared" si="3"/>
        <v>3.0353259134198618</v>
      </c>
      <c r="E12" s="43">
        <v>1</v>
      </c>
    </row>
    <row r="13" spans="1:5" ht="20" customHeight="1" x14ac:dyDescent="0.2">
      <c r="A13" s="7">
        <v>11</v>
      </c>
      <c r="B13" s="9">
        <f t="shared" si="0"/>
        <v>0.66999999999999971</v>
      </c>
      <c r="C13" s="9">
        <f t="shared" si="1"/>
        <v>0.66999999999999971</v>
      </c>
      <c r="D13" s="46">
        <f t="shared" si="3"/>
        <v>3.1415623203895566</v>
      </c>
      <c r="E13" s="43">
        <v>1</v>
      </c>
    </row>
    <row r="14" spans="1:5" ht="20" customHeight="1" x14ac:dyDescent="0.2">
      <c r="A14" s="7">
        <v>12</v>
      </c>
      <c r="B14" s="9">
        <f t="shared" si="0"/>
        <v>0.63999999999999968</v>
      </c>
      <c r="C14" s="9">
        <f t="shared" si="1"/>
        <v>0.63999999999999968</v>
      </c>
      <c r="D14" s="46">
        <f t="shared" si="3"/>
        <v>3.2515170016031907</v>
      </c>
      <c r="E14" s="43">
        <v>1</v>
      </c>
    </row>
    <row r="15" spans="1:5" ht="20" customHeight="1" x14ac:dyDescent="0.2">
      <c r="A15" s="7">
        <v>13</v>
      </c>
      <c r="B15" s="9">
        <f t="shared" si="0"/>
        <v>0.60999999999999965</v>
      </c>
      <c r="C15" s="9">
        <f t="shared" si="1"/>
        <v>0.60999999999999965</v>
      </c>
      <c r="D15" s="46">
        <f>(D14*1.007)</f>
        <v>3.2742776206144129</v>
      </c>
      <c r="E15" s="43">
        <v>1</v>
      </c>
    </row>
    <row r="16" spans="1:5" ht="20" customHeight="1" x14ac:dyDescent="0.2">
      <c r="A16" s="7">
        <v>14</v>
      </c>
      <c r="B16" s="9">
        <f t="shared" si="0"/>
        <v>0.57999999999999963</v>
      </c>
      <c r="C16" s="9">
        <f t="shared" si="1"/>
        <v>0.57999999999999963</v>
      </c>
      <c r="D16" s="46">
        <f t="shared" ref="D16:D32" si="4">(D15*1.007)</f>
        <v>3.2971975639587132</v>
      </c>
      <c r="E16" s="43">
        <v>1</v>
      </c>
    </row>
    <row r="17" spans="1:5" ht="20" customHeight="1" x14ac:dyDescent="0.2">
      <c r="A17" s="7">
        <v>15</v>
      </c>
      <c r="B17" s="9">
        <f t="shared" si="0"/>
        <v>0.5499999999999996</v>
      </c>
      <c r="C17" s="9">
        <f t="shared" si="1"/>
        <v>0.5499999999999996</v>
      </c>
      <c r="D17" s="46">
        <f t="shared" si="4"/>
        <v>3.3202779469064239</v>
      </c>
      <c r="E17" s="43">
        <v>1</v>
      </c>
    </row>
    <row r="18" spans="1:5" ht="20" customHeight="1" x14ac:dyDescent="0.2">
      <c r="A18" s="7">
        <v>16</v>
      </c>
      <c r="B18" s="9">
        <f t="shared" si="0"/>
        <v>0.51999999999999957</v>
      </c>
      <c r="C18" s="9">
        <f t="shared" si="1"/>
        <v>0.51999999999999957</v>
      </c>
      <c r="D18" s="46">
        <f t="shared" si="4"/>
        <v>3.3435198925347684</v>
      </c>
      <c r="E18" s="43">
        <v>1</v>
      </c>
    </row>
    <row r="19" spans="1:5" ht="20" customHeight="1" x14ac:dyDescent="0.2">
      <c r="A19" s="7">
        <v>17</v>
      </c>
      <c r="B19" s="9">
        <f t="shared" si="0"/>
        <v>0.48999999999999955</v>
      </c>
      <c r="C19" s="9">
        <f t="shared" si="1"/>
        <v>0.48999999999999955</v>
      </c>
      <c r="D19" s="46">
        <f t="shared" si="4"/>
        <v>3.3669245317825114</v>
      </c>
      <c r="E19" s="43">
        <v>1</v>
      </c>
    </row>
    <row r="20" spans="1:5" ht="20" customHeight="1" x14ac:dyDescent="0.2">
      <c r="A20" s="7">
        <v>18</v>
      </c>
      <c r="B20" s="9">
        <f t="shared" si="0"/>
        <v>0.45999999999999952</v>
      </c>
      <c r="C20" s="9">
        <f t="shared" si="1"/>
        <v>0.45999999999999952</v>
      </c>
      <c r="D20" s="46">
        <f t="shared" si="4"/>
        <v>3.3904930035049885</v>
      </c>
      <c r="E20" s="43">
        <v>1</v>
      </c>
    </row>
    <row r="21" spans="1:5" ht="20" customHeight="1" x14ac:dyDescent="0.2">
      <c r="A21" s="7">
        <v>19</v>
      </c>
      <c r="B21" s="9">
        <f t="shared" si="0"/>
        <v>0.42999999999999949</v>
      </c>
      <c r="C21" s="9">
        <f t="shared" si="1"/>
        <v>0.42999999999999949</v>
      </c>
      <c r="D21" s="46">
        <f t="shared" si="4"/>
        <v>3.4142264545295231</v>
      </c>
      <c r="E21" s="43">
        <v>1</v>
      </c>
    </row>
    <row r="22" spans="1:5" ht="20" customHeight="1" x14ac:dyDescent="0.2">
      <c r="A22" s="7">
        <v>20</v>
      </c>
      <c r="B22" s="9">
        <f t="shared" si="0"/>
        <v>0.39999999999999947</v>
      </c>
      <c r="C22" s="9">
        <f t="shared" si="1"/>
        <v>0.39999999999999947</v>
      </c>
      <c r="D22" s="46">
        <f t="shared" si="4"/>
        <v>3.4381260397112294</v>
      </c>
      <c r="E22" s="43">
        <v>1</v>
      </c>
    </row>
    <row r="23" spans="1:5" ht="20" customHeight="1" x14ac:dyDescent="0.2">
      <c r="A23" s="7">
        <v>21</v>
      </c>
      <c r="B23" s="9">
        <f t="shared" si="0"/>
        <v>0.36999999999999944</v>
      </c>
      <c r="C23" s="9">
        <f t="shared" si="1"/>
        <v>0.36999999999999944</v>
      </c>
      <c r="D23" s="46">
        <f t="shared" si="4"/>
        <v>3.4621929219892076</v>
      </c>
      <c r="E23" s="43">
        <v>1</v>
      </c>
    </row>
    <row r="24" spans="1:5" ht="20" customHeight="1" x14ac:dyDescent="0.2">
      <c r="A24" s="7">
        <v>22</v>
      </c>
      <c r="B24" s="9">
        <f t="shared" si="0"/>
        <v>0.33999999999999941</v>
      </c>
      <c r="C24" s="9">
        <f t="shared" si="1"/>
        <v>0.33999999999999941</v>
      </c>
      <c r="D24" s="46">
        <f t="shared" si="4"/>
        <v>3.4864282724431317</v>
      </c>
      <c r="E24" s="43">
        <v>1</v>
      </c>
    </row>
    <row r="25" spans="1:5" ht="20" customHeight="1" x14ac:dyDescent="0.2">
      <c r="A25" s="7">
        <v>23</v>
      </c>
      <c r="B25" s="9">
        <f t="shared" si="0"/>
        <v>0.30999999999999939</v>
      </c>
      <c r="C25" s="9">
        <f t="shared" si="1"/>
        <v>0.30999999999999939</v>
      </c>
      <c r="D25" s="46">
        <f t="shared" si="4"/>
        <v>3.5108332703502332</v>
      </c>
      <c r="E25" s="43">
        <v>1</v>
      </c>
    </row>
    <row r="26" spans="1:5" ht="20" customHeight="1" x14ac:dyDescent="0.2">
      <c r="A26" s="7">
        <v>24</v>
      </c>
      <c r="B26" s="9">
        <f t="shared" si="0"/>
        <v>0.27999999999999936</v>
      </c>
      <c r="C26" s="9">
        <f t="shared" si="1"/>
        <v>0.27999999999999936</v>
      </c>
      <c r="D26" s="46">
        <f t="shared" si="4"/>
        <v>3.5354091032426846</v>
      </c>
      <c r="E26" s="43">
        <v>1</v>
      </c>
    </row>
    <row r="27" spans="1:5" ht="20" customHeight="1" x14ac:dyDescent="0.2">
      <c r="A27" s="7">
        <v>25</v>
      </c>
      <c r="B27" s="9">
        <f t="shared" si="0"/>
        <v>0.24999999999999936</v>
      </c>
      <c r="C27" s="9">
        <f t="shared" si="1"/>
        <v>0.24999999999999936</v>
      </c>
      <c r="D27" s="46">
        <f t="shared" si="4"/>
        <v>3.560156966965383</v>
      </c>
      <c r="E27" s="43">
        <v>1</v>
      </c>
    </row>
    <row r="28" spans="1:5" ht="20" customHeight="1" x14ac:dyDescent="0.2">
      <c r="A28" s="7">
        <v>26</v>
      </c>
      <c r="B28" s="9">
        <f t="shared" si="0"/>
        <v>0.21999999999999936</v>
      </c>
      <c r="C28" s="9">
        <f t="shared" si="1"/>
        <v>0.21999999999999936</v>
      </c>
      <c r="D28" s="46">
        <f t="shared" si="4"/>
        <v>3.5850780657341401</v>
      </c>
      <c r="E28" s="43">
        <v>1</v>
      </c>
    </row>
    <row r="29" spans="1:5" ht="20" customHeight="1" x14ac:dyDescent="0.2">
      <c r="A29" s="7">
        <v>27</v>
      </c>
      <c r="B29" s="9">
        <f t="shared" si="0"/>
        <v>0.18999999999999936</v>
      </c>
      <c r="C29" s="9">
        <f t="shared" si="1"/>
        <v>0.18999999999999936</v>
      </c>
      <c r="D29" s="46">
        <f t="shared" si="4"/>
        <v>3.6101736121942789</v>
      </c>
      <c r="E29" s="43">
        <v>1</v>
      </c>
    </row>
    <row r="30" spans="1:5" ht="20" customHeight="1" x14ac:dyDescent="0.2">
      <c r="A30" s="7">
        <v>28</v>
      </c>
      <c r="B30" s="9">
        <f t="shared" si="0"/>
        <v>0.15999999999999936</v>
      </c>
      <c r="C30" s="9">
        <f t="shared" si="1"/>
        <v>0.15999999999999936</v>
      </c>
      <c r="D30" s="46">
        <f t="shared" si="4"/>
        <v>3.6354448274796383</v>
      </c>
      <c r="E30" s="43">
        <v>1</v>
      </c>
    </row>
    <row r="31" spans="1:5" ht="20" customHeight="1" x14ac:dyDescent="0.2">
      <c r="A31" s="7">
        <v>29</v>
      </c>
      <c r="B31" s="9">
        <f t="shared" si="0"/>
        <v>0.12999999999999937</v>
      </c>
      <c r="C31" s="9">
        <f t="shared" si="1"/>
        <v>0.12999999999999937</v>
      </c>
      <c r="D31" s="46">
        <f t="shared" si="4"/>
        <v>3.6608929412719955</v>
      </c>
      <c r="E31" s="43">
        <v>1</v>
      </c>
    </row>
    <row r="32" spans="1:5" ht="20" customHeight="1" thickBot="1" x14ac:dyDescent="0.25">
      <c r="A32" s="8">
        <v>30</v>
      </c>
      <c r="B32" s="10">
        <f t="shared" si="0"/>
        <v>9.9999999999999367E-2</v>
      </c>
      <c r="C32" s="10">
        <f t="shared" si="1"/>
        <v>9.9999999999999367E-2</v>
      </c>
      <c r="D32" s="49">
        <f t="shared" si="4"/>
        <v>3.6865191918608993</v>
      </c>
      <c r="E32" s="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Aircraft Economics (FC)</vt:lpstr>
      <vt:lpstr>Adjusted List Prices</vt:lpstr>
      <vt:lpstr>Lease Rates</vt:lpstr>
      <vt:lpstr>Insurance Rates</vt:lpstr>
      <vt:lpstr>Maintenance Costs</vt:lpstr>
      <vt:lpstr>Rates &amp; Costs (T-Intervals)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2023-07-28T15:03:42Z</dcterms:created>
  <dcterms:modified xsi:type="dcterms:W3CDTF">2023-09-01T01:50:02Z</dcterms:modified>
</cp:coreProperties>
</file>