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checkCompatibility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 Repos\demo-hungary\Vaudoise Demo\Resource files\Excels\MotorOman\"/>
    </mc:Choice>
  </mc:AlternateContent>
  <xr:revisionPtr revIDLastSave="0" documentId="13_ncr:1_{3B811750-1D39-4B33-A5D8-28940C1A20AF}" xr6:coauthVersionLast="45" xr6:coauthVersionMax="45" xr10:uidLastSave="{00000000-0000-0000-0000-000000000000}"/>
  <bookViews>
    <workbookView xWindow="57480" yWindow="30" windowWidth="29040" windowHeight="15840" tabRatio="915" xr2:uid="{00000000-000D-0000-FFFF-FFFF00000000}"/>
  </bookViews>
  <sheets>
    <sheet name="Skye Lookup Input" sheetId="41" r:id="rId1"/>
    <sheet name="Skye Lookup Output" sheetId="40" r:id="rId2"/>
    <sheet name="Skye Lookup Grid Output" sheetId="44" r:id="rId3"/>
    <sheet name="Algorithm" sheetId="43" r:id="rId4"/>
    <sheet name="Gold" sheetId="45" r:id="rId5"/>
    <sheet name="TPL" sheetId="47" r:id="rId6"/>
    <sheet name="Sheet1" sheetId="42" state="hidden" r:id="rId7"/>
  </sheets>
  <definedNames>
    <definedName name="List_Age">#REF!</definedName>
    <definedName name="List_AgencyRepairVehAge">#REF!</definedName>
    <definedName name="List_Channel">#REF!</definedName>
    <definedName name="List_CommuteArea">#REF!</definedName>
    <definedName name="List_DefDeductible">#REF!</definedName>
    <definedName name="List_DrivingExp">#REF!</definedName>
    <definedName name="List_Emirate">#REF!</definedName>
    <definedName name="List_Gender">#REF!</definedName>
    <definedName name="List_HorsePower">#REF!</definedName>
    <definedName name="List_MaritalStatus">#REF!</definedName>
    <definedName name="List_MultiProd">#REF!</definedName>
    <definedName name="List_MultiVeh">#REF!</definedName>
    <definedName name="List_Nationality">#REF!</definedName>
    <definedName name="List_NCD">#REF!</definedName>
    <definedName name="List_NCDProt">#REF!</definedName>
    <definedName name="list_Product">#REF!</definedName>
    <definedName name="List_Schemes">#REF!</definedName>
    <definedName name="List_SelDeductible">#REF!</definedName>
    <definedName name="List_Usage">#REF!</definedName>
    <definedName name="List_VehAge">#REF!</definedName>
    <definedName name="List_VehType">#REF!</definedName>
    <definedName name="T10_Factor">#REF!</definedName>
    <definedName name="T10_MaritalStatus">#REF!</definedName>
    <definedName name="T10_Product">#REF!</definedName>
    <definedName name="T11_Factor">#REF!</definedName>
    <definedName name="T11_MultiProd">#REF!</definedName>
    <definedName name="T11_MultiVeh">#REF!</definedName>
    <definedName name="T11_Product">#REF!</definedName>
    <definedName name="T12_CommuteArea">#REF!</definedName>
    <definedName name="T12_Factor">#REF!</definedName>
    <definedName name="T12_Product">#REF!</definedName>
    <definedName name="T13_Channel">#REF!</definedName>
    <definedName name="T13_Factor">#REF!</definedName>
    <definedName name="T13_Product">#REF!</definedName>
    <definedName name="T1A_Product">#REF!</definedName>
    <definedName name="T1a_Rate">#REF!</definedName>
    <definedName name="T1a_VehType">#REF!</definedName>
    <definedName name="T1b1_MinPrem">#REF!</definedName>
    <definedName name="T1b1_Product">#REF!</definedName>
    <definedName name="T1b1_VehType">#REF!</definedName>
    <definedName name="T1b2_MinPrem">#REF!</definedName>
    <definedName name="T1b2_Product">#REF!</definedName>
    <definedName name="T1b2_VehType">#REF!</definedName>
    <definedName name="T1d_Amount">#REF!</definedName>
    <definedName name="T1d_Cover">#REF!</definedName>
    <definedName name="T1d_Product">#REF!</definedName>
    <definedName name="T1d_VehType">#REF!</definedName>
    <definedName name="T1e_Factor">#REF!</definedName>
    <definedName name="T1e_NCDProt">#REF!</definedName>
    <definedName name="T1e_Product">#REF!</definedName>
    <definedName name="T1f_Factor">#REF!</definedName>
    <definedName name="T1f_MinAmount">#REF!</definedName>
    <definedName name="T1f_Product">#REF!</definedName>
    <definedName name="T1f_VehAge">#REF!</definedName>
    <definedName name="T2_Age">#REF!</definedName>
    <definedName name="T2_Factor">#REF!</definedName>
    <definedName name="T2_Gender">#REF!</definedName>
    <definedName name="T2_Product">#REF!</definedName>
    <definedName name="T3_Emirate">#REF!</definedName>
    <definedName name="T3_Factor">#REF!</definedName>
    <definedName name="T3_Product">#REF!</definedName>
    <definedName name="T4_Factor">#REF!</definedName>
    <definedName name="T4_Product">#REF!</definedName>
    <definedName name="T4_SumInsured">#REF!</definedName>
    <definedName name="T4_VehAge">#REF!</definedName>
    <definedName name="T5_DefDeductible">#REF!</definedName>
    <definedName name="T5_Factor">#REF!</definedName>
    <definedName name="T5_HorsePower">#REF!</definedName>
    <definedName name="T5_Product">#REF!</definedName>
    <definedName name="T5_SelDeductible">#REF!</definedName>
    <definedName name="T5_SumInsured">#REF!</definedName>
    <definedName name="T6_Factor">#REF!</definedName>
    <definedName name="T6_NCD">#REF!</definedName>
    <definedName name="T6_Product">#REF!</definedName>
    <definedName name="T7_Factor">#REF!</definedName>
    <definedName name="T7_Nationality">#REF!</definedName>
    <definedName name="T7_Product">#REF!</definedName>
    <definedName name="T8_DrivingExp">#REF!</definedName>
    <definedName name="T8_Factor">#REF!</definedName>
    <definedName name="T8_Product">#REF!</definedName>
    <definedName name="T9_Factor">#REF!</definedName>
    <definedName name="T9_HorsePower">#REF!</definedName>
    <definedName name="T9_Product">#REF!</definedName>
    <definedName name="T9_VehType">#REF!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43" l="1"/>
  <c r="E5" i="43"/>
  <c r="C3" i="45"/>
  <c r="C14" i="45"/>
  <c r="C17" i="45"/>
  <c r="C21" i="45"/>
  <c r="C22" i="45"/>
  <c r="C23" i="45"/>
  <c r="N11" i="43"/>
  <c r="N14" i="43"/>
  <c r="B3" i="40"/>
  <c r="B2" i="40"/>
  <c r="N13" i="43"/>
  <c r="N12" i="43"/>
  <c r="N10" i="43"/>
  <c r="E11" i="43"/>
  <c r="B16" i="43"/>
  <c r="B15" i="43"/>
  <c r="G23" i="43"/>
  <c r="I23" i="43"/>
  <c r="H23" i="43"/>
  <c r="C13" i="47"/>
  <c r="E23" i="43"/>
  <c r="B17" i="43"/>
  <c r="B18" i="43"/>
  <c r="B19" i="43"/>
  <c r="B8" i="40"/>
  <c r="J23" i="43"/>
  <c r="F23" i="43"/>
  <c r="I16" i="43"/>
  <c r="I17" i="43"/>
  <c r="I18" i="43"/>
  <c r="I19" i="43"/>
  <c r="I15" i="43"/>
  <c r="B7" i="40"/>
  <c r="B6" i="40"/>
  <c r="B5" i="40"/>
  <c r="B4" i="40"/>
  <c r="C5" i="47"/>
  <c r="C8" i="47"/>
  <c r="C14" i="47"/>
  <c r="C9" i="47"/>
  <c r="C15" i="47"/>
  <c r="C10" i="47"/>
  <c r="C16" i="47"/>
  <c r="C17" i="47"/>
  <c r="J15" i="43"/>
  <c r="J16" i="43"/>
  <c r="J17" i="43"/>
  <c r="J18" i="43"/>
  <c r="J19" i="43"/>
  <c r="C9" i="45"/>
  <c r="C20" i="45"/>
  <c r="C8" i="45"/>
  <c r="C19" i="45"/>
  <c r="C7" i="45"/>
  <c r="C18" i="45"/>
  <c r="C14" i="43"/>
  <c r="D14" i="43"/>
  <c r="G16" i="43"/>
  <c r="G17" i="43"/>
  <c r="G18" i="43"/>
  <c r="G19" i="43"/>
  <c r="F16" i="43"/>
  <c r="F17" i="43"/>
  <c r="F18" i="43"/>
  <c r="F19" i="43"/>
  <c r="C19" i="43"/>
  <c r="E10" i="43"/>
  <c r="C17" i="43"/>
  <c r="C18" i="43"/>
  <c r="C15" i="43"/>
  <c r="C16" i="43"/>
  <c r="D19" i="43"/>
  <c r="C7" i="47"/>
  <c r="C6" i="47"/>
  <c r="C4" i="47"/>
  <c r="C10" i="45"/>
  <c r="C6" i="45"/>
  <c r="C16" i="45"/>
  <c r="C5" i="45"/>
  <c r="C15" i="45"/>
  <c r="C4" i="45"/>
  <c r="D16" i="43"/>
  <c r="D18" i="43"/>
  <c r="D15" i="43"/>
  <c r="D17" i="43"/>
  <c r="E3" i="43"/>
  <c r="C3" i="47"/>
</calcChain>
</file>

<file path=xl/sharedStrings.xml><?xml version="1.0" encoding="utf-8"?>
<sst xmlns="http://schemas.openxmlformats.org/spreadsheetml/2006/main" count="137" uniqueCount="93">
  <si>
    <t>Skye Attribute Value</t>
  </si>
  <si>
    <t>Is optional</t>
  </si>
  <si>
    <t>Should trigger</t>
  </si>
  <si>
    <t>Skye Parameter Name</t>
  </si>
  <si>
    <t>Skye Parameter Value</t>
  </si>
  <si>
    <t>Skye Attribute Name</t>
  </si>
  <si>
    <t>Skye attribute Value#2</t>
  </si>
  <si>
    <t>Skye attribute Value#3</t>
  </si>
  <si>
    <t>Skye attribute Value#4</t>
  </si>
  <si>
    <t>Skye attribute Value#5</t>
  </si>
  <si>
    <t>Skye attribute Value#6</t>
  </si>
  <si>
    <t>Skye attribute Value#7</t>
  </si>
  <si>
    <t>Skye attribute Value#8</t>
  </si>
  <si>
    <t>Skye attribute Value#9</t>
  </si>
  <si>
    <t>Skye attribute Value#10</t>
  </si>
  <si>
    <t>Customer.DateOfBirth</t>
  </si>
  <si>
    <t>Customer.DrivingExperience</t>
  </si>
  <si>
    <t>Vehicle.SumInsured</t>
  </si>
  <si>
    <t>Vehicle.EmirateOfRegistration</t>
  </si>
  <si>
    <t>Product.GoldCourtesyCarCashB</t>
  </si>
  <si>
    <t>Product.TPLRoadSideA</t>
  </si>
  <si>
    <t>Product.GoldPersonalAccDriver</t>
  </si>
  <si>
    <t>Product.TPLPersonalAccDriver</t>
  </si>
  <si>
    <t>Product.GoldRepairCondition</t>
  </si>
  <si>
    <t>Product.TPLPrice</t>
  </si>
  <si>
    <t>Product.GoldPrice</t>
  </si>
  <si>
    <t>Pricing factors</t>
  </si>
  <si>
    <t>Age</t>
  </si>
  <si>
    <t>Driving Experience</t>
  </si>
  <si>
    <t>Values:</t>
  </si>
  <si>
    <t>Driving experience</t>
  </si>
  <si>
    <t>0-6 months</t>
  </si>
  <si>
    <t>6-12 months</t>
  </si>
  <si>
    <t>More than 1 year</t>
  </si>
  <si>
    <t>Sum Insured</t>
  </si>
  <si>
    <t>Emirate of registration</t>
  </si>
  <si>
    <t>Courtesy Car Cash Benefit</t>
  </si>
  <si>
    <t>Personal Accident for driver</t>
  </si>
  <si>
    <t>Personal accident for driver and passenger</t>
  </si>
  <si>
    <t>Repair condition</t>
  </si>
  <si>
    <t>Premium Garage Network</t>
  </si>
  <si>
    <t>Other</t>
  </si>
  <si>
    <t>Age Calculation</t>
  </si>
  <si>
    <t>Date of birth</t>
  </si>
  <si>
    <t>Today</t>
  </si>
  <si>
    <t>Person factor</t>
  </si>
  <si>
    <t>Sum Insured Factor</t>
  </si>
  <si>
    <t>Emirate of registration factor</t>
  </si>
  <si>
    <t>Base Premium</t>
  </si>
  <si>
    <t>Personal accident for driver</t>
  </si>
  <si>
    <t>With Extra Covers</t>
  </si>
  <si>
    <t>Gold Premium</t>
  </si>
  <si>
    <t>Road Side Assistance</t>
  </si>
  <si>
    <t>TPL total</t>
  </si>
  <si>
    <t>Product.PolicyStartDate</t>
  </si>
  <si>
    <t>Product.PolicyEndDate</t>
  </si>
  <si>
    <t>Policy Start Date factor</t>
  </si>
  <si>
    <t>Policy Start Date</t>
  </si>
  <si>
    <t>Explanation</t>
  </si>
  <si>
    <t>Pricing factors (AED)</t>
  </si>
  <si>
    <t>Personal accident (driver)</t>
  </si>
  <si>
    <t>Personal acc (D + Passenger)</t>
  </si>
  <si>
    <t>Base Premium values</t>
  </si>
  <si>
    <t>Car price (Sum insured)</t>
  </si>
  <si>
    <t>Prices used based on the policy start date</t>
  </si>
  <si>
    <t>Technical row</t>
  </si>
  <si>
    <t>1900.01.00</t>
  </si>
  <si>
    <t xml:space="preserve">Start date </t>
  </si>
  <si>
    <t>End date</t>
  </si>
  <si>
    <t>Today + 2 months to 4 months -1 day</t>
  </si>
  <si>
    <t>Today + 4 months to 6 months -1 day</t>
  </si>
  <si>
    <t>Today to 2 months - 1 day from now</t>
  </si>
  <si>
    <t>Today + 6 months to 1 year- 1 day</t>
  </si>
  <si>
    <t>Today + 1 year to 2 year- 1 day</t>
  </si>
  <si>
    <t>Start Date ranges</t>
  </si>
  <si>
    <t>Is the Policy date between?</t>
  </si>
  <si>
    <t>Product.GoldPersonalAccDP</t>
  </si>
  <si>
    <t>Product.TPLPersonalAccDP</t>
  </si>
  <si>
    <t>Product.CourtesyCarCashBValue</t>
  </si>
  <si>
    <t>Product.PersonalAccDriverValue</t>
  </si>
  <si>
    <t>Product.PersonalAccDPValue</t>
  </si>
  <si>
    <t>Product.RoadSideAValue</t>
  </si>
  <si>
    <t>Personal acc (Passenger)</t>
  </si>
  <si>
    <t>Personal Acc (Passengers)</t>
  </si>
  <si>
    <t>Product.PersonalAccPassengerValue</t>
  </si>
  <si>
    <t>specificationMapping.SeatNumber</t>
  </si>
  <si>
    <t>Product.PolicyDuration</t>
  </si>
  <si>
    <t>Premium adjusted by policy duration</t>
  </si>
  <si>
    <t>TPL price</t>
  </si>
  <si>
    <t>Gold price</t>
  </si>
  <si>
    <t>Policy duration</t>
  </si>
  <si>
    <t>Adjusted TPL premium</t>
  </si>
  <si>
    <t>Adjusted Gold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</si>
</sst>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yyyy\.mm\.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Montserrat"/>
    </font>
    <font>
      <b/>
      <sz val="11"/>
      <color theme="1"/>
      <name val="Calibri"/>
      <family val="2"/>
      <scheme val="minor"/>
    </font>
    <font>
      <b/>
      <sz val="9"/>
      <color theme="1" tint="0.14999847407452621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0" fillId="2" borderId="0" xfId="0" applyFill="1" applyAlignment="1"/>
    <xf numFmtId="0" fontId="0" fillId="0" borderId="1" xfId="0" applyBorder="1"/>
    <xf numFmtId="0" fontId="2" fillId="3" borderId="1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0" fontId="3" fillId="0" borderId="0" xfId="0" applyFont="1"/>
    <xf numFmtId="14" fontId="0" fillId="0" borderId="1" xfId="0" applyNumberFormat="1" applyBorder="1"/>
    <xf numFmtId="0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3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165" fontId="0" fillId="0" borderId="7" xfId="0" applyNumberFormat="1" applyFont="1" applyBorder="1"/>
    <xf numFmtId="165" fontId="0" fillId="0" borderId="7" xfId="0" applyNumberFormat="1" applyBorder="1"/>
    <xf numFmtId="165" fontId="0" fillId="0" borderId="7" xfId="0" applyNumberFormat="1" applyFont="1" applyBorder="1" applyAlignment="1">
      <alignment horizontal="right"/>
    </xf>
    <xf numFmtId="165" fontId="0" fillId="0" borderId="1" xfId="0" applyNumberFormat="1" applyFont="1" applyBorder="1" applyAlignment="1">
      <alignment horizontal="right"/>
    </xf>
    <xf numFmtId="165" fontId="0" fillId="0" borderId="1" xfId="0" applyNumberFormat="1" applyBorder="1"/>
    <xf numFmtId="165" fontId="0" fillId="0" borderId="1" xfId="0" applyNumberFormat="1" applyFont="1" applyBorder="1"/>
    <xf numFmtId="165" fontId="0" fillId="0" borderId="10" xfId="0" applyNumberFormat="1" applyFont="1" applyBorder="1" applyAlignment="1">
      <alignment horizontal="right"/>
    </xf>
    <xf numFmtId="0" fontId="0" fillId="0" borderId="9" xfId="0" applyBorder="1"/>
    <xf numFmtId="0" fontId="3" fillId="0" borderId="10" xfId="0" applyFont="1" applyBorder="1"/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8" xfId="0" applyFont="1" applyFill="1" applyBorder="1" applyAlignment="1">
      <alignment horizontal="center" vertical="center" wrapText="1"/>
    </xf>
    <xf numFmtId="0" fontId="0" fillId="0" borderId="8" xfId="0" applyFont="1" applyFill="1" applyBorder="1"/>
    <xf numFmtId="0" fontId="0" fillId="0" borderId="1" xfId="0" applyNumberFormat="1" applyFont="1" applyBorder="1" applyAlignment="1">
      <alignment horizontal="right"/>
    </xf>
    <xf numFmtId="0" fontId="0" fillId="0" borderId="2" xfId="0" applyBorder="1"/>
    <xf numFmtId="0" fontId="3" fillId="0" borderId="2" xfId="0" applyFont="1" applyBorder="1" applyAlignment="1">
      <alignment horizontal="center" vertical="center" wrapText="1"/>
    </xf>
    <xf numFmtId="0" fontId="0" fillId="0" borderId="2" xfId="0" applyFont="1" applyBorder="1"/>
    <xf numFmtId="0" fontId="3" fillId="0" borderId="2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IV20"/>
  <sheetViews>
    <sheetView showGridLines="0" tabSelected="1" workbookViewId="0">
      <selection activeCell="B18" sqref="B18"/>
    </sheetView>
  </sheetViews>
  <sheetFormatPr defaultColWidth="8.88671875" defaultRowHeight="14.4" x14ac:dyDescent="0.3"/>
  <cols>
    <col min="1" max="1" width="52.6640625" style="2" bestFit="1" customWidth="1"/>
    <col min="2" max="2" width="14" style="2" customWidth="1"/>
    <col min="3" max="3" width="18.88671875" style="2" bestFit="1" customWidth="1"/>
    <col min="4" max="4" width="33.44140625" style="2" bestFit="1" customWidth="1"/>
    <col min="5" max="13" width="13.5546875" style="2" bestFit="1" customWidth="1"/>
  </cols>
  <sheetData>
    <row r="1" spans="1:256" ht="42.6" customHeight="1" x14ac:dyDescent="0.3">
      <c r="A1" s="3" t="s">
        <v>5</v>
      </c>
      <c r="B1" s="3" t="s">
        <v>1</v>
      </c>
      <c r="C1" s="3" t="s">
        <v>2</v>
      </c>
      <c r="D1" s="3" t="s">
        <v>0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x14ac:dyDescent="0.3">
      <c r="A2" s="2" t="s">
        <v>15</v>
      </c>
      <c r="B2" s="2" t="b">
        <v>0</v>
      </c>
      <c r="C2" s="2" t="b">
        <v>1</v>
      </c>
      <c r="D2" s="8"/>
    </row>
    <row r="3" spans="1:256" x14ac:dyDescent="0.3">
      <c r="A3" s="2" t="s">
        <v>16</v>
      </c>
      <c r="B3" s="2" t="b">
        <v>0</v>
      </c>
      <c r="C3" s="2" t="b">
        <v>1</v>
      </c>
    </row>
    <row r="4" spans="1:256" x14ac:dyDescent="0.3">
      <c r="A4" s="2" t="s">
        <v>17</v>
      </c>
      <c r="B4" s="2" t="b">
        <v>0</v>
      </c>
      <c r="C4" s="2" t="b">
        <v>1</v>
      </c>
    </row>
    <row r="5" spans="1:256" x14ac:dyDescent="0.3">
      <c r="A5" s="2" t="s">
        <v>18</v>
      </c>
      <c r="B5" s="2" t="b">
        <v>0</v>
      </c>
      <c r="C5" s="2" t="b">
        <v>1</v>
      </c>
    </row>
    <row r="6" spans="1:256" x14ac:dyDescent="0.3">
      <c r="A6" s="2" t="s">
        <v>19</v>
      </c>
      <c r="B6" s="2" t="b">
        <v>1</v>
      </c>
      <c r="C6" s="2" t="b">
        <v>1</v>
      </c>
    </row>
    <row r="7" spans="1:256" x14ac:dyDescent="0.3">
      <c r="A7" s="2" t="s">
        <v>20</v>
      </c>
      <c r="B7" s="2" t="b">
        <v>1</v>
      </c>
      <c r="C7" s="2" t="b">
        <v>1</v>
      </c>
    </row>
    <row r="8" spans="1:256" x14ac:dyDescent="0.3">
      <c r="A8" s="2" t="s">
        <v>21</v>
      </c>
      <c r="B8" s="2" t="b">
        <v>1</v>
      </c>
      <c r="C8" s="2" t="b">
        <v>1</v>
      </c>
    </row>
    <row r="9" spans="1:256" x14ac:dyDescent="0.3">
      <c r="A9" s="2" t="s">
        <v>76</v>
      </c>
      <c r="B9" s="2" t="b">
        <v>1</v>
      </c>
      <c r="C9" s="2" t="b">
        <v>1</v>
      </c>
      <c r="G9" s="7"/>
    </row>
    <row r="10" spans="1:256" x14ac:dyDescent="0.3">
      <c r="A10" s="2" t="s">
        <v>77</v>
      </c>
      <c r="B10" s="2" t="b">
        <v>1</v>
      </c>
      <c r="C10" s="2" t="b">
        <v>1</v>
      </c>
    </row>
    <row r="11" spans="1:256" x14ac:dyDescent="0.3">
      <c r="A11" s="2" t="s">
        <v>22</v>
      </c>
      <c r="B11" s="2" t="b">
        <v>1</v>
      </c>
      <c r="C11" s="2" t="b">
        <v>1</v>
      </c>
    </row>
    <row r="12" spans="1:256" x14ac:dyDescent="0.3">
      <c r="A12" s="2" t="s">
        <v>23</v>
      </c>
      <c r="B12" s="2" t="b">
        <v>1</v>
      </c>
      <c r="C12" s="2" t="b">
        <v>1</v>
      </c>
    </row>
    <row r="13" spans="1:256" x14ac:dyDescent="0.3">
      <c r="A13" s="2" t="s">
        <v>54</v>
      </c>
      <c r="B13" s="2" t="b">
        <v>1</v>
      </c>
      <c r="C13" s="2" t="b">
        <v>1</v>
      </c>
      <c r="D13" s="7"/>
    </row>
    <row r="14" spans="1:256" x14ac:dyDescent="0.3">
      <c r="A14" s="2" t="s">
        <v>55</v>
      </c>
      <c r="B14" s="2" t="b">
        <v>1</v>
      </c>
      <c r="C14" s="2" t="b">
        <v>1</v>
      </c>
      <c r="D14" s="6"/>
    </row>
    <row r="15" spans="1:256" x14ac:dyDescent="0.3">
      <c r="A15" s="2" t="s">
        <v>85</v>
      </c>
      <c r="B15" s="2" t="b">
        <v>1</v>
      </c>
      <c r="C15" s="2" t="b">
        <v>1</v>
      </c>
    </row>
    <row r="16" spans="1:256" x14ac:dyDescent="0.3">
      <c r="A16" s="2" t="s">
        <v>86</v>
      </c>
      <c r="B16" s="2" t="b">
        <v>0</v>
      </c>
      <c r="C16" s="2" t="b">
        <v>1</v>
      </c>
    </row>
    <row r="20" spans="4:4" x14ac:dyDescent="0.3">
      <c r="D20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K8"/>
  <sheetViews>
    <sheetView showGridLines="0" workbookViewId="0">
      <selection activeCell="D8" sqref="D8"/>
    </sheetView>
  </sheetViews>
  <sheetFormatPr defaultColWidth="8.88671875" defaultRowHeight="14.4" x14ac:dyDescent="0.3"/>
  <cols>
    <col min="1" max="1" width="52.6640625" style="2" bestFit="1" customWidth="1"/>
    <col min="2" max="2" width="33.44140625" style="2" bestFit="1" customWidth="1"/>
    <col min="3" max="11" width="13.5546875" style="2" bestFit="1" customWidth="1"/>
  </cols>
  <sheetData>
    <row r="1" spans="1:11" ht="38.4" customHeight="1" x14ac:dyDescent="0.3">
      <c r="A1" s="3" t="s">
        <v>5</v>
      </c>
      <c r="B1" s="3" t="s">
        <v>0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</row>
    <row r="2" spans="1:11" x14ac:dyDescent="0.3">
      <c r="A2" s="2" t="s">
        <v>24</v>
      </c>
      <c r="B2" s="2" t="e">
        <f>Algorithm!N13</f>
        <v>#N/A</v>
      </c>
    </row>
    <row r="3" spans="1:11" x14ac:dyDescent="0.3">
      <c r="A3" s="2" t="s">
        <v>25</v>
      </c>
      <c r="B3" s="2">
        <f ca="1">Algorithm!N14</f>
        <v>0</v>
      </c>
    </row>
    <row r="4" spans="1:11" x14ac:dyDescent="0.3">
      <c r="A4" s="2" t="s">
        <v>78</v>
      </c>
      <c r="B4" s="2" t="e">
        <f ca="1">Algorithm!F23</f>
        <v>#N/A</v>
      </c>
    </row>
    <row r="5" spans="1:11" x14ac:dyDescent="0.3">
      <c r="A5" s="2" t="s">
        <v>79</v>
      </c>
      <c r="B5" s="2" t="e">
        <f ca="1">Algorithm!G23</f>
        <v>#N/A</v>
      </c>
    </row>
    <row r="6" spans="1:11" x14ac:dyDescent="0.3">
      <c r="A6" s="2" t="s">
        <v>80</v>
      </c>
      <c r="B6" s="2" t="e">
        <f ca="1">Algorithm!H23</f>
        <v>#N/A</v>
      </c>
    </row>
    <row r="7" spans="1:11" x14ac:dyDescent="0.3">
      <c r="A7" s="2" t="s">
        <v>81</v>
      </c>
      <c r="B7" s="2" t="e">
        <f ca="1">Algorithm!J23</f>
        <v>#N/A</v>
      </c>
    </row>
    <row r="8" spans="1:11" x14ac:dyDescent="0.3">
      <c r="A8" s="2" t="s">
        <v>84</v>
      </c>
      <c r="B8" s="2" t="e">
        <f ca="1">Algorithm!I23</f>
        <v>#N/A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/>
  </sheetPr>
  <dimension ref="A1:B1"/>
  <sheetViews>
    <sheetView showGridLines="0" workbookViewId="0">
      <selection activeCell="F41" sqref="F41"/>
    </sheetView>
  </sheetViews>
  <sheetFormatPr defaultRowHeight="14.4" x14ac:dyDescent="0.3"/>
  <cols>
    <col min="1" max="1" width="29.109375" style="2" bestFit="1" customWidth="1"/>
    <col min="2" max="2" width="28.88671875" style="2" bestFit="1" customWidth="1"/>
  </cols>
  <sheetData>
    <row r="1" spans="1:2" ht="30" customHeight="1" x14ac:dyDescent="0.3">
      <c r="A1" s="3" t="s">
        <v>3</v>
      </c>
      <c r="B1" s="3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N23"/>
  <sheetViews>
    <sheetView topLeftCell="B4" workbookViewId="0">
      <selection activeCell="N15" sqref="N15"/>
    </sheetView>
  </sheetViews>
  <sheetFormatPr defaultRowHeight="14.4" x14ac:dyDescent="0.3"/>
  <cols>
    <col min="2" max="3" width="15.5546875" bestFit="1" customWidth="1"/>
    <col min="4" max="4" width="15.5546875" customWidth="1"/>
    <col min="5" max="5" width="33" bestFit="1" customWidth="1"/>
    <col min="6" max="6" width="17" customWidth="1"/>
    <col min="7" max="7" width="16.33203125" customWidth="1"/>
    <col min="8" max="9" width="20.33203125" customWidth="1"/>
    <col min="10" max="10" width="15.77734375" customWidth="1"/>
    <col min="13" max="13" width="21.88671875" bestFit="1" customWidth="1"/>
    <col min="14" max="14" width="15.6640625" bestFit="1" customWidth="1"/>
  </cols>
  <sheetData>
    <row r="2" spans="2:14" x14ac:dyDescent="0.3">
      <c r="C2" s="42" t="s">
        <v>42</v>
      </c>
      <c r="D2" s="48"/>
      <c r="E2" s="49"/>
    </row>
    <row r="3" spans="2:14" x14ac:dyDescent="0.3">
      <c r="C3" s="2" t="s">
        <v>43</v>
      </c>
      <c r="D3" s="2"/>
      <c r="E3" s="6">
        <f>'Skye Lookup Input'!D2</f>
        <v>0</v>
      </c>
    </row>
    <row r="4" spans="2:14" x14ac:dyDescent="0.3">
      <c r="C4" s="2" t="s">
        <v>44</v>
      </c>
      <c r="D4" s="2"/>
      <c r="E4" s="6">
        <f ca="1">TODAY()</f>
        <v>43796</v>
      </c>
    </row>
    <row r="5" spans="2:14" x14ac:dyDescent="0.3">
      <c r="C5" s="2" t="s">
        <v>27</v>
      </c>
      <c r="D5" s="2"/>
      <c r="E5" s="2">
        <f ca="1">IFERROR(INT(YEARFRAC(E4,E3)),"")</f>
        <v>119</v>
      </c>
    </row>
    <row r="8" spans="2:14" ht="15" thickBot="1" x14ac:dyDescent="0.35"/>
    <row r="9" spans="2:14" x14ac:dyDescent="0.3">
      <c r="B9" s="37" t="s">
        <v>56</v>
      </c>
      <c r="C9" s="39"/>
      <c r="D9" s="39"/>
      <c r="E9" s="39"/>
      <c r="F9" s="39"/>
      <c r="G9" s="39"/>
      <c r="H9" s="39"/>
      <c r="I9" s="40"/>
      <c r="J9" s="38"/>
      <c r="K9" s="10"/>
      <c r="L9" s="10"/>
      <c r="M9" s="54" t="s">
        <v>87</v>
      </c>
      <c r="N9" s="54"/>
    </row>
    <row r="10" spans="2:14" x14ac:dyDescent="0.3">
      <c r="B10" s="50" t="s">
        <v>57</v>
      </c>
      <c r="C10" s="51"/>
      <c r="D10" s="9"/>
      <c r="E10" s="21">
        <f>'Skye Lookup Input'!D13</f>
        <v>0</v>
      </c>
      <c r="F10" s="2"/>
      <c r="G10" s="2"/>
      <c r="H10" s="2"/>
      <c r="I10" s="33"/>
      <c r="J10" s="15"/>
      <c r="M10" t="s">
        <v>88</v>
      </c>
      <c r="N10" t="e">
        <f>INT(TPL!C17)</f>
        <v>#N/A</v>
      </c>
    </row>
    <row r="11" spans="2:14" x14ac:dyDescent="0.3">
      <c r="B11" s="50" t="s">
        <v>44</v>
      </c>
      <c r="C11" s="51"/>
      <c r="D11" s="9"/>
      <c r="E11" s="22">
        <f ca="1">TODAY()</f>
        <v>43796</v>
      </c>
      <c r="F11" s="2"/>
      <c r="G11" s="2"/>
      <c r="H11" s="2"/>
      <c r="I11" s="33"/>
      <c r="J11" s="15"/>
      <c r="M11" t="s">
        <v>89</v>
      </c>
      <c r="N11">
        <f ca="1">INT(Gold!C23)</f>
        <v>1543</v>
      </c>
    </row>
    <row r="12" spans="2:14" x14ac:dyDescent="0.3">
      <c r="B12" s="52" t="s">
        <v>74</v>
      </c>
      <c r="C12" s="41"/>
      <c r="D12" s="41"/>
      <c r="E12" s="41"/>
      <c r="F12" s="41" t="s">
        <v>59</v>
      </c>
      <c r="G12" s="41"/>
      <c r="H12" s="41"/>
      <c r="I12" s="42"/>
      <c r="J12" s="43"/>
      <c r="M12" t="s">
        <v>90</v>
      </c>
      <c r="N12">
        <f>'Skye Lookup Input'!D16</f>
        <v>0</v>
      </c>
    </row>
    <row r="13" spans="2:14" ht="28.8" x14ac:dyDescent="0.3">
      <c r="B13" s="27" t="s">
        <v>67</v>
      </c>
      <c r="C13" s="28" t="s">
        <v>68</v>
      </c>
      <c r="D13" s="28" t="s">
        <v>75</v>
      </c>
      <c r="E13" s="28" t="s">
        <v>58</v>
      </c>
      <c r="F13" s="28" t="s">
        <v>36</v>
      </c>
      <c r="G13" s="28" t="s">
        <v>60</v>
      </c>
      <c r="H13" s="28" t="s">
        <v>61</v>
      </c>
      <c r="I13" s="34" t="s">
        <v>82</v>
      </c>
      <c r="J13" s="30" t="s">
        <v>52</v>
      </c>
      <c r="M13" s="55" t="s">
        <v>91</v>
      </c>
      <c r="N13" t="e">
        <f>(N10/12)*N12</f>
        <v>#N/A</v>
      </c>
    </row>
    <row r="14" spans="2:14" x14ac:dyDescent="0.3">
      <c r="B14" s="20" t="s">
        <v>66</v>
      </c>
      <c r="C14" s="21">
        <f ca="1">TODAY()-1</f>
        <v>43795</v>
      </c>
      <c r="D14" s="32" t="b">
        <f ca="1">IF(AND($E$23&gt;B14,$E$23&lt;C14),TRUE,FALSE)</f>
        <v>0</v>
      </c>
      <c r="E14" s="13" t="s">
        <v>65</v>
      </c>
      <c r="F14" s="13">
        <v>222</v>
      </c>
      <c r="G14" s="13">
        <v>126</v>
      </c>
      <c r="H14" s="13"/>
      <c r="I14" s="35">
        <v>30</v>
      </c>
      <c r="J14" s="31">
        <v>52</v>
      </c>
      <c r="M14" t="s">
        <v>92</v>
      </c>
      <c r="N14">
        <f ca="1">(N11/12)*N12</f>
        <v>0</v>
      </c>
    </row>
    <row r="15" spans="2:14" x14ac:dyDescent="0.3">
      <c r="B15" s="18">
        <f ca="1">E11</f>
        <v>43796</v>
      </c>
      <c r="C15" s="23">
        <f ca="1">EDATE(E11,2)-1</f>
        <v>43856</v>
      </c>
      <c r="D15" s="32" t="b">
        <f t="shared" ref="D15:D19" ca="1" si="0">IF(AND($E$23&gt;B15,$E$23&lt;C15),TRUE,FALSE)</f>
        <v>0</v>
      </c>
      <c r="E15" s="13" t="s">
        <v>71</v>
      </c>
      <c r="F15" s="13">
        <v>222</v>
      </c>
      <c r="G15" s="2">
        <v>126</v>
      </c>
      <c r="H15" s="2"/>
      <c r="I15" s="33">
        <f>INT(I14*1.1)</f>
        <v>33</v>
      </c>
      <c r="J15" s="15">
        <f>INT(J14*1.1)</f>
        <v>57</v>
      </c>
    </row>
    <row r="16" spans="2:14" x14ac:dyDescent="0.3">
      <c r="B16" s="19">
        <f ca="1">EDATE(E11,2)</f>
        <v>43857</v>
      </c>
      <c r="C16" s="22">
        <f ca="1">EDATE(E11,4)-1</f>
        <v>43916</v>
      </c>
      <c r="D16" s="32" t="b">
        <f ca="1">IF(AND($E$23&gt;B16,$E$23&lt;C16),TRUE,FALSE)</f>
        <v>0</v>
      </c>
      <c r="E16" s="2" t="s">
        <v>69</v>
      </c>
      <c r="F16" s="2">
        <f>INT(F15*1.1)</f>
        <v>244</v>
      </c>
      <c r="G16" s="2">
        <f>INT(G15*1.1)</f>
        <v>138</v>
      </c>
      <c r="H16" s="2"/>
      <c r="I16" s="33">
        <f t="shared" ref="I16:I19" si="1">INT(I15*1.1)</f>
        <v>36</v>
      </c>
      <c r="J16" s="15">
        <f t="shared" ref="J16:J19" si="2">INT(J15*1.1)</f>
        <v>62</v>
      </c>
    </row>
    <row r="17" spans="2:10" x14ac:dyDescent="0.3">
      <c r="B17" s="19">
        <f ca="1">EDATE(E11,4)</f>
        <v>43917</v>
      </c>
      <c r="C17" s="22">
        <f ca="1">EDATE(E11,6)-1</f>
        <v>43977</v>
      </c>
      <c r="D17" s="32" t="b">
        <f t="shared" ca="1" si="0"/>
        <v>0</v>
      </c>
      <c r="E17" s="2" t="s">
        <v>70</v>
      </c>
      <c r="F17" s="2">
        <f t="shared" ref="F17:F19" si="3">INT(F16*1.1)</f>
        <v>268</v>
      </c>
      <c r="G17" s="2">
        <f t="shared" ref="G17:G19" si="4">INT(G16*1.1)</f>
        <v>151</v>
      </c>
      <c r="H17" s="2"/>
      <c r="I17" s="33">
        <f t="shared" si="1"/>
        <v>39</v>
      </c>
      <c r="J17" s="15">
        <f t="shared" si="2"/>
        <v>68</v>
      </c>
    </row>
    <row r="18" spans="2:10" x14ac:dyDescent="0.3">
      <c r="B18" s="19">
        <f ca="1">EDATE(E11,6)</f>
        <v>43978</v>
      </c>
      <c r="C18" s="22">
        <f ca="1">EDATE(E11,12)-1</f>
        <v>44161</v>
      </c>
      <c r="D18" s="32" t="b">
        <f t="shared" ca="1" si="0"/>
        <v>0</v>
      </c>
      <c r="E18" s="2" t="s">
        <v>72</v>
      </c>
      <c r="F18" s="2">
        <f t="shared" si="3"/>
        <v>294</v>
      </c>
      <c r="G18" s="2">
        <f t="shared" si="4"/>
        <v>166</v>
      </c>
      <c r="H18" s="2"/>
      <c r="I18" s="33">
        <f t="shared" si="1"/>
        <v>42</v>
      </c>
      <c r="J18" s="15">
        <f t="shared" si="2"/>
        <v>74</v>
      </c>
    </row>
    <row r="19" spans="2:10" x14ac:dyDescent="0.3">
      <c r="B19" s="19">
        <f ca="1">EDATE(E11,12)</f>
        <v>44162</v>
      </c>
      <c r="C19" s="22">
        <f ca="1">EDATE(E11,24)-1</f>
        <v>44526</v>
      </c>
      <c r="D19" s="32" t="b">
        <f t="shared" ca="1" si="0"/>
        <v>0</v>
      </c>
      <c r="E19" s="2" t="s">
        <v>73</v>
      </c>
      <c r="F19" s="2">
        <f t="shared" si="3"/>
        <v>323</v>
      </c>
      <c r="G19" s="2">
        <f t="shared" si="4"/>
        <v>182</v>
      </c>
      <c r="H19" s="2"/>
      <c r="I19" s="33">
        <f t="shared" si="1"/>
        <v>46</v>
      </c>
      <c r="J19" s="15">
        <f t="shared" si="2"/>
        <v>81</v>
      </c>
    </row>
    <row r="20" spans="2:10" x14ac:dyDescent="0.3">
      <c r="B20" s="14"/>
      <c r="C20" s="2"/>
      <c r="D20" s="2"/>
      <c r="E20" s="2"/>
      <c r="F20" s="2"/>
      <c r="G20" s="2"/>
      <c r="H20" s="2"/>
      <c r="I20" s="33"/>
      <c r="J20" s="15"/>
    </row>
    <row r="21" spans="2:10" x14ac:dyDescent="0.3">
      <c r="B21" s="44" t="s">
        <v>64</v>
      </c>
      <c r="C21" s="45"/>
      <c r="D21" s="45"/>
      <c r="E21" s="45"/>
      <c r="F21" s="45"/>
      <c r="G21" s="45"/>
      <c r="H21" s="45"/>
      <c r="I21" s="46"/>
      <c r="J21" s="47"/>
    </row>
    <row r="22" spans="2:10" ht="28.8" x14ac:dyDescent="0.3">
      <c r="B22" s="14"/>
      <c r="C22" s="2"/>
      <c r="D22" s="2"/>
      <c r="E22" s="2"/>
      <c r="F22" s="29" t="s">
        <v>36</v>
      </c>
      <c r="G22" s="29" t="s">
        <v>60</v>
      </c>
      <c r="H22" s="29" t="s">
        <v>61</v>
      </c>
      <c r="I22" s="36" t="s">
        <v>83</v>
      </c>
      <c r="J22" s="30" t="s">
        <v>52</v>
      </c>
    </row>
    <row r="23" spans="2:10" ht="15" thickBot="1" x14ac:dyDescent="0.35">
      <c r="B23" s="25"/>
      <c r="C23" s="16"/>
      <c r="D23" s="26" t="s">
        <v>57</v>
      </c>
      <c r="E23" s="24">
        <f>'Skye Lookup Input'!D13</f>
        <v>0</v>
      </c>
      <c r="F23" s="16" t="e">
        <f ca="1">VLOOKUP(E23,B14:J19,5,TRUE)</f>
        <v>#N/A</v>
      </c>
      <c r="G23" s="16" t="e">
        <f ca="1">VLOOKUP(E23,B14:J19,6,TRUE)</f>
        <v>#N/A</v>
      </c>
      <c r="H23" s="16" t="e">
        <f ca="1">G23+(I23*'Skye Lookup Input'!D15)</f>
        <v>#N/A</v>
      </c>
      <c r="I23" s="16" t="e">
        <f ca="1">VLOOKUP(E23,B14:J19,8,TRUE)</f>
        <v>#N/A</v>
      </c>
      <c r="J23" s="17" t="e">
        <f ca="1">VLOOKUP(E23,B14:J19,9,TRUE)</f>
        <v>#N/A</v>
      </c>
    </row>
  </sheetData>
  <mergeCells count="8">
    <mergeCell ref="M9:N9"/>
    <mergeCell ref="B9:J9"/>
    <mergeCell ref="F12:J12"/>
    <mergeCell ref="B21:J21"/>
    <mergeCell ref="C2:E2"/>
    <mergeCell ref="B10:C10"/>
    <mergeCell ref="B11:C11"/>
    <mergeCell ref="B12:E12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R23"/>
  <sheetViews>
    <sheetView workbookViewId="0">
      <selection activeCell="F30" sqref="F30"/>
    </sheetView>
  </sheetViews>
  <sheetFormatPr defaultRowHeight="14.4" x14ac:dyDescent="0.3"/>
  <cols>
    <col min="2" max="2" width="38.33203125" bestFit="1" customWidth="1"/>
    <col min="11" max="11" width="20.5546875" bestFit="1" customWidth="1"/>
    <col min="12" max="12" width="23.5546875" bestFit="1" customWidth="1"/>
    <col min="13" max="13" width="11.5546875" bestFit="1" customWidth="1"/>
    <col min="14" max="14" width="15.5546875" bestFit="1" customWidth="1"/>
  </cols>
  <sheetData>
    <row r="2" spans="2:18" x14ac:dyDescent="0.3">
      <c r="B2" s="51" t="s">
        <v>26</v>
      </c>
      <c r="C2" s="51"/>
      <c r="K2" t="s">
        <v>29</v>
      </c>
    </row>
    <row r="3" spans="2:18" x14ac:dyDescent="0.3">
      <c r="B3" s="2" t="s">
        <v>27</v>
      </c>
      <c r="C3" s="2">
        <f ca="1">Algorithm!E5</f>
        <v>119</v>
      </c>
      <c r="K3" s="53" t="s">
        <v>30</v>
      </c>
      <c r="L3">
        <v>1</v>
      </c>
      <c r="M3">
        <v>2</v>
      </c>
      <c r="N3">
        <v>3</v>
      </c>
    </row>
    <row r="4" spans="2:18" x14ac:dyDescent="0.3">
      <c r="B4" s="2" t="s">
        <v>28</v>
      </c>
      <c r="C4" s="2">
        <f>'Skye Lookup Input'!D3</f>
        <v>0</v>
      </c>
      <c r="K4" s="53"/>
      <c r="L4" t="s">
        <v>31</v>
      </c>
      <c r="M4" t="s">
        <v>32</v>
      </c>
      <c r="N4" t="s">
        <v>33</v>
      </c>
    </row>
    <row r="5" spans="2:18" x14ac:dyDescent="0.3">
      <c r="B5" s="2" t="s">
        <v>34</v>
      </c>
      <c r="C5" s="2">
        <f>'Skye Lookup Input'!D4</f>
        <v>0</v>
      </c>
      <c r="K5" t="s">
        <v>35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</row>
    <row r="6" spans="2:18" x14ac:dyDescent="0.3">
      <c r="B6" s="2" t="s">
        <v>35</v>
      </c>
      <c r="C6" s="2">
        <f>'Skye Lookup Input'!D5</f>
        <v>0</v>
      </c>
      <c r="K6" s="53" t="s">
        <v>39</v>
      </c>
      <c r="L6">
        <v>1</v>
      </c>
      <c r="M6">
        <v>2</v>
      </c>
    </row>
    <row r="7" spans="2:18" x14ac:dyDescent="0.3">
      <c r="B7" s="2" t="s">
        <v>36</v>
      </c>
      <c r="C7" s="2">
        <f>'Skye Lookup Input'!D6</f>
        <v>0</v>
      </c>
      <c r="K7" s="53"/>
      <c r="L7" t="s">
        <v>40</v>
      </c>
      <c r="M7" t="s">
        <v>41</v>
      </c>
    </row>
    <row r="8" spans="2:18" x14ac:dyDescent="0.3">
      <c r="B8" s="2" t="s">
        <v>37</v>
      </c>
      <c r="C8" s="2">
        <f>'Skye Lookup Input'!D8</f>
        <v>0</v>
      </c>
    </row>
    <row r="9" spans="2:18" x14ac:dyDescent="0.3">
      <c r="B9" s="2" t="s">
        <v>38</v>
      </c>
      <c r="C9" s="2">
        <f>'Skye Lookup Input'!D9</f>
        <v>0</v>
      </c>
    </row>
    <row r="10" spans="2:18" x14ac:dyDescent="0.3">
      <c r="B10" s="2" t="s">
        <v>39</v>
      </c>
      <c r="C10" s="2">
        <f>'Skye Lookup Input'!D12</f>
        <v>0</v>
      </c>
    </row>
    <row r="14" spans="2:18" x14ac:dyDescent="0.3">
      <c r="B14" t="s">
        <v>45</v>
      </c>
      <c r="C14">
        <f ca="1">(5-C4)*125+IF(C3&lt;51,750,1000)</f>
        <v>1625</v>
      </c>
    </row>
    <row r="15" spans="2:18" x14ac:dyDescent="0.3">
      <c r="B15" t="s">
        <v>46</v>
      </c>
      <c r="C15">
        <f>C5/100</f>
        <v>0</v>
      </c>
    </row>
    <row r="16" spans="2:18" x14ac:dyDescent="0.3">
      <c r="B16" t="s">
        <v>47</v>
      </c>
      <c r="C16">
        <f>IF(C6&lt;5,0.95,1)</f>
        <v>0.95</v>
      </c>
    </row>
    <row r="17" spans="2:3" x14ac:dyDescent="0.3">
      <c r="B17" s="5" t="s">
        <v>48</v>
      </c>
      <c r="C17" s="5">
        <f ca="1">(C14+C15)*C16</f>
        <v>1543.75</v>
      </c>
    </row>
    <row r="18" spans="2:3" x14ac:dyDescent="0.3">
      <c r="B18" t="s">
        <v>36</v>
      </c>
      <c r="C18">
        <f>IF(C7=1,Algorithm!F23,0)</f>
        <v>0</v>
      </c>
    </row>
    <row r="19" spans="2:3" x14ac:dyDescent="0.3">
      <c r="B19" t="s">
        <v>49</v>
      </c>
      <c r="C19">
        <f>IF(C8=1,Algorithm!G23,0)</f>
        <v>0</v>
      </c>
    </row>
    <row r="20" spans="2:3" x14ac:dyDescent="0.3">
      <c r="B20" t="s">
        <v>38</v>
      </c>
      <c r="C20">
        <f>IF(C9=1,Algorithm!H23,0)</f>
        <v>0</v>
      </c>
    </row>
    <row r="21" spans="2:3" x14ac:dyDescent="0.3">
      <c r="B21" s="5" t="s">
        <v>50</v>
      </c>
      <c r="C21" s="5">
        <f ca="1">C17+C18+C19+C20</f>
        <v>1543.75</v>
      </c>
    </row>
    <row r="22" spans="2:3" x14ac:dyDescent="0.3">
      <c r="B22" t="s">
        <v>39</v>
      </c>
      <c r="C22">
        <f ca="1">IF(C10=1,C21*0.75,C21)</f>
        <v>1543.75</v>
      </c>
    </row>
    <row r="23" spans="2:3" x14ac:dyDescent="0.3">
      <c r="B23" s="5" t="s">
        <v>51</v>
      </c>
      <c r="C23" s="5">
        <f ca="1">C22</f>
        <v>1543.75</v>
      </c>
    </row>
  </sheetData>
  <mergeCells count="3">
    <mergeCell ref="K3:K4"/>
    <mergeCell ref="K6:K7"/>
    <mergeCell ref="B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R19"/>
  <sheetViews>
    <sheetView workbookViewId="0">
      <selection activeCell="C13" sqref="C13"/>
    </sheetView>
  </sheetViews>
  <sheetFormatPr defaultRowHeight="14.4" x14ac:dyDescent="0.3"/>
  <cols>
    <col min="2" max="2" width="38.33203125" bestFit="1" customWidth="1"/>
    <col min="11" max="11" width="20.5546875" bestFit="1" customWidth="1"/>
    <col min="12" max="12" width="23.5546875" bestFit="1" customWidth="1"/>
    <col min="13" max="13" width="11.5546875" bestFit="1" customWidth="1"/>
    <col min="14" max="14" width="15.5546875" bestFit="1" customWidth="1"/>
  </cols>
  <sheetData>
    <row r="2" spans="2:18" x14ac:dyDescent="0.3">
      <c r="B2" s="42" t="s">
        <v>26</v>
      </c>
      <c r="C2" s="49"/>
      <c r="K2" t="s">
        <v>29</v>
      </c>
    </row>
    <row r="3" spans="2:18" x14ac:dyDescent="0.3">
      <c r="B3" s="2" t="s">
        <v>27</v>
      </c>
      <c r="C3" s="2">
        <f ca="1">Algorithm!E5</f>
        <v>119</v>
      </c>
      <c r="K3" s="53" t="s">
        <v>30</v>
      </c>
      <c r="L3">
        <v>1</v>
      </c>
      <c r="M3">
        <v>2</v>
      </c>
      <c r="N3">
        <v>3</v>
      </c>
    </row>
    <row r="4" spans="2:18" x14ac:dyDescent="0.3">
      <c r="B4" s="2" t="s">
        <v>28</v>
      </c>
      <c r="C4" s="2">
        <f>'Skye Lookup Input'!D3</f>
        <v>0</v>
      </c>
      <c r="K4" s="53"/>
      <c r="L4" t="s">
        <v>31</v>
      </c>
      <c r="M4" t="s">
        <v>32</v>
      </c>
      <c r="N4" t="s">
        <v>33</v>
      </c>
    </row>
    <row r="5" spans="2:18" x14ac:dyDescent="0.3">
      <c r="B5" s="2" t="s">
        <v>34</v>
      </c>
      <c r="C5" s="2">
        <f>'Skye Lookup Input'!D4</f>
        <v>0</v>
      </c>
      <c r="K5" t="s">
        <v>35</v>
      </c>
      <c r="L5">
        <v>1</v>
      </c>
      <c r="M5">
        <v>2</v>
      </c>
      <c r="N5">
        <v>3</v>
      </c>
      <c r="O5">
        <v>4</v>
      </c>
      <c r="P5">
        <v>5</v>
      </c>
      <c r="Q5">
        <v>6</v>
      </c>
      <c r="R5">
        <v>7</v>
      </c>
    </row>
    <row r="6" spans="2:18" x14ac:dyDescent="0.3">
      <c r="B6" s="2" t="s">
        <v>35</v>
      </c>
      <c r="C6" s="2">
        <f>'Skye Lookup Input'!D5</f>
        <v>0</v>
      </c>
    </row>
    <row r="7" spans="2:18" x14ac:dyDescent="0.3">
      <c r="B7" s="2" t="s">
        <v>36</v>
      </c>
      <c r="C7" s="2">
        <f>'Skye Lookup Input'!D6</f>
        <v>0</v>
      </c>
    </row>
    <row r="8" spans="2:18" x14ac:dyDescent="0.3">
      <c r="B8" s="2" t="s">
        <v>37</v>
      </c>
      <c r="C8" s="2">
        <f>'Skye Lookup Input'!D11</f>
        <v>0</v>
      </c>
    </row>
    <row r="9" spans="2:18" x14ac:dyDescent="0.3">
      <c r="B9" s="2" t="s">
        <v>38</v>
      </c>
      <c r="C9" s="2">
        <f>'Skye Lookup Input'!D10</f>
        <v>0</v>
      </c>
    </row>
    <row r="10" spans="2:18" x14ac:dyDescent="0.3">
      <c r="B10" s="2" t="s">
        <v>52</v>
      </c>
      <c r="C10" s="2">
        <f>'Skye Lookup Input'!D7</f>
        <v>0</v>
      </c>
    </row>
    <row r="13" spans="2:18" x14ac:dyDescent="0.3">
      <c r="B13" s="5" t="s">
        <v>48</v>
      </c>
      <c r="C13" s="5" t="e">
        <f>VLOOKUP('Skye Lookup Input'!D4,TPL!K15:L19,2,TRUE)</f>
        <v>#N/A</v>
      </c>
      <c r="J13" s="11"/>
      <c r="K13" s="41" t="s">
        <v>62</v>
      </c>
      <c r="L13" s="41"/>
    </row>
    <row r="14" spans="2:18" x14ac:dyDescent="0.3">
      <c r="B14" t="s">
        <v>37</v>
      </c>
      <c r="C14">
        <f>IF(C8=1,Algorithm!G23,0)</f>
        <v>0</v>
      </c>
      <c r="K14" s="12" t="s">
        <v>63</v>
      </c>
      <c r="L14" s="12" t="s">
        <v>48</v>
      </c>
    </row>
    <row r="15" spans="2:18" x14ac:dyDescent="0.3">
      <c r="B15" t="s">
        <v>38</v>
      </c>
      <c r="C15">
        <f>IF(C9=1,Algorithm!H23,0)</f>
        <v>0</v>
      </c>
      <c r="K15" s="2">
        <v>100</v>
      </c>
      <c r="L15" s="2">
        <v>788</v>
      </c>
    </row>
    <row r="16" spans="2:18" x14ac:dyDescent="0.3">
      <c r="B16" t="s">
        <v>52</v>
      </c>
      <c r="C16">
        <f>IF(C10=1,Algorithm!J23,0)</f>
        <v>0</v>
      </c>
      <c r="K16" s="2">
        <v>100001</v>
      </c>
      <c r="L16" s="2">
        <v>998</v>
      </c>
    </row>
    <row r="17" spans="2:12" x14ac:dyDescent="0.3">
      <c r="B17" s="5" t="s">
        <v>53</v>
      </c>
      <c r="C17" s="5" t="e">
        <f>C13+C14+C15+C16</f>
        <v>#N/A</v>
      </c>
      <c r="K17" s="2">
        <v>150001</v>
      </c>
      <c r="L17" s="2">
        <v>1198</v>
      </c>
    </row>
    <row r="18" spans="2:12" x14ac:dyDescent="0.3">
      <c r="K18" s="2">
        <v>250001</v>
      </c>
      <c r="L18" s="2">
        <v>1398</v>
      </c>
    </row>
    <row r="19" spans="2:12" x14ac:dyDescent="0.3">
      <c r="K19" s="2">
        <v>300001</v>
      </c>
      <c r="L19" s="2">
        <v>1998</v>
      </c>
    </row>
  </sheetData>
  <mergeCells count="3">
    <mergeCell ref="K3:K4"/>
    <mergeCell ref="B2:C2"/>
    <mergeCell ref="K13:L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B3"/>
  <sheetViews>
    <sheetView workbookViewId="0">
      <selection activeCell="J39" sqref="J39"/>
    </sheetView>
  </sheetViews>
  <sheetFormatPr defaultRowHeight="14.4" x14ac:dyDescent="0.3"/>
  <sheetData>
    <row r="2" spans="2:2" x14ac:dyDescent="0.3">
      <c r="B2" t="b">
        <v>1</v>
      </c>
    </row>
    <row r="3" spans="2:2" x14ac:dyDescent="0.3">
      <c r="B3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Skye Lookup Input</vt:lpstr>
      <vt:lpstr>Skye Lookup Output</vt:lpstr>
      <vt:lpstr>Skye Lookup Grid Output</vt:lpstr>
      <vt:lpstr>Algorithm</vt:lpstr>
      <vt:lpstr>Gold</vt:lpstr>
      <vt:lpstr>TPL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sleiman smaili</dc:creator>
  <cp:lastModifiedBy>User</cp:lastModifiedBy>
  <cp:lastPrinted>2012-09-11T10:19:21Z</cp:lastPrinted>
  <dcterms:created xsi:type="dcterms:W3CDTF">2012-05-07T12:07:55Z</dcterms:created>
  <dcterms:modified xsi:type="dcterms:W3CDTF">2019-11-27T09:45:18Z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