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in\PycharmProjects\baseball\football pycharm files\"/>
    </mc:Choice>
  </mc:AlternateContent>
  <xr:revisionPtr revIDLastSave="0" documentId="13_ncr:1_{665D3813-D7CD-426D-893A-D4A29E6370A4}" xr6:coauthVersionLast="47" xr6:coauthVersionMax="47" xr10:uidLastSave="{00000000-0000-0000-0000-000000000000}"/>
  <bookViews>
    <workbookView xWindow="28680" yWindow="-120" windowWidth="29040" windowHeight="15720" tabRatio="837" activeTab="1" xr2:uid="{2020ADDC-3671-4066-867F-638153A511F0}"/>
  </bookViews>
  <sheets>
    <sheet name="Sheet1" sheetId="1" r:id="rId1"/>
    <sheet name="week 12" sheetId="15" r:id="rId2"/>
    <sheet name="picks" sheetId="7" r:id="rId3"/>
  </sheets>
  <externalReferences>
    <externalReference r:id="rId4"/>
  </externalReferences>
  <definedNames>
    <definedName name="_xlnm.Print_Area" localSheetId="2">picks!$A$1:$M$29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3" i="15" l="1"/>
  <c r="AB43" i="15"/>
  <c r="AR42" i="15"/>
  <c r="AB42" i="15"/>
  <c r="AR41" i="15"/>
  <c r="AR40" i="15"/>
  <c r="AB40" i="15"/>
  <c r="AR39" i="15"/>
  <c r="AB39" i="15"/>
  <c r="AR38" i="15"/>
  <c r="AR37" i="15"/>
  <c r="AB37" i="15"/>
  <c r="AR36" i="15"/>
  <c r="AB36" i="15"/>
  <c r="AR35" i="15"/>
  <c r="AR34" i="15"/>
  <c r="AB34" i="15"/>
  <c r="AR33" i="15"/>
  <c r="AB33" i="15"/>
  <c r="AR32" i="15"/>
  <c r="AR31" i="15"/>
  <c r="AB31" i="15"/>
  <c r="AR30" i="15"/>
  <c r="AB30" i="15"/>
  <c r="AR29" i="15"/>
  <c r="AR28" i="15"/>
  <c r="AB28" i="15"/>
  <c r="AR27" i="15"/>
  <c r="AB27" i="15"/>
  <c r="AR26" i="15"/>
  <c r="AR25" i="15"/>
  <c r="AB25" i="15"/>
  <c r="AR24" i="15"/>
  <c r="AB24" i="15"/>
  <c r="AR23" i="15"/>
  <c r="AR22" i="15"/>
  <c r="AB22" i="15"/>
  <c r="AR21" i="15"/>
  <c r="AB21" i="15"/>
  <c r="AR20" i="15"/>
  <c r="AR19" i="15"/>
  <c r="AB19" i="15"/>
  <c r="AR18" i="15"/>
  <c r="AB18" i="15"/>
  <c r="AR17" i="15"/>
  <c r="AR16" i="15"/>
  <c r="AB16" i="15"/>
  <c r="AR15" i="15"/>
  <c r="AB15" i="15"/>
  <c r="AR14" i="15"/>
  <c r="AR13" i="15"/>
  <c r="AB13" i="15"/>
  <c r="AR12" i="15"/>
  <c r="AB12" i="15"/>
  <c r="AR11" i="15"/>
  <c r="AR10" i="15"/>
  <c r="AB10" i="15"/>
  <c r="AR9" i="15"/>
  <c r="AB9" i="15"/>
  <c r="AR8" i="15"/>
  <c r="AR7" i="15"/>
  <c r="AB7" i="15"/>
  <c r="AR6" i="15"/>
  <c r="AB6" i="15"/>
  <c r="AR5" i="15"/>
  <c r="AR4" i="15"/>
  <c r="AB4" i="15"/>
  <c r="AR3" i="15"/>
  <c r="AB3" i="15"/>
  <c r="AI42" i="15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J10" i="7"/>
  <c r="J4" i="7"/>
  <c r="B20" i="7"/>
  <c r="B15" i="7"/>
  <c r="B19" i="7"/>
  <c r="J24" i="7"/>
  <c r="J20" i="7"/>
  <c r="B9" i="7"/>
  <c r="F5" i="7"/>
  <c r="B14" i="7"/>
  <c r="K25" i="7"/>
  <c r="J25" i="7"/>
  <c r="B5" i="7"/>
  <c r="J14" i="7"/>
  <c r="F29" i="7"/>
  <c r="B10" i="7"/>
  <c r="F14" i="7"/>
  <c r="B24" i="7"/>
  <c r="K24" i="7"/>
  <c r="G29" i="7"/>
  <c r="F10" i="7"/>
  <c r="F9" i="7"/>
  <c r="F24" i="7"/>
  <c r="F15" i="7"/>
  <c r="B4" i="7"/>
  <c r="F4" i="7"/>
  <c r="F30" i="7"/>
  <c r="J9" i="7"/>
  <c r="F25" i="7"/>
  <c r="F20" i="7"/>
  <c r="F19" i="7"/>
  <c r="G30" i="7"/>
  <c r="J15" i="7"/>
  <c r="J19" i="7"/>
  <c r="B25" i="7"/>
  <c r="J5" i="7"/>
  <c r="AA3" i="15" l="1"/>
  <c r="AD7" i="15"/>
  <c r="AD9" i="15"/>
  <c r="AE10" i="15"/>
  <c r="AE12" i="15"/>
  <c r="AI13" i="15"/>
  <c r="AI15" i="15"/>
  <c r="Z22" i="15"/>
  <c r="Z24" i="15"/>
  <c r="AA25" i="15"/>
  <c r="AA27" i="15"/>
  <c r="AD31" i="15"/>
  <c r="AD33" i="15"/>
  <c r="AE34" i="15"/>
  <c r="AE36" i="15"/>
  <c r="AI37" i="15"/>
  <c r="AI39" i="15"/>
  <c r="AD4" i="15"/>
  <c r="AD6" i="15"/>
  <c r="AE7" i="15"/>
  <c r="AE9" i="15"/>
  <c r="AI10" i="15"/>
  <c r="AI12" i="15"/>
  <c r="Z19" i="15"/>
  <c r="Z21" i="15"/>
  <c r="AA22" i="15"/>
  <c r="AA24" i="15"/>
  <c r="AD28" i="15"/>
  <c r="AD30" i="15"/>
  <c r="AE31" i="15"/>
  <c r="AE33" i="15"/>
  <c r="AI34" i="15"/>
  <c r="AI36" i="15"/>
  <c r="Z43" i="15"/>
  <c r="AD3" i="15"/>
  <c r="AE4" i="15"/>
  <c r="AE6" i="15"/>
  <c r="AI7" i="15"/>
  <c r="AI9" i="15"/>
  <c r="Z16" i="15"/>
  <c r="Z18" i="15"/>
  <c r="AA19" i="15"/>
  <c r="AA21" i="15"/>
  <c r="AD25" i="15"/>
  <c r="AD27" i="15"/>
  <c r="AE28" i="15"/>
  <c r="AE30" i="15"/>
  <c r="AI31" i="15"/>
  <c r="AI33" i="15"/>
  <c r="Z40" i="15"/>
  <c r="Z42" i="15"/>
  <c r="AA43" i="15"/>
  <c r="AE3" i="15"/>
  <c r="AI4" i="15"/>
  <c r="AI6" i="15"/>
  <c r="Z13" i="15"/>
  <c r="Z15" i="15"/>
  <c r="AA16" i="15"/>
  <c r="AA18" i="15"/>
  <c r="AD22" i="15"/>
  <c r="AD24" i="15"/>
  <c r="AE25" i="15"/>
  <c r="AE27" i="15"/>
  <c r="AI28" i="15"/>
  <c r="AI30" i="15"/>
  <c r="Z37" i="15"/>
  <c r="Z39" i="15"/>
  <c r="AA40" i="15"/>
  <c r="AA42" i="15"/>
  <c r="AI3" i="15"/>
  <c r="Z10" i="15"/>
  <c r="Z12" i="15"/>
  <c r="AA13" i="15"/>
  <c r="AA15" i="15"/>
  <c r="AD19" i="15"/>
  <c r="AD21" i="15"/>
  <c r="AE22" i="15"/>
  <c r="AE24" i="15"/>
  <c r="AI25" i="15"/>
  <c r="AI27" i="15"/>
  <c r="Z34" i="15"/>
  <c r="Z36" i="15"/>
  <c r="AA37" i="15"/>
  <c r="AA39" i="15"/>
  <c r="AD43" i="15"/>
  <c r="Z7" i="15"/>
  <c r="Z9" i="15"/>
  <c r="AA10" i="15"/>
  <c r="AA12" i="15"/>
  <c r="AD16" i="15"/>
  <c r="AD18" i="15"/>
  <c r="AE19" i="15"/>
  <c r="AE21" i="15"/>
  <c r="AI22" i="15"/>
  <c r="AI24" i="15"/>
  <c r="Z31" i="15"/>
  <c r="Z33" i="15"/>
  <c r="AA34" i="15"/>
  <c r="AA36" i="15"/>
  <c r="AD40" i="15"/>
  <c r="AD42" i="15"/>
  <c r="AE43" i="15"/>
  <c r="Z4" i="15"/>
  <c r="Z6" i="15"/>
  <c r="AA7" i="15"/>
  <c r="AA9" i="15"/>
  <c r="AD13" i="15"/>
  <c r="AD15" i="15"/>
  <c r="AE16" i="15"/>
  <c r="AG16" i="15" s="1"/>
  <c r="AE18" i="15"/>
  <c r="AI19" i="15"/>
  <c r="AI21" i="15"/>
  <c r="Z28" i="15"/>
  <c r="Z30" i="15"/>
  <c r="AA31" i="15"/>
  <c r="AA33" i="15"/>
  <c r="AD37" i="15"/>
  <c r="AD39" i="15"/>
  <c r="AE40" i="15"/>
  <c r="AE42" i="15"/>
  <c r="AI43" i="15"/>
  <c r="Z3" i="15"/>
  <c r="AA4" i="15"/>
  <c r="AA6" i="15"/>
  <c r="AD10" i="15"/>
  <c r="AD12" i="15"/>
  <c r="AE13" i="15"/>
  <c r="AE15" i="15"/>
  <c r="AG15" i="15" s="1"/>
  <c r="AI16" i="15"/>
  <c r="AI18" i="15"/>
  <c r="Z25" i="15"/>
  <c r="Z27" i="15"/>
  <c r="AA28" i="15"/>
  <c r="AA30" i="15"/>
  <c r="AD34" i="15"/>
  <c r="AD36" i="15"/>
  <c r="AE37" i="15"/>
  <c r="AE39" i="15"/>
  <c r="AI40" i="15"/>
  <c r="P43" i="15"/>
  <c r="Q40" i="15"/>
  <c r="J3" i="15"/>
  <c r="H4" i="15"/>
  <c r="G6" i="15"/>
  <c r="F7" i="15"/>
  <c r="Q7" i="15"/>
  <c r="K9" i="15"/>
  <c r="K10" i="15"/>
  <c r="I12" i="15"/>
  <c r="H13" i="15"/>
  <c r="F15" i="15"/>
  <c r="Q15" i="15"/>
  <c r="J18" i="15"/>
  <c r="H19" i="15"/>
  <c r="F21" i="15"/>
  <c r="F22" i="15"/>
  <c r="Q22" i="15"/>
  <c r="K24" i="15"/>
  <c r="J25" i="15"/>
  <c r="I27" i="15"/>
  <c r="H28" i="15"/>
  <c r="E30" i="15"/>
  <c r="Q30" i="15"/>
  <c r="J33" i="15"/>
  <c r="J34" i="15"/>
  <c r="I36" i="15"/>
  <c r="I37" i="15"/>
  <c r="H39" i="15"/>
  <c r="F40" i="15"/>
  <c r="E42" i="15"/>
  <c r="Q42" i="15"/>
  <c r="E43" i="15"/>
  <c r="Q43" i="15"/>
  <c r="K3" i="15"/>
  <c r="I4" i="15"/>
  <c r="H6" i="15"/>
  <c r="G7" i="15"/>
  <c r="P9" i="15"/>
  <c r="P10" i="15"/>
  <c r="J12" i="15"/>
  <c r="I13" i="15"/>
  <c r="G15" i="15"/>
  <c r="E16" i="15"/>
  <c r="P16" i="15"/>
  <c r="K18" i="15"/>
  <c r="I19" i="15"/>
  <c r="G21" i="15"/>
  <c r="G22" i="15"/>
  <c r="K25" i="15"/>
  <c r="J27" i="15"/>
  <c r="I28" i="15"/>
  <c r="F30" i="15"/>
  <c r="E31" i="15"/>
  <c r="P31" i="15"/>
  <c r="K33" i="15"/>
  <c r="K34" i="15"/>
  <c r="J36" i="15"/>
  <c r="J37" i="15"/>
  <c r="I39" i="15"/>
  <c r="G40" i="15"/>
  <c r="F42" i="15"/>
  <c r="F43" i="15"/>
  <c r="G42" i="15"/>
  <c r="G43" i="15"/>
  <c r="E3" i="15"/>
  <c r="P3" i="15"/>
  <c r="K4" i="15"/>
  <c r="J6" i="15"/>
  <c r="I7" i="15"/>
  <c r="F9" i="15"/>
  <c r="F10" i="15"/>
  <c r="K13" i="15"/>
  <c r="I15" i="15"/>
  <c r="G16" i="15"/>
  <c r="E18" i="15"/>
  <c r="P18" i="15"/>
  <c r="K19" i="15"/>
  <c r="I21" i="15"/>
  <c r="I22" i="15"/>
  <c r="F24" i="15"/>
  <c r="Q24" i="15"/>
  <c r="E25" i="15"/>
  <c r="Q25" i="15"/>
  <c r="K28" i="15"/>
  <c r="H30" i="15"/>
  <c r="G31" i="15"/>
  <c r="E33" i="15"/>
  <c r="Q33" i="15"/>
  <c r="E34" i="15"/>
  <c r="Q34" i="15"/>
  <c r="P36" i="15"/>
  <c r="P37" i="15"/>
  <c r="K39" i="15"/>
  <c r="I40" i="15"/>
  <c r="H42" i="15"/>
  <c r="H43" i="15"/>
  <c r="J4" i="15"/>
  <c r="H7" i="15"/>
  <c r="E9" i="15"/>
  <c r="E10" i="15"/>
  <c r="J13" i="15"/>
  <c r="F16" i="15"/>
  <c r="J19" i="15"/>
  <c r="H22" i="15"/>
  <c r="P25" i="15"/>
  <c r="J28" i="15"/>
  <c r="F31" i="15"/>
  <c r="Q31" i="15"/>
  <c r="R31" i="15" s="1"/>
  <c r="P33" i="15"/>
  <c r="P34" i="15"/>
  <c r="K37" i="15"/>
  <c r="F3" i="15"/>
  <c r="Q3" i="15"/>
  <c r="P4" i="15"/>
  <c r="K6" i="15"/>
  <c r="J7" i="15"/>
  <c r="G9" i="15"/>
  <c r="G10" i="15"/>
  <c r="E12" i="15"/>
  <c r="P12" i="15"/>
  <c r="J15" i="15"/>
  <c r="H16" i="15"/>
  <c r="F18" i="15"/>
  <c r="Q18" i="15"/>
  <c r="P19" i="15"/>
  <c r="J21" i="15"/>
  <c r="J22" i="15"/>
  <c r="G24" i="15"/>
  <c r="F25" i="15"/>
  <c r="E27" i="15"/>
  <c r="P27" i="15"/>
  <c r="I30" i="15"/>
  <c r="H31" i="15"/>
  <c r="F33" i="15"/>
  <c r="F34" i="15"/>
  <c r="E36" i="15"/>
  <c r="Q36" i="15"/>
  <c r="E37" i="15"/>
  <c r="Q37" i="15"/>
  <c r="J40" i="15"/>
  <c r="I42" i="15"/>
  <c r="I43" i="15"/>
  <c r="Q10" i="15"/>
  <c r="H15" i="15"/>
  <c r="Q16" i="15"/>
  <c r="H21" i="15"/>
  <c r="E24" i="15"/>
  <c r="K27" i="15"/>
  <c r="K36" i="15"/>
  <c r="G3" i="15"/>
  <c r="E4" i="15"/>
  <c r="Q4" i="15"/>
  <c r="P6" i="15"/>
  <c r="K7" i="15"/>
  <c r="H9" i="15"/>
  <c r="H10" i="15"/>
  <c r="F12" i="15"/>
  <c r="Q12" i="15"/>
  <c r="E13" i="15"/>
  <c r="P13" i="15"/>
  <c r="K15" i="15"/>
  <c r="I16" i="15"/>
  <c r="G18" i="15"/>
  <c r="E19" i="15"/>
  <c r="Q19" i="15"/>
  <c r="K21" i="15"/>
  <c r="K22" i="15"/>
  <c r="H24" i="15"/>
  <c r="G25" i="15"/>
  <c r="F27" i="15"/>
  <c r="Q27" i="15"/>
  <c r="R27" i="15" s="1"/>
  <c r="E28" i="15"/>
  <c r="P28" i="15"/>
  <c r="J30" i="15"/>
  <c r="I31" i="15"/>
  <c r="G33" i="15"/>
  <c r="G34" i="15"/>
  <c r="F36" i="15"/>
  <c r="F37" i="15"/>
  <c r="E39" i="15"/>
  <c r="K40" i="15"/>
  <c r="J42" i="15"/>
  <c r="J43" i="15"/>
  <c r="I6" i="15"/>
  <c r="Q9" i="15"/>
  <c r="R9" i="15" s="1"/>
  <c r="K12" i="15"/>
  <c r="P24" i="15"/>
  <c r="G30" i="15"/>
  <c r="J39" i="15"/>
  <c r="H3" i="15"/>
  <c r="F4" i="15"/>
  <c r="E6" i="15"/>
  <c r="Q6" i="15"/>
  <c r="I9" i="15"/>
  <c r="I10" i="15"/>
  <c r="G12" i="15"/>
  <c r="F13" i="15"/>
  <c r="Q13" i="15"/>
  <c r="J16" i="15"/>
  <c r="H18" i="15"/>
  <c r="F19" i="15"/>
  <c r="P21" i="15"/>
  <c r="I24" i="15"/>
  <c r="H25" i="15"/>
  <c r="G27" i="15"/>
  <c r="F28" i="15"/>
  <c r="Q28" i="15"/>
  <c r="K30" i="15"/>
  <c r="J31" i="15"/>
  <c r="H33" i="15"/>
  <c r="H34" i="15"/>
  <c r="G36" i="15"/>
  <c r="G37" i="15"/>
  <c r="F39" i="15"/>
  <c r="P39" i="15"/>
  <c r="P40" i="15"/>
  <c r="K42" i="15"/>
  <c r="K43" i="15"/>
  <c r="H40" i="15"/>
  <c r="I3" i="15"/>
  <c r="G4" i="15"/>
  <c r="F6" i="15"/>
  <c r="E7" i="15"/>
  <c r="P7" i="15"/>
  <c r="J9" i="15"/>
  <c r="J10" i="15"/>
  <c r="H12" i="15"/>
  <c r="G13" i="15"/>
  <c r="E15" i="15"/>
  <c r="P15" i="15"/>
  <c r="K16" i="15"/>
  <c r="I18" i="15"/>
  <c r="G19" i="15"/>
  <c r="E21" i="15"/>
  <c r="Q21" i="15"/>
  <c r="E22" i="15"/>
  <c r="P22" i="15"/>
  <c r="J24" i="15"/>
  <c r="I25" i="15"/>
  <c r="H27" i="15"/>
  <c r="G28" i="15"/>
  <c r="P30" i="15"/>
  <c r="K31" i="15"/>
  <c r="I33" i="15"/>
  <c r="I34" i="15"/>
  <c r="H36" i="15"/>
  <c r="H37" i="15"/>
  <c r="G39" i="15"/>
  <c r="Q39" i="15"/>
  <c r="E40" i="15"/>
  <c r="P42" i="15"/>
  <c r="AG4" i="15"/>
  <c r="F31" i="7"/>
  <c r="J26" i="7"/>
  <c r="R7" i="15" l="1"/>
  <c r="R40" i="15"/>
  <c r="R22" i="15"/>
  <c r="AG12" i="15"/>
  <c r="AG9" i="15"/>
  <c r="AG42" i="15"/>
  <c r="AG43" i="15"/>
  <c r="AG24" i="15"/>
  <c r="AG25" i="15"/>
  <c r="AG28" i="15"/>
  <c r="AG31" i="15"/>
  <c r="AG21" i="15"/>
  <c r="AG27" i="15"/>
  <c r="AG13" i="15"/>
  <c r="AG30" i="15"/>
  <c r="AG33" i="15"/>
  <c r="AG39" i="15"/>
  <c r="AG37" i="15"/>
  <c r="AG40" i="15"/>
  <c r="AG36" i="15"/>
  <c r="AG18" i="15"/>
  <c r="AG34" i="15"/>
  <c r="AG22" i="15"/>
  <c r="AG3" i="15"/>
  <c r="AG6" i="15"/>
  <c r="AG19" i="15"/>
  <c r="AG7" i="15"/>
  <c r="AG10" i="15"/>
  <c r="R36" i="15"/>
  <c r="R4" i="15"/>
  <c r="L7" i="15"/>
  <c r="L15" i="15"/>
  <c r="L22" i="15"/>
  <c r="M4" i="15"/>
  <c r="R21" i="15"/>
  <c r="V22" i="15" s="1"/>
  <c r="AM22" i="15" s="1"/>
  <c r="M25" i="15"/>
  <c r="L24" i="15"/>
  <c r="R43" i="15"/>
  <c r="L37" i="15"/>
  <c r="M24" i="15"/>
  <c r="R28" i="15"/>
  <c r="U28" i="15" s="1"/>
  <c r="L4" i="15"/>
  <c r="M42" i="15"/>
  <c r="L34" i="15"/>
  <c r="R13" i="15"/>
  <c r="R12" i="15"/>
  <c r="L30" i="15"/>
  <c r="L40" i="15"/>
  <c r="L28" i="15"/>
  <c r="M43" i="15"/>
  <c r="M34" i="15"/>
  <c r="M31" i="15"/>
  <c r="M7" i="15"/>
  <c r="L6" i="15"/>
  <c r="L13" i="15"/>
  <c r="L12" i="15"/>
  <c r="M21" i="15"/>
  <c r="L42" i="15"/>
  <c r="R10" i="15"/>
  <c r="L21" i="15"/>
  <c r="L36" i="15"/>
  <c r="R15" i="15"/>
  <c r="L39" i="15"/>
  <c r="L33" i="15"/>
  <c r="M39" i="15"/>
  <c r="M22" i="15"/>
  <c r="M18" i="15"/>
  <c r="L19" i="15"/>
  <c r="R42" i="15"/>
  <c r="M9" i="15"/>
  <c r="L9" i="15"/>
  <c r="R37" i="15"/>
  <c r="R25" i="15"/>
  <c r="M40" i="15"/>
  <c r="M27" i="15"/>
  <c r="L16" i="15"/>
  <c r="M3" i="15"/>
  <c r="L10" i="15"/>
  <c r="M28" i="15"/>
  <c r="R30" i="15"/>
  <c r="M10" i="15"/>
  <c r="M15" i="15"/>
  <c r="L27" i="15"/>
  <c r="R34" i="15"/>
  <c r="L25" i="15"/>
  <c r="R3" i="15"/>
  <c r="M36" i="15"/>
  <c r="M37" i="15"/>
  <c r="L31" i="15"/>
  <c r="M19" i="15"/>
  <c r="M6" i="15"/>
  <c r="R18" i="15"/>
  <c r="R39" i="15"/>
  <c r="M30" i="15"/>
  <c r="R6" i="15"/>
  <c r="R16" i="15"/>
  <c r="R24" i="15"/>
  <c r="M16" i="15"/>
  <c r="L3" i="15"/>
  <c r="M12" i="15"/>
  <c r="M33" i="15"/>
  <c r="M13" i="15"/>
  <c r="R19" i="15"/>
  <c r="L18" i="15"/>
  <c r="R33" i="15"/>
  <c r="L43" i="15"/>
  <c r="N15" i="15" l="1"/>
  <c r="N40" i="15"/>
  <c r="U4" i="15"/>
  <c r="W28" i="15"/>
  <c r="AK28" i="15" s="1"/>
  <c r="N7" i="15"/>
  <c r="N18" i="15"/>
  <c r="S18" i="15" s="1"/>
  <c r="V28" i="15"/>
  <c r="U22" i="15"/>
  <c r="N30" i="15"/>
  <c r="S30" i="15" s="1"/>
  <c r="N6" i="15"/>
  <c r="S6" i="15" s="1"/>
  <c r="N25" i="15"/>
  <c r="S25" i="15" s="1"/>
  <c r="N28" i="15"/>
  <c r="S28" i="15" s="1"/>
  <c r="N37" i="15"/>
  <c r="S37" i="15" s="1"/>
  <c r="N24" i="15"/>
  <c r="S24" i="15" s="1"/>
  <c r="N43" i="15"/>
  <c r="S43" i="15" s="1"/>
  <c r="AC22" i="15"/>
  <c r="AF22" i="15" s="1"/>
  <c r="AO22" i="15" s="1"/>
  <c r="N4" i="15"/>
  <c r="S4" i="15" s="1"/>
  <c r="U25" i="15"/>
  <c r="U43" i="15"/>
  <c r="U16" i="15"/>
  <c r="N22" i="15"/>
  <c r="S22" i="15" s="1"/>
  <c r="U13" i="15"/>
  <c r="W22" i="15"/>
  <c r="AK22" i="15" s="1"/>
  <c r="U34" i="15"/>
  <c r="N12" i="15"/>
  <c r="S12" i="15" s="1"/>
  <c r="N34" i="15"/>
  <c r="S34" i="15" s="1"/>
  <c r="N39" i="15"/>
  <c r="U39" i="15" s="1"/>
  <c r="N31" i="15"/>
  <c r="S31" i="15" s="1"/>
  <c r="N21" i="15"/>
  <c r="U21" i="15" s="1"/>
  <c r="U19" i="15"/>
  <c r="N42" i="15"/>
  <c r="U42" i="15" s="1"/>
  <c r="W13" i="15"/>
  <c r="AK13" i="15" s="1"/>
  <c r="V13" i="15"/>
  <c r="S40" i="15"/>
  <c r="S15" i="15"/>
  <c r="W7" i="15"/>
  <c r="AK7" i="15" s="1"/>
  <c r="V7" i="15"/>
  <c r="U7" i="15"/>
  <c r="W43" i="15"/>
  <c r="AK43" i="15" s="1"/>
  <c r="V43" i="15"/>
  <c r="N13" i="15"/>
  <c r="W12" i="15" s="1"/>
  <c r="AK12" i="15" s="1"/>
  <c r="W4" i="15"/>
  <c r="AK4" i="15" s="1"/>
  <c r="V4" i="15"/>
  <c r="N19" i="15"/>
  <c r="N10" i="15"/>
  <c r="V34" i="15"/>
  <c r="W34" i="15"/>
  <c r="AK34" i="15" s="1"/>
  <c r="N3" i="15"/>
  <c r="W19" i="15"/>
  <c r="AK19" i="15" s="1"/>
  <c r="V19" i="15"/>
  <c r="N9" i="15"/>
  <c r="V10" i="15"/>
  <c r="AM10" i="15" s="1"/>
  <c r="U10" i="15"/>
  <c r="W10" i="15"/>
  <c r="AK10" i="15" s="1"/>
  <c r="V40" i="15"/>
  <c r="W40" i="15"/>
  <c r="AK40" i="15" s="1"/>
  <c r="U37" i="15"/>
  <c r="V37" i="15"/>
  <c r="W37" i="15"/>
  <c r="AK37" i="15" s="1"/>
  <c r="W31" i="15"/>
  <c r="AK31" i="15" s="1"/>
  <c r="U31" i="15"/>
  <c r="V31" i="15"/>
  <c r="V16" i="15"/>
  <c r="W16" i="15"/>
  <c r="AK16" i="15" s="1"/>
  <c r="N33" i="15"/>
  <c r="N36" i="15"/>
  <c r="W25" i="15"/>
  <c r="AK25" i="15" s="1"/>
  <c r="V25" i="15"/>
  <c r="N27" i="15"/>
  <c r="U27" i="15" s="1"/>
  <c r="N16" i="15"/>
  <c r="AM28" i="15"/>
  <c r="AC28" i="15"/>
  <c r="AF28" i="15" s="1"/>
  <c r="AO28" i="15" s="1"/>
  <c r="U40" i="15"/>
  <c r="C15" i="7"/>
  <c r="G20" i="7"/>
  <c r="C20" i="7"/>
  <c r="C25" i="7"/>
  <c r="K20" i="7"/>
  <c r="C19" i="7"/>
  <c r="G14" i="7"/>
  <c r="G25" i="7"/>
  <c r="K9" i="7"/>
  <c r="G15" i="7"/>
  <c r="C5" i="7"/>
  <c r="C9" i="7"/>
  <c r="G9" i="7"/>
  <c r="G4" i="7"/>
  <c r="V6" i="15" l="1"/>
  <c r="AM6" i="15" s="1"/>
  <c r="S7" i="15"/>
  <c r="X6" i="15" s="1"/>
  <c r="Y6" i="15" s="1"/>
  <c r="V42" i="15"/>
  <c r="AM42" i="15" s="1"/>
  <c r="V15" i="15"/>
  <c r="AC10" i="15"/>
  <c r="AF10" i="15" s="1"/>
  <c r="AO10" i="15" s="1"/>
  <c r="W6" i="15"/>
  <c r="AK6" i="15" s="1"/>
  <c r="W18" i="15"/>
  <c r="AK18" i="15" s="1"/>
  <c r="W36" i="15"/>
  <c r="AK36" i="15" s="1"/>
  <c r="S42" i="15"/>
  <c r="X42" i="15" s="1"/>
  <c r="Y42" i="15" s="1"/>
  <c r="X43" i="15" s="1"/>
  <c r="Y43" i="15" s="1"/>
  <c r="U6" i="15"/>
  <c r="V18" i="15"/>
  <c r="AM18" i="15" s="1"/>
  <c r="V24" i="15"/>
  <c r="AM24" i="15" s="1"/>
  <c r="U24" i="15"/>
  <c r="V39" i="15"/>
  <c r="AC39" i="15" s="1"/>
  <c r="AF39" i="15" s="1"/>
  <c r="AO39" i="15" s="1"/>
  <c r="S21" i="15"/>
  <c r="W24" i="15"/>
  <c r="AK24" i="15" s="1"/>
  <c r="V12" i="15"/>
  <c r="AM12" i="15" s="1"/>
  <c r="W39" i="15"/>
  <c r="AK39" i="15" s="1"/>
  <c r="AM13" i="15"/>
  <c r="AC13" i="15"/>
  <c r="AF13" i="15" s="1"/>
  <c r="AO13" i="15" s="1"/>
  <c r="U30" i="15"/>
  <c r="W30" i="15"/>
  <c r="AK30" i="15" s="1"/>
  <c r="W15" i="15"/>
  <c r="AK15" i="15" s="1"/>
  <c r="W42" i="15"/>
  <c r="AK42" i="15" s="1"/>
  <c r="V21" i="15"/>
  <c r="AM21" i="15" s="1"/>
  <c r="V30" i="15"/>
  <c r="AM30" i="15" s="1"/>
  <c r="W21" i="15"/>
  <c r="AK21" i="15" s="1"/>
  <c r="X30" i="15"/>
  <c r="Y30" i="15" s="1"/>
  <c r="X31" i="15" s="1"/>
  <c r="Y31" i="15" s="1"/>
  <c r="S39" i="15"/>
  <c r="AM15" i="15"/>
  <c r="X24" i="15"/>
  <c r="Y24" i="15" s="1"/>
  <c r="X25" i="15" s="1"/>
  <c r="Y25" i="15" s="1"/>
  <c r="AM19" i="15"/>
  <c r="AC19" i="15"/>
  <c r="AF19" i="15" s="1"/>
  <c r="AO19" i="15" s="1"/>
  <c r="V9" i="15"/>
  <c r="AM9" i="15" s="1"/>
  <c r="U9" i="15"/>
  <c r="S10" i="15"/>
  <c r="U36" i="15"/>
  <c r="AM43" i="15"/>
  <c r="AC43" i="15"/>
  <c r="AF43" i="15" s="1"/>
  <c r="AO43" i="15" s="1"/>
  <c r="S3" i="15"/>
  <c r="V3" i="15"/>
  <c r="W3" i="15"/>
  <c r="AK3" i="15" s="1"/>
  <c r="U3" i="15"/>
  <c r="V27" i="15"/>
  <c r="S27" i="15"/>
  <c r="W27" i="15"/>
  <c r="AK27" i="15" s="1"/>
  <c r="AM37" i="15"/>
  <c r="AC37" i="15"/>
  <c r="AF37" i="15" s="1"/>
  <c r="AO37" i="15" s="1"/>
  <c r="AM34" i="15"/>
  <c r="AC34" i="15"/>
  <c r="AF34" i="15" s="1"/>
  <c r="AO34" i="15" s="1"/>
  <c r="AM7" i="15"/>
  <c r="AC7" i="15"/>
  <c r="AF7" i="15" s="1"/>
  <c r="AO7" i="15" s="1"/>
  <c r="AM40" i="15"/>
  <c r="AC40" i="15"/>
  <c r="AF40" i="15" s="1"/>
  <c r="AO40" i="15" s="1"/>
  <c r="S36" i="15"/>
  <c r="V36" i="15"/>
  <c r="S16" i="15"/>
  <c r="U15" i="15"/>
  <c r="AC15" i="15" s="1"/>
  <c r="AF15" i="15" s="1"/>
  <c r="AO15" i="15" s="1"/>
  <c r="V33" i="15"/>
  <c r="S33" i="15"/>
  <c r="X33" i="15" s="1"/>
  <c r="Y33" i="15" s="1"/>
  <c r="U33" i="15"/>
  <c r="W33" i="15"/>
  <c r="AK33" i="15" s="1"/>
  <c r="AM25" i="15"/>
  <c r="AC25" i="15"/>
  <c r="AF25" i="15" s="1"/>
  <c r="AO25" i="15" s="1"/>
  <c r="AM16" i="15"/>
  <c r="AC16" i="15"/>
  <c r="AF16" i="15" s="1"/>
  <c r="AO16" i="15" s="1"/>
  <c r="W9" i="15"/>
  <c r="AK9" i="15" s="1"/>
  <c r="S9" i="15"/>
  <c r="U18" i="15"/>
  <c r="S19" i="15"/>
  <c r="X18" i="15" s="1"/>
  <c r="Y18" i="15" s="1"/>
  <c r="U12" i="15"/>
  <c r="S13" i="15"/>
  <c r="X12" i="15" s="1"/>
  <c r="Y12" i="15" s="1"/>
  <c r="X13" i="15" s="1"/>
  <c r="Y13" i="15" s="1"/>
  <c r="AM31" i="15"/>
  <c r="AC31" i="15"/>
  <c r="AF31" i="15" s="1"/>
  <c r="AO31" i="15" s="1"/>
  <c r="AM4" i="15"/>
  <c r="AC4" i="15"/>
  <c r="AF4" i="15" s="1"/>
  <c r="AO4" i="15" s="1"/>
  <c r="AC42" i="15"/>
  <c r="AF42" i="15" s="1"/>
  <c r="AO42" i="15" s="1"/>
  <c r="G5" i="7"/>
  <c r="C14" i="7"/>
  <c r="K4" i="7"/>
  <c r="G24" i="7"/>
  <c r="K14" i="7"/>
  <c r="K19" i="7"/>
  <c r="K5" i="7"/>
  <c r="G10" i="7"/>
  <c r="C24" i="7"/>
  <c r="C4" i="7"/>
  <c r="G19" i="7"/>
  <c r="C10" i="7"/>
  <c r="K15" i="7"/>
  <c r="K10" i="7"/>
  <c r="AM39" i="15" l="1"/>
  <c r="X7" i="15"/>
  <c r="Y7" i="15" s="1"/>
  <c r="AC6" i="15"/>
  <c r="AF6" i="15" s="1"/>
  <c r="AO6" i="15" s="1"/>
  <c r="AC24" i="15"/>
  <c r="AF24" i="15" s="1"/>
  <c r="AO24" i="15" s="1"/>
  <c r="AC18" i="15"/>
  <c r="AF18" i="15" s="1"/>
  <c r="AO18" i="15" s="1"/>
  <c r="AC12" i="15"/>
  <c r="AF12" i="15" s="1"/>
  <c r="AO12" i="15" s="1"/>
  <c r="X3" i="15"/>
  <c r="Y3" i="15" s="1"/>
  <c r="X4" i="15" s="1"/>
  <c r="Y4" i="15" s="1"/>
  <c r="X39" i="15"/>
  <c r="Y39" i="15" s="1"/>
  <c r="X15" i="15"/>
  <c r="Y15" i="15" s="1"/>
  <c r="X36" i="15"/>
  <c r="Y36" i="15" s="1"/>
  <c r="X37" i="15" s="1"/>
  <c r="Y37" i="15" s="1"/>
  <c r="X27" i="15"/>
  <c r="Y27" i="15" s="1"/>
  <c r="X28" i="15" s="1"/>
  <c r="Y28" i="15" s="1"/>
  <c r="X21" i="15"/>
  <c r="Y21" i="15" s="1"/>
  <c r="X22" i="15" s="1"/>
  <c r="Y22" i="15" s="1"/>
  <c r="X32" i="15"/>
  <c r="Y32" i="15" s="1"/>
  <c r="W32" i="15" s="1"/>
  <c r="AC30" i="15"/>
  <c r="AF30" i="15" s="1"/>
  <c r="AO30" i="15" s="1"/>
  <c r="X26" i="15"/>
  <c r="Y26" i="15" s="1"/>
  <c r="W26" i="15" s="1"/>
  <c r="AC21" i="15"/>
  <c r="AF21" i="15" s="1"/>
  <c r="AO21" i="15" s="1"/>
  <c r="X16" i="15"/>
  <c r="Y16" i="15" s="1"/>
  <c r="X17" i="15"/>
  <c r="X19" i="15"/>
  <c r="Y19" i="15" s="1"/>
  <c r="AM36" i="15"/>
  <c r="AC36" i="15"/>
  <c r="AF36" i="15" s="1"/>
  <c r="AO36" i="15" s="1"/>
  <c r="AM3" i="15"/>
  <c r="AC3" i="15"/>
  <c r="AF3" i="15" s="1"/>
  <c r="AO3" i="15" s="1"/>
  <c r="X34" i="15"/>
  <c r="Y34" i="15" s="1"/>
  <c r="AK50" i="15"/>
  <c r="AK53" i="15"/>
  <c r="AK51" i="15"/>
  <c r="AK52" i="15"/>
  <c r="X14" i="15"/>
  <c r="Y14" i="15" s="1"/>
  <c r="AM33" i="15"/>
  <c r="AC33" i="15"/>
  <c r="AF33" i="15" s="1"/>
  <c r="AO33" i="15" s="1"/>
  <c r="AM27" i="15"/>
  <c r="AC27" i="15"/>
  <c r="AF27" i="15" s="1"/>
  <c r="AO27" i="15" s="1"/>
  <c r="X9" i="15"/>
  <c r="Y9" i="15" s="1"/>
  <c r="AC9" i="15"/>
  <c r="AF9" i="15" s="1"/>
  <c r="AO9" i="15" s="1"/>
  <c r="X44" i="15"/>
  <c r="X8" i="15"/>
  <c r="B21" i="7"/>
  <c r="F16" i="7"/>
  <c r="X29" i="15" l="1"/>
  <c r="Y29" i="15" s="1"/>
  <c r="W29" i="15" s="1"/>
  <c r="X38" i="15"/>
  <c r="Y38" i="15" s="1"/>
  <c r="X23" i="15"/>
  <c r="Y23" i="15" s="1"/>
  <c r="X40" i="15"/>
  <c r="Y40" i="15" s="1"/>
  <c r="X41" i="15"/>
  <c r="Y41" i="15" s="1"/>
  <c r="W41" i="15" s="1"/>
  <c r="W14" i="15"/>
  <c r="AM50" i="15"/>
  <c r="AM52" i="15"/>
  <c r="AM53" i="15"/>
  <c r="AM51" i="15"/>
  <c r="X35" i="15"/>
  <c r="Y44" i="15"/>
  <c r="W44" i="15" s="1"/>
  <c r="X5" i="15"/>
  <c r="X20" i="15"/>
  <c r="X10" i="15"/>
  <c r="Y10" i="15" s="1"/>
  <c r="AO52" i="15"/>
  <c r="AO53" i="15"/>
  <c r="AO50" i="15"/>
  <c r="AO51" i="15"/>
  <c r="Y17" i="15"/>
  <c r="W17" i="15" s="1"/>
  <c r="Y8" i="15"/>
  <c r="W8" i="15" s="1"/>
  <c r="J16" i="7"/>
  <c r="B26" i="7"/>
  <c r="F6" i="7"/>
  <c r="F11" i="7"/>
  <c r="F26" i="7"/>
  <c r="B11" i="7"/>
  <c r="AP52" i="15" l="1"/>
  <c r="W23" i="15"/>
  <c r="W38" i="15"/>
  <c r="AP50" i="15"/>
  <c r="AP53" i="15"/>
  <c r="Y35" i="15"/>
  <c r="W35" i="15" s="1"/>
  <c r="Y20" i="15"/>
  <c r="W20" i="15" s="1"/>
  <c r="X11" i="15"/>
  <c r="AP51" i="15"/>
  <c r="Y5" i="15"/>
  <c r="W5" i="15" s="1"/>
  <c r="B16" i="7"/>
  <c r="J21" i="7"/>
  <c r="J11" i="7"/>
  <c r="B6" i="7"/>
  <c r="F21" i="7"/>
  <c r="AP55" i="15" l="1"/>
  <c r="AP54" i="15"/>
  <c r="Y11" i="15"/>
  <c r="W11" i="15" s="1"/>
  <c r="J6" i="7"/>
</calcChain>
</file>

<file path=xl/sharedStrings.xml><?xml version="1.0" encoding="utf-8"?>
<sst xmlns="http://schemas.openxmlformats.org/spreadsheetml/2006/main" count="234" uniqueCount="122">
  <si>
    <t>Rk</t>
  </si>
  <si>
    <t>Tm</t>
  </si>
  <si>
    <t>G</t>
  </si>
  <si>
    <t>PF</t>
  </si>
  <si>
    <t>Yds</t>
  </si>
  <si>
    <t>Ply</t>
  </si>
  <si>
    <t>Y/P</t>
  </si>
  <si>
    <t>TO</t>
  </si>
  <si>
    <t>FL</t>
  </si>
  <si>
    <t>1stD</t>
  </si>
  <si>
    <t>Cmp</t>
  </si>
  <si>
    <t>Att</t>
  </si>
  <si>
    <t>TD</t>
  </si>
  <si>
    <t>Int</t>
  </si>
  <si>
    <t>NY/A</t>
  </si>
  <si>
    <t>Y/A</t>
  </si>
  <si>
    <t>Pen</t>
  </si>
  <si>
    <t>1stPy</t>
  </si>
  <si>
    <t>Sc%</t>
  </si>
  <si>
    <t>TO%</t>
  </si>
  <si>
    <t>EXP</t>
  </si>
  <si>
    <t>PA</t>
  </si>
  <si>
    <t>Detroit Lions</t>
  </si>
  <si>
    <t>Green Bay Packers</t>
  </si>
  <si>
    <t>Sunday</t>
  </si>
  <si>
    <t>Jacksonville Jaguars</t>
  </si>
  <si>
    <t>Miami Dolphins</t>
  </si>
  <si>
    <t>Buffalo Bills</t>
  </si>
  <si>
    <t>Minnesota Vikings</t>
  </si>
  <si>
    <t>Carolina Panthers</t>
  </si>
  <si>
    <t>Denver Broncos</t>
  </si>
  <si>
    <t>Chicago Bears</t>
  </si>
  <si>
    <t>Baltimore Ravens</t>
  </si>
  <si>
    <t>Los Angeles Rams</t>
  </si>
  <si>
    <t>Pittsburgh Steelers</t>
  </si>
  <si>
    <t>Houston Texans</t>
  </si>
  <si>
    <t>Cincinnati Bengals</t>
  </si>
  <si>
    <t>Tennessee Titans</t>
  </si>
  <si>
    <t>Washington Commanders</t>
  </si>
  <si>
    <t>Philadelphia Eagles</t>
  </si>
  <si>
    <t>Las Vegas Raiders</t>
  </si>
  <si>
    <t>Arizona Cardinals</t>
  </si>
  <si>
    <t>San Francisco 49ers</t>
  </si>
  <si>
    <t>Kansas City Chiefs</t>
  </si>
  <si>
    <t>New York Jets</t>
  </si>
  <si>
    <t>Monday</t>
  </si>
  <si>
    <t>New York Giants</t>
  </si>
  <si>
    <t>completion percentage</t>
  </si>
  <si>
    <t>yp/a</t>
  </si>
  <si>
    <t>pass td</t>
  </si>
  <si>
    <t>int</t>
  </si>
  <si>
    <t>pts</t>
  </si>
  <si>
    <t>actuals</t>
  </si>
  <si>
    <t>ml</t>
  </si>
  <si>
    <t>total</t>
  </si>
  <si>
    <t>Thursday</t>
  </si>
  <si>
    <t>Preview</t>
  </si>
  <si>
    <t>8:15pm</t>
  </si>
  <si>
    <t>1:00pm</t>
  </si>
  <si>
    <t>4:05pm</t>
  </si>
  <si>
    <t>4:25pm</t>
  </si>
  <si>
    <t>8:20pm</t>
  </si>
  <si>
    <t>ypp</t>
  </si>
  <si>
    <t>to</t>
  </si>
  <si>
    <t>ryp</t>
  </si>
  <si>
    <t>ptsa</t>
  </si>
  <si>
    <t>actuals a</t>
  </si>
  <si>
    <t>Seattle Seahawks</t>
  </si>
  <si>
    <t>Cleveland Browns</t>
  </si>
  <si>
    <t>Tampa Bay Buccaneers</t>
  </si>
  <si>
    <t>Los Angeles Chargers</t>
  </si>
  <si>
    <t>model 1</t>
  </si>
  <si>
    <t>model 2</t>
  </si>
  <si>
    <t>totals</t>
  </si>
  <si>
    <t>m/l</t>
  </si>
  <si>
    <t>spread</t>
  </si>
  <si>
    <t>actual total</t>
  </si>
  <si>
    <t>bovada total</t>
  </si>
  <si>
    <t>actual line</t>
  </si>
  <si>
    <t>Actual Winner</t>
  </si>
  <si>
    <t>model line</t>
  </si>
  <si>
    <t>sportsbook line</t>
  </si>
  <si>
    <t>bet</t>
  </si>
  <si>
    <t>outcome</t>
  </si>
  <si>
    <t>Model 1</t>
  </si>
  <si>
    <t>Wins</t>
  </si>
  <si>
    <t>Losses</t>
  </si>
  <si>
    <t>Model 2</t>
  </si>
  <si>
    <t>Sportsbook Favorite</t>
  </si>
  <si>
    <t>TEN</t>
  </si>
  <si>
    <t>PIT</t>
  </si>
  <si>
    <t>favorite</t>
  </si>
  <si>
    <t>underdog</t>
  </si>
  <si>
    <t>MIA</t>
  </si>
  <si>
    <t>MIN</t>
  </si>
  <si>
    <t>ARI</t>
  </si>
  <si>
    <t>CLE</t>
  </si>
  <si>
    <t>HOU</t>
  </si>
  <si>
    <t>CHI</t>
  </si>
  <si>
    <t>WAS</t>
  </si>
  <si>
    <t>SEA</t>
  </si>
  <si>
    <t>BAL</t>
  </si>
  <si>
    <t>CAR</t>
  </si>
  <si>
    <t>KC</t>
  </si>
  <si>
    <t>GB</t>
  </si>
  <si>
    <t>LAR</t>
  </si>
  <si>
    <t>TB</t>
  </si>
  <si>
    <t>PHI</t>
  </si>
  <si>
    <t>NYG</t>
  </si>
  <si>
    <t>LV</t>
  </si>
  <si>
    <t>BUF</t>
  </si>
  <si>
    <t>CIN</t>
  </si>
  <si>
    <t>LAC</t>
  </si>
  <si>
    <t>NYJ</t>
  </si>
  <si>
    <t>week</t>
  </si>
  <si>
    <t>SF</t>
  </si>
  <si>
    <t>JAX</t>
  </si>
  <si>
    <t>DET</t>
  </si>
  <si>
    <t>DEN</t>
  </si>
  <si>
    <t>CP WAGER 2023 Week 10 PICKS</t>
  </si>
  <si>
    <t>2023 Week 11</t>
  </si>
  <si>
    <t>9:30a,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</si>
</sst>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.5"/>
      <color rgb="FF005228"/>
      <name val="Arial"/>
      <family val="2"/>
    </font>
    <font>
      <b/>
      <sz val="9.35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3344DD"/>
      <name val="Arial"/>
      <family val="2"/>
    </font>
    <font>
      <b/>
      <sz val="12.1"/>
      <color rgb="FF000000"/>
      <name val="Arial"/>
      <family val="2"/>
    </font>
    <font>
      <b/>
      <sz val="11"/>
      <color rgb="FF000000"/>
      <name val="Arial"/>
      <family val="2"/>
    </font>
    <font>
      <sz val="13.2"/>
      <color rgb="FF404542"/>
      <name val="Arial"/>
      <family val="2"/>
    </font>
    <font>
      <sz val="13.2"/>
      <color rgb="FF3344DD"/>
      <name val="Arial"/>
      <family val="2"/>
    </font>
    <font>
      <sz val="13.2"/>
      <color rgb="FF000000"/>
      <name val="Arial"/>
      <family val="2"/>
    </font>
    <font>
      <sz val="10.3"/>
      <color rgb="FF000000"/>
      <name val="Arial"/>
      <family val="2"/>
    </font>
    <font>
      <sz val="10.3"/>
      <color rgb="FF3344DD"/>
      <name val="Arial"/>
      <family val="2"/>
    </font>
    <font>
      <sz val="11"/>
      <color theme="0"/>
      <name val="Calibri"/>
      <family val="2"/>
      <scheme val="minor"/>
    </font>
    <font>
      <b/>
      <sz val="9.35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88"/>
        <bgColor indexed="64"/>
      </patternFill>
    </fill>
  </fills>
  <borders count="35">
    <border>
      <left/>
      <right/>
      <top/>
      <bottom/>
      <diagonal/>
    </border>
    <border>
      <left/>
      <right/>
      <top style="dotted">
        <color rgb="FF74767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rgb="FF74767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C9CBCD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rgb="FF747678"/>
      </bottom>
      <diagonal/>
    </border>
    <border>
      <left style="medium">
        <color indexed="64"/>
      </left>
      <right/>
      <top style="dotted">
        <color rgb="FF747678"/>
      </top>
      <bottom style="medium">
        <color indexed="64"/>
      </bottom>
      <diagonal/>
    </border>
    <border>
      <left/>
      <right/>
      <top style="dotted">
        <color rgb="FF747678"/>
      </top>
      <bottom style="medium">
        <color indexed="64"/>
      </bottom>
      <diagonal/>
    </border>
    <border>
      <left/>
      <right style="medium">
        <color indexed="64"/>
      </right>
      <top style="dotted">
        <color rgb="FF747678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8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2" borderId="3" xfId="2" applyNumberFormat="1" applyBorder="1" applyAlignment="1">
      <alignment horizontal="center" vertical="center"/>
    </xf>
    <xf numFmtId="164" fontId="3" fillId="3" borderId="3" xfId="3" applyNumberForma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 wrapText="1"/>
    </xf>
    <xf numFmtId="164" fontId="0" fillId="0" borderId="5" xfId="0" applyNumberFormat="1" applyBorder="1"/>
    <xf numFmtId="165" fontId="0" fillId="0" borderId="6" xfId="1" applyNumberFormat="1" applyFon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3" fillId="3" borderId="6" xfId="3" applyNumberFormat="1" applyBorder="1" applyAlignment="1">
      <alignment horizontal="center" vertical="center"/>
    </xf>
    <xf numFmtId="164" fontId="2" fillId="2" borderId="6" xfId="2" applyNumberForma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164" fontId="0" fillId="0" borderId="8" xfId="0" applyNumberFormat="1" applyBorder="1"/>
    <xf numFmtId="0" fontId="8" fillId="0" borderId="0" xfId="4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8" fillId="0" borderId="0" xfId="4" applyAlignment="1">
      <alignment horizontal="right" vertical="top" wrapText="1"/>
    </xf>
    <xf numFmtId="0" fontId="8" fillId="0" borderId="9" xfId="4" applyBorder="1" applyAlignment="1">
      <alignment vertical="top" wrapText="1"/>
    </xf>
    <xf numFmtId="0" fontId="7" fillId="0" borderId="9" xfId="0" applyFont="1" applyBorder="1" applyAlignment="1">
      <alignment horizontal="right" vertical="top"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0" borderId="0" xfId="4" applyAlignment="1">
      <alignment vertical="center" wrapText="1"/>
    </xf>
    <xf numFmtId="0" fontId="11" fillId="0" borderId="0" xfId="0" applyFont="1" applyAlignment="1">
      <alignment vertical="center" wrapText="1"/>
    </xf>
    <xf numFmtId="0" fontId="8" fillId="0" borderId="0" xfId="4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2"/>
    </xf>
    <xf numFmtId="0" fontId="8" fillId="0" borderId="0" xfId="4" applyAlignment="1">
      <alignment horizontal="left" vertical="center" wrapText="1" indent="2"/>
    </xf>
    <xf numFmtId="0" fontId="9" fillId="0" borderId="0" xfId="0" applyFont="1" applyAlignment="1">
      <alignment horizontal="left" vertical="center" wrapText="1" indent="2"/>
    </xf>
    <xf numFmtId="0" fontId="9" fillId="0" borderId="0" xfId="0" applyFont="1" applyAlignment="1">
      <alignment vertical="center" wrapText="1"/>
    </xf>
    <xf numFmtId="0" fontId="8" fillId="0" borderId="12" xfId="4" applyBorder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2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8" fillId="0" borderId="0" xfId="4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right" vertical="top"/>
    </xf>
    <xf numFmtId="0" fontId="7" fillId="0" borderId="0" xfId="0" applyFont="1" applyAlignment="1">
      <alignment horizontal="right" vertical="top"/>
    </xf>
    <xf numFmtId="0" fontId="7" fillId="0" borderId="16" xfId="0" applyFont="1" applyBorder="1" applyAlignment="1">
      <alignment horizontal="right" vertical="top"/>
    </xf>
    <xf numFmtId="0" fontId="0" fillId="0" borderId="0" xfId="0" applyAlignment="1">
      <alignment horizontal="center"/>
    </xf>
    <xf numFmtId="43" fontId="0" fillId="0" borderId="11" xfId="5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6" xfId="0" applyNumberFormat="1" applyBorder="1"/>
    <xf numFmtId="0" fontId="6" fillId="0" borderId="1" xfId="0" applyFont="1" applyBorder="1" applyAlignment="1">
      <alignment vertical="top" wrapText="1"/>
    </xf>
    <xf numFmtId="164" fontId="0" fillId="0" borderId="0" xfId="0" applyNumberFormat="1" applyAlignment="1">
      <alignment horizontal="center"/>
    </xf>
    <xf numFmtId="0" fontId="0" fillId="0" borderId="14" xfId="0" applyBorder="1"/>
    <xf numFmtId="0" fontId="0" fillId="0" borderId="15" xfId="0" applyBorder="1"/>
    <xf numFmtId="0" fontId="20" fillId="4" borderId="0" xfId="0" applyFont="1" applyFill="1" applyAlignment="1">
      <alignment horizontal="right" vertical="top"/>
    </xf>
    <xf numFmtId="0" fontId="18" fillId="4" borderId="23" xfId="0" applyFont="1" applyFill="1" applyBorder="1"/>
    <xf numFmtId="0" fontId="18" fillId="4" borderId="24" xfId="0" applyFont="1" applyFill="1" applyBorder="1"/>
    <xf numFmtId="0" fontId="0" fillId="0" borderId="25" xfId="0" applyBorder="1"/>
    <xf numFmtId="0" fontId="20" fillId="4" borderId="24" xfId="0" applyFont="1" applyFill="1" applyBorder="1" applyAlignment="1">
      <alignment horizontal="right" vertical="top"/>
    </xf>
    <xf numFmtId="0" fontId="18" fillId="4" borderId="29" xfId="0" applyFont="1" applyFill="1" applyBorder="1"/>
    <xf numFmtId="0" fontId="20" fillId="4" borderId="30" xfId="0" applyFont="1" applyFill="1" applyBorder="1" applyAlignment="1">
      <alignment horizontal="right" vertical="top"/>
    </xf>
    <xf numFmtId="0" fontId="20" fillId="4" borderId="31" xfId="0" applyFont="1" applyFill="1" applyBorder="1" applyAlignment="1">
      <alignment horizontal="right" vertical="top"/>
    </xf>
    <xf numFmtId="0" fontId="8" fillId="5" borderId="9" xfId="4" applyFill="1" applyBorder="1" applyAlignment="1">
      <alignment vertical="top" wrapText="1"/>
    </xf>
    <xf numFmtId="0" fontId="7" fillId="5" borderId="9" xfId="0" applyFont="1" applyFill="1" applyBorder="1" applyAlignment="1">
      <alignment horizontal="right" vertical="top" wrapText="1"/>
    </xf>
    <xf numFmtId="0" fontId="6" fillId="0" borderId="3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4" borderId="32" xfId="0" applyFont="1" applyFill="1" applyBorder="1" applyAlignment="1">
      <alignment horizontal="center"/>
    </xf>
    <xf numFmtId="0" fontId="18" fillId="4" borderId="33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19" fillId="4" borderId="20" xfId="0" applyFont="1" applyFill="1" applyBorder="1" applyAlignment="1">
      <alignment horizontal="center" vertical="top"/>
    </xf>
    <xf numFmtId="0" fontId="19" fillId="4" borderId="21" xfId="0" applyFont="1" applyFill="1" applyBorder="1" applyAlignment="1">
      <alignment horizontal="center" vertical="top"/>
    </xf>
    <xf numFmtId="0" fontId="19" fillId="4" borderId="22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Alignment="1">
      <alignment horizontal="center" vertical="top" wrapText="1"/>
    </xf>
  </cellXfs>
  <cellStyles count="6">
    <cellStyle name="Comma" xfId="5" builtinId="3"/>
    <cellStyle name="Good" xfId="2" builtinId="26"/>
    <cellStyle name="Hyperlink" xfId="4" builtinId="8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pin\PycharmProjects\baseball\football%20pycharm%20files\nflgamedaymodel.xlsx" TargetMode="External"/><Relationship Id="rId1" Type="http://schemas.openxmlformats.org/officeDocument/2006/relationships/externalLinkPath" Target="nflgameday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ffense"/>
      <sheetName val="defense"/>
      <sheetName val="Sheet2"/>
      <sheetName val="Sheet3"/>
    </sheetNames>
    <sheetDataSet>
      <sheetData sheetId="0">
        <row r="1">
          <cell r="A1" t="str">
            <v>1</v>
          </cell>
          <cell r="B1" t="str">
            <v>Dallas Cowboys</v>
          </cell>
          <cell r="C1" t="str">
            <v>17</v>
          </cell>
          <cell r="D1" t="str">
            <v>509</v>
          </cell>
          <cell r="E1" t="str">
            <v>6317</v>
          </cell>
          <cell r="F1" t="str">
            <v>1122</v>
          </cell>
          <cell r="G1" t="str">
            <v>5.6</v>
          </cell>
          <cell r="H1" t="str">
            <v>16</v>
          </cell>
          <cell r="I1" t="str">
            <v>6</v>
          </cell>
          <cell r="J1" t="str">
            <v>385</v>
          </cell>
          <cell r="K1" t="str">
            <v>428</v>
          </cell>
          <cell r="L1" t="str">
            <v>614</v>
          </cell>
          <cell r="M1" t="str">
            <v>4397</v>
          </cell>
          <cell r="N1" t="str">
            <v>36</v>
          </cell>
          <cell r="O1" t="str">
            <v>10</v>
          </cell>
          <cell r="P1" t="str">
            <v>6.7</v>
          </cell>
          <cell r="Q1" t="str">
            <v>229</v>
          </cell>
          <cell r="R1" t="str">
            <v>468</v>
          </cell>
          <cell r="S1" t="str">
            <v>1920</v>
          </cell>
          <cell r="T1" t="str">
            <v>14</v>
          </cell>
          <cell r="U1" t="str">
            <v>4.1</v>
          </cell>
          <cell r="V1" t="str">
            <v>113</v>
          </cell>
          <cell r="W1" t="str">
            <v>115</v>
          </cell>
          <cell r="X1" t="str">
            <v>964</v>
          </cell>
          <cell r="Y1" t="str">
            <v>43</v>
          </cell>
          <cell r="Z1" t="str">
            <v>50.3</v>
          </cell>
          <cell r="AA1" t="str">
            <v>8.9</v>
          </cell>
          <cell r="AB1" t="str">
            <v>192.72</v>
          </cell>
        </row>
        <row r="2">
          <cell r="A2">
            <v>2</v>
          </cell>
          <cell r="B2" t="str">
            <v>Miami Dolphins</v>
          </cell>
          <cell r="C2">
            <v>17</v>
          </cell>
          <cell r="D2">
            <v>496</v>
          </cell>
          <cell r="E2">
            <v>6822</v>
          </cell>
          <cell r="F2">
            <v>1053</v>
          </cell>
          <cell r="G2">
            <v>6.5</v>
          </cell>
          <cell r="H2">
            <v>25</v>
          </cell>
          <cell r="I2">
            <v>10</v>
          </cell>
          <cell r="J2">
            <v>360</v>
          </cell>
          <cell r="K2">
            <v>393</v>
          </cell>
          <cell r="L2">
            <v>566</v>
          </cell>
          <cell r="M2">
            <v>4514</v>
          </cell>
          <cell r="N2">
            <v>30</v>
          </cell>
          <cell r="O2">
            <v>15</v>
          </cell>
          <cell r="P2">
            <v>7.6</v>
          </cell>
          <cell r="Q2">
            <v>223</v>
          </cell>
          <cell r="R2">
            <v>456</v>
          </cell>
          <cell r="S2">
            <v>2308</v>
          </cell>
          <cell r="T2">
            <v>27</v>
          </cell>
          <cell r="U2">
            <v>5.0999999999999996</v>
          </cell>
          <cell r="V2">
            <v>113</v>
          </cell>
          <cell r="W2">
            <v>97</v>
          </cell>
          <cell r="X2">
            <v>767</v>
          </cell>
          <cell r="Y2">
            <v>24</v>
          </cell>
          <cell r="Z2">
            <v>43.5</v>
          </cell>
          <cell r="AA2">
            <v>13.4</v>
          </cell>
          <cell r="AB2">
            <v>128.9</v>
          </cell>
        </row>
        <row r="3">
          <cell r="A3">
            <v>3</v>
          </cell>
          <cell r="B3" t="str">
            <v>San Francisco 49ers</v>
          </cell>
          <cell r="C3">
            <v>17</v>
          </cell>
          <cell r="D3">
            <v>491</v>
          </cell>
          <cell r="E3">
            <v>6773</v>
          </cell>
          <cell r="F3">
            <v>1024</v>
          </cell>
          <cell r="G3">
            <v>6.6</v>
          </cell>
          <cell r="H3">
            <v>18</v>
          </cell>
          <cell r="I3">
            <v>6</v>
          </cell>
          <cell r="J3">
            <v>383</v>
          </cell>
          <cell r="K3">
            <v>336</v>
          </cell>
          <cell r="L3">
            <v>491</v>
          </cell>
          <cell r="M3">
            <v>4384</v>
          </cell>
          <cell r="N3">
            <v>33</v>
          </cell>
          <cell r="O3">
            <v>12</v>
          </cell>
          <cell r="P3">
            <v>8.4</v>
          </cell>
          <cell r="Q3">
            <v>207</v>
          </cell>
          <cell r="R3">
            <v>499</v>
          </cell>
          <cell r="S3">
            <v>2389</v>
          </cell>
          <cell r="T3">
            <v>27</v>
          </cell>
          <cell r="U3">
            <v>4.8</v>
          </cell>
          <cell r="V3">
            <v>147</v>
          </cell>
          <cell r="W3">
            <v>101</v>
          </cell>
          <cell r="X3">
            <v>933</v>
          </cell>
          <cell r="Y3">
            <v>29</v>
          </cell>
          <cell r="Z3">
            <v>45.3</v>
          </cell>
          <cell r="AA3">
            <v>10.1</v>
          </cell>
          <cell r="AB3">
            <v>268.60000000000002</v>
          </cell>
        </row>
        <row r="4">
          <cell r="A4">
            <v>4</v>
          </cell>
          <cell r="B4" t="str">
            <v>Baltimore Ravens</v>
          </cell>
          <cell r="C4">
            <v>17</v>
          </cell>
          <cell r="D4">
            <v>483</v>
          </cell>
          <cell r="E4">
            <v>6296</v>
          </cell>
          <cell r="F4">
            <v>1076</v>
          </cell>
          <cell r="G4">
            <v>5.9</v>
          </cell>
          <cell r="H4">
            <v>19</v>
          </cell>
          <cell r="I4">
            <v>12</v>
          </cell>
          <cell r="J4">
            <v>360</v>
          </cell>
          <cell r="K4">
            <v>328</v>
          </cell>
          <cell r="L4">
            <v>494</v>
          </cell>
          <cell r="M4">
            <v>3635</v>
          </cell>
          <cell r="N4">
            <v>27</v>
          </cell>
          <cell r="O4">
            <v>7</v>
          </cell>
          <cell r="P4">
            <v>6.8</v>
          </cell>
          <cell r="Q4">
            <v>180</v>
          </cell>
          <cell r="R4">
            <v>541</v>
          </cell>
          <cell r="S4">
            <v>2661</v>
          </cell>
          <cell r="T4">
            <v>26</v>
          </cell>
          <cell r="U4">
            <v>4.9000000000000004</v>
          </cell>
          <cell r="V4">
            <v>145</v>
          </cell>
          <cell r="W4">
            <v>102</v>
          </cell>
          <cell r="X4">
            <v>955</v>
          </cell>
          <cell r="Y4">
            <v>35</v>
          </cell>
          <cell r="Z4">
            <v>43.1</v>
          </cell>
          <cell r="AA4">
            <v>9.6</v>
          </cell>
          <cell r="AB4">
            <v>138.81</v>
          </cell>
        </row>
        <row r="5">
          <cell r="A5">
            <v>5</v>
          </cell>
          <cell r="B5" t="str">
            <v>Detroit Lions</v>
          </cell>
          <cell r="C5">
            <v>17</v>
          </cell>
          <cell r="D5">
            <v>461</v>
          </cell>
          <cell r="E5">
            <v>6712</v>
          </cell>
          <cell r="F5">
            <v>1137</v>
          </cell>
          <cell r="G5">
            <v>5.9</v>
          </cell>
          <cell r="H5">
            <v>23</v>
          </cell>
          <cell r="I5">
            <v>11</v>
          </cell>
          <cell r="J5">
            <v>375</v>
          </cell>
          <cell r="K5">
            <v>408</v>
          </cell>
          <cell r="L5">
            <v>606</v>
          </cell>
          <cell r="M5">
            <v>4401</v>
          </cell>
          <cell r="N5">
            <v>30</v>
          </cell>
          <cell r="O5">
            <v>12</v>
          </cell>
          <cell r="P5">
            <v>6.9</v>
          </cell>
          <cell r="Q5">
            <v>228</v>
          </cell>
          <cell r="R5">
            <v>500</v>
          </cell>
          <cell r="S5">
            <v>2311</v>
          </cell>
          <cell r="T5">
            <v>27</v>
          </cell>
          <cell r="U5">
            <v>4.5999999999999996</v>
          </cell>
          <cell r="V5">
            <v>124</v>
          </cell>
          <cell r="W5">
            <v>97</v>
          </cell>
          <cell r="X5">
            <v>843</v>
          </cell>
          <cell r="Y5">
            <v>23</v>
          </cell>
          <cell r="Z5">
            <v>40.6</v>
          </cell>
          <cell r="AA5">
            <v>11.8</v>
          </cell>
          <cell r="AB5">
            <v>191.13</v>
          </cell>
        </row>
        <row r="6">
          <cell r="A6">
            <v>6</v>
          </cell>
          <cell r="B6" t="str">
            <v>Buffalo Bills</v>
          </cell>
          <cell r="C6">
            <v>17</v>
          </cell>
          <cell r="D6">
            <v>451</v>
          </cell>
          <cell r="E6">
            <v>6366</v>
          </cell>
          <cell r="F6">
            <v>1115</v>
          </cell>
          <cell r="G6">
            <v>5.7</v>
          </cell>
          <cell r="H6">
            <v>28</v>
          </cell>
          <cell r="I6">
            <v>10</v>
          </cell>
          <cell r="J6">
            <v>381</v>
          </cell>
          <cell r="K6">
            <v>385</v>
          </cell>
          <cell r="L6">
            <v>579</v>
          </cell>
          <cell r="M6">
            <v>4154</v>
          </cell>
          <cell r="N6">
            <v>29</v>
          </cell>
          <cell r="O6">
            <v>18</v>
          </cell>
          <cell r="P6">
            <v>6.9</v>
          </cell>
          <cell r="Q6">
            <v>199</v>
          </cell>
          <cell r="R6">
            <v>512</v>
          </cell>
          <cell r="S6">
            <v>2212</v>
          </cell>
          <cell r="T6">
            <v>22</v>
          </cell>
          <cell r="U6">
            <v>4.3</v>
          </cell>
          <cell r="V6">
            <v>158</v>
          </cell>
          <cell r="W6">
            <v>106</v>
          </cell>
          <cell r="X6">
            <v>883</v>
          </cell>
          <cell r="Y6">
            <v>24</v>
          </cell>
          <cell r="Z6">
            <v>41.4</v>
          </cell>
          <cell r="AA6">
            <v>14.9</v>
          </cell>
          <cell r="AB6">
            <v>197.57</v>
          </cell>
        </row>
        <row r="7">
          <cell r="A7">
            <v>7</v>
          </cell>
          <cell r="B7" t="str">
            <v>Philadelphia Eagles</v>
          </cell>
          <cell r="C7">
            <v>17</v>
          </cell>
          <cell r="D7">
            <v>433</v>
          </cell>
          <cell r="E7">
            <v>6024</v>
          </cell>
          <cell r="F7">
            <v>1112</v>
          </cell>
          <cell r="G7">
            <v>5.4</v>
          </cell>
          <cell r="H7">
            <v>28</v>
          </cell>
          <cell r="I7">
            <v>12</v>
          </cell>
          <cell r="J7">
            <v>377</v>
          </cell>
          <cell r="K7">
            <v>369</v>
          </cell>
          <cell r="L7">
            <v>563</v>
          </cell>
          <cell r="M7">
            <v>3834</v>
          </cell>
          <cell r="N7">
            <v>24</v>
          </cell>
          <cell r="O7">
            <v>16</v>
          </cell>
          <cell r="P7">
            <v>6.4</v>
          </cell>
          <cell r="Q7">
            <v>197</v>
          </cell>
          <cell r="R7">
            <v>510</v>
          </cell>
          <cell r="S7">
            <v>2190</v>
          </cell>
          <cell r="T7">
            <v>22</v>
          </cell>
          <cell r="U7">
            <v>4.3</v>
          </cell>
          <cell r="V7">
            <v>149</v>
          </cell>
          <cell r="W7">
            <v>95</v>
          </cell>
          <cell r="X7">
            <v>785</v>
          </cell>
          <cell r="Y7">
            <v>31</v>
          </cell>
          <cell r="Z7">
            <v>42.9</v>
          </cell>
          <cell r="AA7">
            <v>15.3</v>
          </cell>
          <cell r="AB7">
            <v>100.97</v>
          </cell>
        </row>
        <row r="8">
          <cell r="A8">
            <v>8</v>
          </cell>
          <cell r="B8" t="str">
            <v>Los Angeles Rams</v>
          </cell>
          <cell r="C8">
            <v>17</v>
          </cell>
          <cell r="D8">
            <v>404</v>
          </cell>
          <cell r="E8">
            <v>6108</v>
          </cell>
          <cell r="F8">
            <v>1094</v>
          </cell>
          <cell r="G8">
            <v>5.6</v>
          </cell>
          <cell r="H8">
            <v>18</v>
          </cell>
          <cell r="I8">
            <v>5</v>
          </cell>
          <cell r="J8">
            <v>351</v>
          </cell>
          <cell r="K8">
            <v>361</v>
          </cell>
          <cell r="L8">
            <v>583</v>
          </cell>
          <cell r="M8">
            <v>4063</v>
          </cell>
          <cell r="N8">
            <v>26</v>
          </cell>
          <cell r="O8">
            <v>13</v>
          </cell>
          <cell r="P8">
            <v>6.6</v>
          </cell>
          <cell r="Q8">
            <v>206</v>
          </cell>
          <cell r="R8">
            <v>477</v>
          </cell>
          <cell r="S8">
            <v>2045</v>
          </cell>
          <cell r="T8">
            <v>18</v>
          </cell>
          <cell r="U8">
            <v>4.3</v>
          </cell>
          <cell r="V8">
            <v>110</v>
          </cell>
          <cell r="W8">
            <v>89</v>
          </cell>
          <cell r="X8">
            <v>720</v>
          </cell>
          <cell r="Y8">
            <v>35</v>
          </cell>
          <cell r="Z8">
            <v>41.1</v>
          </cell>
          <cell r="AA8">
            <v>9.1999999999999993</v>
          </cell>
          <cell r="AB8">
            <v>133.32</v>
          </cell>
        </row>
        <row r="9">
          <cell r="A9">
            <v>9</v>
          </cell>
          <cell r="B9" t="str">
            <v>New Orleans Saints</v>
          </cell>
          <cell r="C9">
            <v>17</v>
          </cell>
          <cell r="D9">
            <v>402</v>
          </cell>
          <cell r="E9">
            <v>5732</v>
          </cell>
          <cell r="F9">
            <v>1121</v>
          </cell>
          <cell r="G9">
            <v>5.0999999999999996</v>
          </cell>
          <cell r="H9">
            <v>18</v>
          </cell>
          <cell r="I9">
            <v>7</v>
          </cell>
          <cell r="J9">
            <v>337</v>
          </cell>
          <cell r="K9">
            <v>406</v>
          </cell>
          <cell r="L9">
            <v>606</v>
          </cell>
          <cell r="M9">
            <v>3990</v>
          </cell>
          <cell r="N9">
            <v>28</v>
          </cell>
          <cell r="O9">
            <v>11</v>
          </cell>
          <cell r="P9">
            <v>6.2</v>
          </cell>
          <cell r="Q9">
            <v>199</v>
          </cell>
          <cell r="R9">
            <v>480</v>
          </cell>
          <cell r="S9">
            <v>1742</v>
          </cell>
          <cell r="T9">
            <v>13</v>
          </cell>
          <cell r="U9">
            <v>3.6</v>
          </cell>
          <cell r="V9">
            <v>112</v>
          </cell>
          <cell r="W9">
            <v>96</v>
          </cell>
          <cell r="X9">
            <v>846</v>
          </cell>
          <cell r="Y9">
            <v>26</v>
          </cell>
          <cell r="Z9">
            <v>36.6</v>
          </cell>
          <cell r="AA9">
            <v>8.1999999999999993</v>
          </cell>
          <cell r="AB9">
            <v>46.88</v>
          </cell>
        </row>
        <row r="10">
          <cell r="A10">
            <v>10</v>
          </cell>
          <cell r="B10" t="str">
            <v>Indianapolis Colts</v>
          </cell>
          <cell r="C10">
            <v>17</v>
          </cell>
          <cell r="D10">
            <v>396</v>
          </cell>
          <cell r="E10">
            <v>5725</v>
          </cell>
          <cell r="F10">
            <v>1094</v>
          </cell>
          <cell r="G10">
            <v>5.2</v>
          </cell>
          <cell r="H10">
            <v>22</v>
          </cell>
          <cell r="I10">
            <v>12</v>
          </cell>
          <cell r="J10">
            <v>324</v>
          </cell>
          <cell r="K10">
            <v>355</v>
          </cell>
          <cell r="L10">
            <v>574</v>
          </cell>
          <cell r="M10">
            <v>3666</v>
          </cell>
          <cell r="N10">
            <v>18</v>
          </cell>
          <cell r="O10">
            <v>10</v>
          </cell>
          <cell r="P10">
            <v>6</v>
          </cell>
          <cell r="Q10">
            <v>178</v>
          </cell>
          <cell r="R10">
            <v>479</v>
          </cell>
          <cell r="S10">
            <v>2059</v>
          </cell>
          <cell r="T10">
            <v>19</v>
          </cell>
          <cell r="U10">
            <v>4.3</v>
          </cell>
          <cell r="V10">
            <v>113</v>
          </cell>
          <cell r="W10">
            <v>95</v>
          </cell>
          <cell r="X10">
            <v>685</v>
          </cell>
          <cell r="Y10">
            <v>33</v>
          </cell>
          <cell r="Z10">
            <v>35.700000000000003</v>
          </cell>
          <cell r="AA10">
            <v>9.1999999999999993</v>
          </cell>
          <cell r="AB10">
            <v>30.12</v>
          </cell>
        </row>
        <row r="11">
          <cell r="A11">
            <v>11</v>
          </cell>
          <cell r="B11" t="str">
            <v>Cleveland Browns</v>
          </cell>
          <cell r="C11">
            <v>17</v>
          </cell>
          <cell r="D11">
            <v>396</v>
          </cell>
          <cell r="E11">
            <v>5710</v>
          </cell>
          <cell r="F11">
            <v>1187</v>
          </cell>
          <cell r="G11">
            <v>4.8</v>
          </cell>
          <cell r="H11">
            <v>37</v>
          </cell>
          <cell r="I11">
            <v>14</v>
          </cell>
          <cell r="J11">
            <v>325</v>
          </cell>
          <cell r="K11">
            <v>355</v>
          </cell>
          <cell r="L11">
            <v>624</v>
          </cell>
          <cell r="M11">
            <v>3693</v>
          </cell>
          <cell r="N11">
            <v>24</v>
          </cell>
          <cell r="O11">
            <v>23</v>
          </cell>
          <cell r="P11">
            <v>5.5</v>
          </cell>
          <cell r="Q11">
            <v>173</v>
          </cell>
          <cell r="R11">
            <v>518</v>
          </cell>
          <cell r="S11">
            <v>2017</v>
          </cell>
          <cell r="T11">
            <v>15</v>
          </cell>
          <cell r="U11">
            <v>3.9</v>
          </cell>
          <cell r="V11">
            <v>121</v>
          </cell>
          <cell r="W11">
            <v>115</v>
          </cell>
          <cell r="X11">
            <v>897</v>
          </cell>
          <cell r="Y11">
            <v>31</v>
          </cell>
          <cell r="Z11">
            <v>32.9</v>
          </cell>
          <cell r="AA11">
            <v>16.2</v>
          </cell>
          <cell r="AB11">
            <v>-110.55</v>
          </cell>
        </row>
        <row r="12">
          <cell r="A12">
            <v>12</v>
          </cell>
          <cell r="B12" t="str">
            <v>Green Bay Packers</v>
          </cell>
          <cell r="C12">
            <v>17</v>
          </cell>
          <cell r="D12">
            <v>383</v>
          </cell>
          <cell r="E12">
            <v>5873</v>
          </cell>
          <cell r="F12">
            <v>1052</v>
          </cell>
          <cell r="G12">
            <v>5.6</v>
          </cell>
          <cell r="H12">
            <v>18</v>
          </cell>
          <cell r="I12">
            <v>7</v>
          </cell>
          <cell r="J12">
            <v>338</v>
          </cell>
          <cell r="K12">
            <v>374</v>
          </cell>
          <cell r="L12">
            <v>581</v>
          </cell>
          <cell r="M12">
            <v>3968</v>
          </cell>
          <cell r="N12">
            <v>32</v>
          </cell>
          <cell r="O12">
            <v>11</v>
          </cell>
          <cell r="P12">
            <v>6.5</v>
          </cell>
          <cell r="Q12">
            <v>211</v>
          </cell>
          <cell r="R12">
            <v>441</v>
          </cell>
          <cell r="S12">
            <v>1905</v>
          </cell>
          <cell r="T12">
            <v>10</v>
          </cell>
          <cell r="U12">
            <v>4.3</v>
          </cell>
          <cell r="V12">
            <v>101</v>
          </cell>
          <cell r="W12">
            <v>105</v>
          </cell>
          <cell r="X12">
            <v>856</v>
          </cell>
          <cell r="Y12">
            <v>26</v>
          </cell>
          <cell r="Z12">
            <v>39.700000000000003</v>
          </cell>
          <cell r="AA12">
            <v>9.1999999999999993</v>
          </cell>
          <cell r="AB12">
            <v>156.77000000000001</v>
          </cell>
        </row>
        <row r="13">
          <cell r="A13">
            <v>13</v>
          </cell>
          <cell r="B13" t="str">
            <v>Houston Texans</v>
          </cell>
          <cell r="C13">
            <v>17</v>
          </cell>
          <cell r="D13">
            <v>377</v>
          </cell>
          <cell r="E13">
            <v>5820</v>
          </cell>
          <cell r="F13">
            <v>1083</v>
          </cell>
          <cell r="G13">
            <v>5.4</v>
          </cell>
          <cell r="H13">
            <v>14</v>
          </cell>
          <cell r="I13">
            <v>6</v>
          </cell>
          <cell r="J13">
            <v>329</v>
          </cell>
          <cell r="K13">
            <v>372</v>
          </cell>
          <cell r="L13">
            <v>592</v>
          </cell>
          <cell r="M13">
            <v>4173</v>
          </cell>
          <cell r="N13">
            <v>27</v>
          </cell>
          <cell r="O13">
            <v>8</v>
          </cell>
          <cell r="P13">
            <v>6.5</v>
          </cell>
          <cell r="Q13">
            <v>215</v>
          </cell>
          <cell r="R13">
            <v>444</v>
          </cell>
          <cell r="S13">
            <v>1647</v>
          </cell>
          <cell r="T13">
            <v>10</v>
          </cell>
          <cell r="U13">
            <v>3.7</v>
          </cell>
          <cell r="V13">
            <v>84</v>
          </cell>
          <cell r="W13">
            <v>114</v>
          </cell>
          <cell r="X13">
            <v>937</v>
          </cell>
          <cell r="Y13">
            <v>30</v>
          </cell>
          <cell r="Z13">
            <v>37.200000000000003</v>
          </cell>
          <cell r="AA13">
            <v>7.3</v>
          </cell>
          <cell r="AB13">
            <v>44.11</v>
          </cell>
        </row>
        <row r="14">
          <cell r="A14">
            <v>14</v>
          </cell>
          <cell r="B14" t="str">
            <v>Jacksonville Jaguars</v>
          </cell>
          <cell r="C14">
            <v>17</v>
          </cell>
          <cell r="D14">
            <v>377</v>
          </cell>
          <cell r="E14">
            <v>5772</v>
          </cell>
          <cell r="F14">
            <v>1114</v>
          </cell>
          <cell r="G14">
            <v>5.2</v>
          </cell>
          <cell r="H14">
            <v>30</v>
          </cell>
          <cell r="I14">
            <v>16</v>
          </cell>
          <cell r="J14">
            <v>336</v>
          </cell>
          <cell r="K14">
            <v>412</v>
          </cell>
          <cell r="L14">
            <v>620</v>
          </cell>
          <cell r="M14">
            <v>4126</v>
          </cell>
          <cell r="N14">
            <v>22</v>
          </cell>
          <cell r="O14">
            <v>14</v>
          </cell>
          <cell r="P14">
            <v>6.2</v>
          </cell>
          <cell r="Q14">
            <v>199</v>
          </cell>
          <cell r="R14">
            <v>453</v>
          </cell>
          <cell r="S14">
            <v>1646</v>
          </cell>
          <cell r="T14">
            <v>17</v>
          </cell>
          <cell r="U14">
            <v>3.6</v>
          </cell>
          <cell r="V14">
            <v>98</v>
          </cell>
          <cell r="W14">
            <v>83</v>
          </cell>
          <cell r="X14">
            <v>644</v>
          </cell>
          <cell r="Y14">
            <v>39</v>
          </cell>
          <cell r="Z14">
            <v>35.4</v>
          </cell>
          <cell r="AA14">
            <v>14.9</v>
          </cell>
          <cell r="AB14">
            <v>13.64</v>
          </cell>
        </row>
        <row r="15">
          <cell r="A15">
            <v>15</v>
          </cell>
          <cell r="B15" t="str">
            <v>Kansas City Chiefs</v>
          </cell>
          <cell r="C15">
            <v>17</v>
          </cell>
          <cell r="D15">
            <v>371</v>
          </cell>
          <cell r="E15">
            <v>5972</v>
          </cell>
          <cell r="F15">
            <v>1080</v>
          </cell>
          <cell r="G15">
            <v>5.5</v>
          </cell>
          <cell r="H15">
            <v>28</v>
          </cell>
          <cell r="I15">
            <v>11</v>
          </cell>
          <cell r="J15">
            <v>350</v>
          </cell>
          <cell r="K15">
            <v>421</v>
          </cell>
          <cell r="L15">
            <v>635</v>
          </cell>
          <cell r="M15">
            <v>4188</v>
          </cell>
          <cell r="N15">
            <v>28</v>
          </cell>
          <cell r="O15">
            <v>17</v>
          </cell>
          <cell r="P15">
            <v>6.3</v>
          </cell>
          <cell r="Q15">
            <v>216</v>
          </cell>
          <cell r="R15">
            <v>417</v>
          </cell>
          <cell r="S15">
            <v>1784</v>
          </cell>
          <cell r="T15">
            <v>9</v>
          </cell>
          <cell r="U15">
            <v>4.3</v>
          </cell>
          <cell r="V15">
            <v>107</v>
          </cell>
          <cell r="W15">
            <v>96</v>
          </cell>
          <cell r="X15">
            <v>845</v>
          </cell>
          <cell r="Y15">
            <v>27</v>
          </cell>
          <cell r="Z15">
            <v>39.299999999999997</v>
          </cell>
          <cell r="AA15">
            <v>14.6</v>
          </cell>
          <cell r="AB15">
            <v>87.96</v>
          </cell>
        </row>
        <row r="16">
          <cell r="A16">
            <v>16</v>
          </cell>
          <cell r="B16" t="str">
            <v>Cincinnati Bengals</v>
          </cell>
          <cell r="C16">
            <v>17</v>
          </cell>
          <cell r="D16">
            <v>366</v>
          </cell>
          <cell r="E16">
            <v>5422</v>
          </cell>
          <cell r="F16">
            <v>1048</v>
          </cell>
          <cell r="G16">
            <v>5.2</v>
          </cell>
          <cell r="H16">
            <v>16</v>
          </cell>
          <cell r="I16">
            <v>2</v>
          </cell>
          <cell r="J16">
            <v>329</v>
          </cell>
          <cell r="K16">
            <v>420</v>
          </cell>
          <cell r="L16">
            <v>615</v>
          </cell>
          <cell r="M16">
            <v>3895</v>
          </cell>
          <cell r="N16">
            <v>27</v>
          </cell>
          <cell r="O16">
            <v>14</v>
          </cell>
          <cell r="P16">
            <v>5.9</v>
          </cell>
          <cell r="Q16">
            <v>208</v>
          </cell>
          <cell r="R16">
            <v>383</v>
          </cell>
          <cell r="S16">
            <v>1527</v>
          </cell>
          <cell r="T16">
            <v>12</v>
          </cell>
          <cell r="U16">
            <v>4</v>
          </cell>
          <cell r="V16">
            <v>90</v>
          </cell>
          <cell r="W16">
            <v>76</v>
          </cell>
          <cell r="X16">
            <v>614</v>
          </cell>
          <cell r="Y16">
            <v>31</v>
          </cell>
          <cell r="Z16">
            <v>34.6</v>
          </cell>
          <cell r="AA16">
            <v>8.5</v>
          </cell>
          <cell r="AB16">
            <v>41.53</v>
          </cell>
        </row>
        <row r="17">
          <cell r="A17">
            <v>17</v>
          </cell>
          <cell r="B17" t="str">
            <v>Seattle Seahawks</v>
          </cell>
          <cell r="C17">
            <v>17</v>
          </cell>
          <cell r="D17">
            <v>364</v>
          </cell>
          <cell r="E17">
            <v>5490</v>
          </cell>
          <cell r="F17">
            <v>995</v>
          </cell>
          <cell r="G17">
            <v>5.5</v>
          </cell>
          <cell r="H17">
            <v>17</v>
          </cell>
          <cell r="I17">
            <v>5</v>
          </cell>
          <cell r="J17">
            <v>317</v>
          </cell>
          <cell r="K17">
            <v>371</v>
          </cell>
          <cell r="L17">
            <v>575</v>
          </cell>
          <cell r="M17">
            <v>3910</v>
          </cell>
          <cell r="N17">
            <v>23</v>
          </cell>
          <cell r="O17">
            <v>12</v>
          </cell>
          <cell r="P17">
            <v>6.4</v>
          </cell>
          <cell r="Q17">
            <v>189</v>
          </cell>
          <cell r="R17">
            <v>382</v>
          </cell>
          <cell r="S17">
            <v>1580</v>
          </cell>
          <cell r="T17">
            <v>11</v>
          </cell>
          <cell r="U17">
            <v>4.0999999999999996</v>
          </cell>
          <cell r="V17">
            <v>93</v>
          </cell>
          <cell r="W17">
            <v>111</v>
          </cell>
          <cell r="X17">
            <v>954</v>
          </cell>
          <cell r="Y17">
            <v>35</v>
          </cell>
          <cell r="Z17">
            <v>38.799999999999997</v>
          </cell>
          <cell r="AA17">
            <v>8.4</v>
          </cell>
          <cell r="AB17">
            <v>62.33</v>
          </cell>
        </row>
        <row r="18">
          <cell r="A18">
            <v>18</v>
          </cell>
          <cell r="B18" t="str">
            <v>Chicago Bears</v>
          </cell>
          <cell r="C18">
            <v>17</v>
          </cell>
          <cell r="D18">
            <v>360</v>
          </cell>
          <cell r="E18">
            <v>5495</v>
          </cell>
          <cell r="F18">
            <v>1097</v>
          </cell>
          <cell r="G18">
            <v>5</v>
          </cell>
          <cell r="H18">
            <v>25</v>
          </cell>
          <cell r="I18">
            <v>10</v>
          </cell>
          <cell r="J18">
            <v>322</v>
          </cell>
          <cell r="K18">
            <v>321</v>
          </cell>
          <cell r="L18">
            <v>513</v>
          </cell>
          <cell r="M18">
            <v>3096</v>
          </cell>
          <cell r="N18">
            <v>19</v>
          </cell>
          <cell r="O18">
            <v>15</v>
          </cell>
          <cell r="P18">
            <v>5.5</v>
          </cell>
          <cell r="Q18">
            <v>169</v>
          </cell>
          <cell r="R18">
            <v>534</v>
          </cell>
          <cell r="S18">
            <v>2399</v>
          </cell>
          <cell r="T18">
            <v>16</v>
          </cell>
          <cell r="U18">
            <v>4.5</v>
          </cell>
          <cell r="V18">
            <v>137</v>
          </cell>
          <cell r="W18">
            <v>99</v>
          </cell>
          <cell r="X18">
            <v>853</v>
          </cell>
          <cell r="Y18">
            <v>16</v>
          </cell>
          <cell r="Z18">
            <v>38</v>
          </cell>
          <cell r="AA18">
            <v>13</v>
          </cell>
          <cell r="AB18">
            <v>-10.73</v>
          </cell>
        </row>
        <row r="19">
          <cell r="A19">
            <v>19</v>
          </cell>
          <cell r="B19" t="str">
            <v>Denver Broncos</v>
          </cell>
          <cell r="C19">
            <v>17</v>
          </cell>
          <cell r="D19">
            <v>357</v>
          </cell>
          <cell r="E19">
            <v>5072</v>
          </cell>
          <cell r="F19">
            <v>1016</v>
          </cell>
          <cell r="G19">
            <v>5</v>
          </cell>
          <cell r="H19">
            <v>22</v>
          </cell>
          <cell r="I19">
            <v>13</v>
          </cell>
          <cell r="J19">
            <v>301</v>
          </cell>
          <cell r="K19">
            <v>337</v>
          </cell>
          <cell r="L19">
            <v>513</v>
          </cell>
          <cell r="M19">
            <v>3262</v>
          </cell>
          <cell r="N19">
            <v>28</v>
          </cell>
          <cell r="O19">
            <v>9</v>
          </cell>
          <cell r="P19">
            <v>5.8</v>
          </cell>
          <cell r="Q19">
            <v>154</v>
          </cell>
          <cell r="R19">
            <v>451</v>
          </cell>
          <cell r="S19">
            <v>1810</v>
          </cell>
          <cell r="T19">
            <v>8</v>
          </cell>
          <cell r="U19">
            <v>4</v>
          </cell>
          <cell r="V19">
            <v>116</v>
          </cell>
          <cell r="W19">
            <v>99</v>
          </cell>
          <cell r="X19">
            <v>749</v>
          </cell>
          <cell r="Y19">
            <v>31</v>
          </cell>
          <cell r="Z19">
            <v>34.9</v>
          </cell>
          <cell r="AA19">
            <v>10.6</v>
          </cell>
          <cell r="AB19">
            <v>7.68</v>
          </cell>
        </row>
        <row r="20">
          <cell r="A20">
            <v>20</v>
          </cell>
          <cell r="B20" t="str">
            <v>Tampa Bay Buccaneers</v>
          </cell>
          <cell r="C20">
            <v>17</v>
          </cell>
          <cell r="D20">
            <v>348</v>
          </cell>
          <cell r="E20">
            <v>5321</v>
          </cell>
          <cell r="F20">
            <v>1047</v>
          </cell>
          <cell r="G20">
            <v>5.0999999999999996</v>
          </cell>
          <cell r="H20">
            <v>18</v>
          </cell>
          <cell r="I20">
            <v>8</v>
          </cell>
          <cell r="J20">
            <v>300</v>
          </cell>
          <cell r="K20">
            <v>364</v>
          </cell>
          <cell r="L20">
            <v>568</v>
          </cell>
          <cell r="M20">
            <v>3812</v>
          </cell>
          <cell r="N20">
            <v>28</v>
          </cell>
          <cell r="O20">
            <v>10</v>
          </cell>
          <cell r="P20">
            <v>6.3</v>
          </cell>
          <cell r="Q20">
            <v>188</v>
          </cell>
          <cell r="R20">
            <v>439</v>
          </cell>
          <cell r="S20">
            <v>1509</v>
          </cell>
          <cell r="T20">
            <v>8</v>
          </cell>
          <cell r="U20">
            <v>3.4</v>
          </cell>
          <cell r="V20">
            <v>79</v>
          </cell>
          <cell r="W20">
            <v>100</v>
          </cell>
          <cell r="X20">
            <v>751</v>
          </cell>
          <cell r="Y20">
            <v>33</v>
          </cell>
          <cell r="Z20">
            <v>35.5</v>
          </cell>
          <cell r="AA20">
            <v>9.8000000000000007</v>
          </cell>
          <cell r="AB20">
            <v>57.3</v>
          </cell>
        </row>
        <row r="21">
          <cell r="A21">
            <v>21</v>
          </cell>
          <cell r="B21" t="str">
            <v>Los Angeles Chargers</v>
          </cell>
          <cell r="C21">
            <v>17</v>
          </cell>
          <cell r="D21">
            <v>346</v>
          </cell>
          <cell r="E21">
            <v>5599</v>
          </cell>
          <cell r="F21">
            <v>1106</v>
          </cell>
          <cell r="G21">
            <v>5.0999999999999996</v>
          </cell>
          <cell r="H21">
            <v>21</v>
          </cell>
          <cell r="I21">
            <v>13</v>
          </cell>
          <cell r="J21">
            <v>319</v>
          </cell>
          <cell r="K21">
            <v>409</v>
          </cell>
          <cell r="L21">
            <v>632</v>
          </cell>
          <cell r="M21">
            <v>3957</v>
          </cell>
          <cell r="N21">
            <v>24</v>
          </cell>
          <cell r="O21">
            <v>8</v>
          </cell>
          <cell r="P21">
            <v>5.9</v>
          </cell>
          <cell r="Q21">
            <v>204</v>
          </cell>
          <cell r="R21">
            <v>431</v>
          </cell>
          <cell r="S21">
            <v>1642</v>
          </cell>
          <cell r="T21">
            <v>11</v>
          </cell>
          <cell r="U21">
            <v>3.8</v>
          </cell>
          <cell r="V21">
            <v>89</v>
          </cell>
          <cell r="W21">
            <v>79</v>
          </cell>
          <cell r="X21">
            <v>725</v>
          </cell>
          <cell r="Y21">
            <v>26</v>
          </cell>
          <cell r="Z21">
            <v>34.700000000000003</v>
          </cell>
          <cell r="AA21">
            <v>10.5</v>
          </cell>
          <cell r="AB21">
            <v>-5.38</v>
          </cell>
        </row>
        <row r="22">
          <cell r="A22">
            <v>22</v>
          </cell>
          <cell r="B22" t="str">
            <v>Minnesota Vikings</v>
          </cell>
          <cell r="C22">
            <v>17</v>
          </cell>
          <cell r="D22">
            <v>344</v>
          </cell>
          <cell r="E22">
            <v>5912</v>
          </cell>
          <cell r="F22">
            <v>1071</v>
          </cell>
          <cell r="G22">
            <v>5.5</v>
          </cell>
          <cell r="H22">
            <v>34</v>
          </cell>
          <cell r="I22">
            <v>15</v>
          </cell>
          <cell r="J22">
            <v>340</v>
          </cell>
          <cell r="K22">
            <v>424</v>
          </cell>
          <cell r="L22">
            <v>631</v>
          </cell>
          <cell r="M22">
            <v>4359</v>
          </cell>
          <cell r="N22">
            <v>30</v>
          </cell>
          <cell r="O22">
            <v>19</v>
          </cell>
          <cell r="P22">
            <v>6.4</v>
          </cell>
          <cell r="Q22">
            <v>220</v>
          </cell>
          <cell r="R22">
            <v>393</v>
          </cell>
          <cell r="S22">
            <v>1553</v>
          </cell>
          <cell r="T22">
            <v>7</v>
          </cell>
          <cell r="U22">
            <v>4</v>
          </cell>
          <cell r="V22">
            <v>79</v>
          </cell>
          <cell r="W22">
            <v>89</v>
          </cell>
          <cell r="X22">
            <v>670</v>
          </cell>
          <cell r="Y22">
            <v>41</v>
          </cell>
          <cell r="Z22">
            <v>34.1</v>
          </cell>
          <cell r="AA22">
            <v>18.399999999999999</v>
          </cell>
          <cell r="AB22">
            <v>42.62</v>
          </cell>
        </row>
        <row r="23">
          <cell r="A23">
            <v>23</v>
          </cell>
          <cell r="B23" t="str">
            <v>Las Vegas Raiders</v>
          </cell>
          <cell r="C23">
            <v>17</v>
          </cell>
          <cell r="D23">
            <v>332</v>
          </cell>
          <cell r="E23">
            <v>4922</v>
          </cell>
          <cell r="F23">
            <v>1010</v>
          </cell>
          <cell r="G23">
            <v>4.9000000000000004</v>
          </cell>
          <cell r="H23">
            <v>24</v>
          </cell>
          <cell r="I23">
            <v>6</v>
          </cell>
          <cell r="J23">
            <v>292</v>
          </cell>
          <cell r="K23">
            <v>348</v>
          </cell>
          <cell r="L23">
            <v>557</v>
          </cell>
          <cell r="M23">
            <v>3380</v>
          </cell>
          <cell r="N23">
            <v>20</v>
          </cell>
          <cell r="O23">
            <v>18</v>
          </cell>
          <cell r="P23">
            <v>5.7</v>
          </cell>
          <cell r="Q23">
            <v>182</v>
          </cell>
          <cell r="R23">
            <v>413</v>
          </cell>
          <cell r="S23">
            <v>1542</v>
          </cell>
          <cell r="T23">
            <v>11</v>
          </cell>
          <cell r="U23">
            <v>3.7</v>
          </cell>
          <cell r="V23">
            <v>83</v>
          </cell>
          <cell r="W23">
            <v>75</v>
          </cell>
          <cell r="X23">
            <v>629</v>
          </cell>
          <cell r="Y23">
            <v>27</v>
          </cell>
          <cell r="Z23">
            <v>31.8</v>
          </cell>
          <cell r="AA23">
            <v>13.4</v>
          </cell>
          <cell r="AB23">
            <v>-27.95</v>
          </cell>
        </row>
        <row r="24">
          <cell r="A24">
            <v>24</v>
          </cell>
          <cell r="B24" t="str">
            <v>Arizona Cardinals</v>
          </cell>
          <cell r="C24">
            <v>17</v>
          </cell>
          <cell r="D24">
            <v>330</v>
          </cell>
          <cell r="E24">
            <v>5509</v>
          </cell>
          <cell r="F24">
            <v>1068</v>
          </cell>
          <cell r="G24">
            <v>5.2</v>
          </cell>
          <cell r="H24">
            <v>18</v>
          </cell>
          <cell r="I24">
            <v>6</v>
          </cell>
          <cell r="J24">
            <v>330</v>
          </cell>
          <cell r="K24">
            <v>355</v>
          </cell>
          <cell r="L24">
            <v>555</v>
          </cell>
          <cell r="M24">
            <v>3144</v>
          </cell>
          <cell r="N24">
            <v>18</v>
          </cell>
          <cell r="O24">
            <v>12</v>
          </cell>
          <cell r="P24">
            <v>5.3</v>
          </cell>
          <cell r="Q24">
            <v>173</v>
          </cell>
          <cell r="R24">
            <v>471</v>
          </cell>
          <cell r="S24">
            <v>2365</v>
          </cell>
          <cell r="T24">
            <v>17</v>
          </cell>
          <cell r="U24">
            <v>5</v>
          </cell>
          <cell r="V24">
            <v>127</v>
          </cell>
          <cell r="W24">
            <v>101</v>
          </cell>
          <cell r="X24">
            <v>859</v>
          </cell>
          <cell r="Y24">
            <v>30</v>
          </cell>
          <cell r="Z24">
            <v>35</v>
          </cell>
          <cell r="AA24">
            <v>9.4</v>
          </cell>
          <cell r="AB24">
            <v>-2.99</v>
          </cell>
        </row>
        <row r="25">
          <cell r="A25">
            <v>25</v>
          </cell>
          <cell r="B25" t="str">
            <v>Washington Commanders</v>
          </cell>
          <cell r="C25">
            <v>17</v>
          </cell>
          <cell r="D25">
            <v>329</v>
          </cell>
          <cell r="E25">
            <v>5317</v>
          </cell>
          <cell r="F25">
            <v>1060</v>
          </cell>
          <cell r="G25">
            <v>5</v>
          </cell>
          <cell r="H25">
            <v>32</v>
          </cell>
          <cell r="I25">
            <v>11</v>
          </cell>
          <cell r="J25">
            <v>321</v>
          </cell>
          <cell r="K25">
            <v>407</v>
          </cell>
          <cell r="L25">
            <v>636</v>
          </cell>
          <cell r="M25">
            <v>3725</v>
          </cell>
          <cell r="N25">
            <v>24</v>
          </cell>
          <cell r="O25">
            <v>21</v>
          </cell>
          <cell r="P25">
            <v>5.3</v>
          </cell>
          <cell r="Q25">
            <v>190</v>
          </cell>
          <cell r="R25">
            <v>359</v>
          </cell>
          <cell r="S25">
            <v>1592</v>
          </cell>
          <cell r="T25">
            <v>14</v>
          </cell>
          <cell r="U25">
            <v>4.4000000000000004</v>
          </cell>
          <cell r="V25">
            <v>99</v>
          </cell>
          <cell r="W25">
            <v>87</v>
          </cell>
          <cell r="X25">
            <v>701</v>
          </cell>
          <cell r="Y25">
            <v>32</v>
          </cell>
          <cell r="Z25">
            <v>29.4</v>
          </cell>
          <cell r="AA25">
            <v>15.2</v>
          </cell>
          <cell r="AB25">
            <v>-29.99</v>
          </cell>
        </row>
        <row r="26">
          <cell r="A26">
            <v>26</v>
          </cell>
          <cell r="B26" t="str">
            <v>Atlanta Falcons</v>
          </cell>
          <cell r="C26">
            <v>17</v>
          </cell>
          <cell r="D26">
            <v>321</v>
          </cell>
          <cell r="E26">
            <v>5683</v>
          </cell>
          <cell r="F26">
            <v>1092</v>
          </cell>
          <cell r="G26">
            <v>5.2</v>
          </cell>
          <cell r="H26">
            <v>28</v>
          </cell>
          <cell r="I26">
            <v>11</v>
          </cell>
          <cell r="J26">
            <v>326</v>
          </cell>
          <cell r="K26">
            <v>327</v>
          </cell>
          <cell r="L26">
            <v>530</v>
          </cell>
          <cell r="M26">
            <v>3524</v>
          </cell>
          <cell r="N26">
            <v>17</v>
          </cell>
          <cell r="O26">
            <v>17</v>
          </cell>
          <cell r="P26">
            <v>6.2</v>
          </cell>
          <cell r="Q26">
            <v>181</v>
          </cell>
          <cell r="R26">
            <v>522</v>
          </cell>
          <cell r="S26">
            <v>2159</v>
          </cell>
          <cell r="T26">
            <v>14</v>
          </cell>
          <cell r="U26">
            <v>4.0999999999999996</v>
          </cell>
          <cell r="V26">
            <v>121</v>
          </cell>
          <cell r="W26">
            <v>84</v>
          </cell>
          <cell r="X26">
            <v>743</v>
          </cell>
          <cell r="Y26">
            <v>24</v>
          </cell>
          <cell r="Z26">
            <v>32.1</v>
          </cell>
          <cell r="AA26">
            <v>14.3</v>
          </cell>
          <cell r="AB26">
            <v>-32.520000000000003</v>
          </cell>
        </row>
        <row r="27">
          <cell r="A27">
            <v>27</v>
          </cell>
          <cell r="B27" t="str">
            <v>Tennessee Titans</v>
          </cell>
          <cell r="C27">
            <v>17</v>
          </cell>
          <cell r="D27">
            <v>305</v>
          </cell>
          <cell r="E27">
            <v>4913</v>
          </cell>
          <cell r="F27">
            <v>1002</v>
          </cell>
          <cell r="G27">
            <v>4.9000000000000004</v>
          </cell>
          <cell r="H27">
            <v>20</v>
          </cell>
          <cell r="I27">
            <v>9</v>
          </cell>
          <cell r="J27">
            <v>298</v>
          </cell>
          <cell r="K27">
            <v>304</v>
          </cell>
          <cell r="L27">
            <v>494</v>
          </cell>
          <cell r="M27">
            <v>3067</v>
          </cell>
          <cell r="N27">
            <v>14</v>
          </cell>
          <cell r="O27">
            <v>11</v>
          </cell>
          <cell r="P27">
            <v>5.5</v>
          </cell>
          <cell r="Q27">
            <v>158</v>
          </cell>
          <cell r="R27">
            <v>444</v>
          </cell>
          <cell r="S27">
            <v>1846</v>
          </cell>
          <cell r="T27">
            <v>16</v>
          </cell>
          <cell r="U27">
            <v>4.2</v>
          </cell>
          <cell r="V27">
            <v>103</v>
          </cell>
          <cell r="W27">
            <v>110</v>
          </cell>
          <cell r="X27">
            <v>882</v>
          </cell>
          <cell r="Y27">
            <v>37</v>
          </cell>
          <cell r="Z27">
            <v>32.6</v>
          </cell>
          <cell r="AA27">
            <v>9.4</v>
          </cell>
          <cell r="AB27">
            <v>3.82</v>
          </cell>
        </row>
        <row r="28">
          <cell r="A28">
            <v>28</v>
          </cell>
          <cell r="B28" t="str">
            <v>Pittsburgh Steelers</v>
          </cell>
          <cell r="C28">
            <v>17</v>
          </cell>
          <cell r="D28">
            <v>304</v>
          </cell>
          <cell r="E28">
            <v>5173</v>
          </cell>
          <cell r="F28">
            <v>1029</v>
          </cell>
          <cell r="G28">
            <v>5</v>
          </cell>
          <cell r="H28">
            <v>16</v>
          </cell>
          <cell r="I28">
            <v>7</v>
          </cell>
          <cell r="J28">
            <v>287</v>
          </cell>
          <cell r="K28">
            <v>323</v>
          </cell>
          <cell r="L28">
            <v>506</v>
          </cell>
          <cell r="M28">
            <v>3163</v>
          </cell>
          <cell r="N28">
            <v>13</v>
          </cell>
          <cell r="O28">
            <v>9</v>
          </cell>
          <cell r="P28">
            <v>5.8</v>
          </cell>
          <cell r="Q28">
            <v>153</v>
          </cell>
          <cell r="R28">
            <v>487</v>
          </cell>
          <cell r="S28">
            <v>2010</v>
          </cell>
          <cell r="T28">
            <v>16</v>
          </cell>
          <cell r="U28">
            <v>4.0999999999999996</v>
          </cell>
          <cell r="V28">
            <v>115</v>
          </cell>
          <cell r="W28">
            <v>86</v>
          </cell>
          <cell r="X28">
            <v>753</v>
          </cell>
          <cell r="Y28">
            <v>19</v>
          </cell>
          <cell r="Z28">
            <v>29.9</v>
          </cell>
          <cell r="AA28">
            <v>7.7</v>
          </cell>
          <cell r="AB28">
            <v>-16.68</v>
          </cell>
        </row>
        <row r="29">
          <cell r="A29">
            <v>29</v>
          </cell>
          <cell r="B29" t="str">
            <v>New York Jets</v>
          </cell>
          <cell r="C29">
            <v>17</v>
          </cell>
          <cell r="D29">
            <v>268</v>
          </cell>
          <cell r="E29">
            <v>4566</v>
          </cell>
          <cell r="F29">
            <v>1053</v>
          </cell>
          <cell r="G29">
            <v>4.3</v>
          </cell>
          <cell r="H29">
            <v>33</v>
          </cell>
          <cell r="I29">
            <v>18</v>
          </cell>
          <cell r="J29">
            <v>260</v>
          </cell>
          <cell r="K29">
            <v>356</v>
          </cell>
          <cell r="L29">
            <v>601</v>
          </cell>
          <cell r="M29">
            <v>2919</v>
          </cell>
          <cell r="N29">
            <v>11</v>
          </cell>
          <cell r="O29">
            <v>15</v>
          </cell>
          <cell r="P29">
            <v>4.4000000000000004</v>
          </cell>
          <cell r="Q29">
            <v>156</v>
          </cell>
          <cell r="R29">
            <v>388</v>
          </cell>
          <cell r="S29">
            <v>1647</v>
          </cell>
          <cell r="T29">
            <v>7</v>
          </cell>
          <cell r="U29">
            <v>4.2</v>
          </cell>
          <cell r="V29">
            <v>77</v>
          </cell>
          <cell r="W29">
            <v>124</v>
          </cell>
          <cell r="X29">
            <v>945</v>
          </cell>
          <cell r="Y29">
            <v>27</v>
          </cell>
          <cell r="Z29">
            <v>26</v>
          </cell>
          <cell r="AA29">
            <v>13.9</v>
          </cell>
          <cell r="AB29">
            <v>-199.77</v>
          </cell>
        </row>
        <row r="30">
          <cell r="A30">
            <v>30</v>
          </cell>
          <cell r="B30" t="str">
            <v>New York Giants</v>
          </cell>
          <cell r="C30">
            <v>17</v>
          </cell>
          <cell r="D30">
            <v>266</v>
          </cell>
          <cell r="E30">
            <v>4760</v>
          </cell>
          <cell r="F30">
            <v>1057</v>
          </cell>
          <cell r="G30">
            <v>4.5</v>
          </cell>
          <cell r="H30">
            <v>19</v>
          </cell>
          <cell r="I30">
            <v>7</v>
          </cell>
          <cell r="J30">
            <v>267</v>
          </cell>
          <cell r="K30">
            <v>338</v>
          </cell>
          <cell r="L30">
            <v>518</v>
          </cell>
          <cell r="M30">
            <v>2886</v>
          </cell>
          <cell r="N30">
            <v>15</v>
          </cell>
          <cell r="O30">
            <v>12</v>
          </cell>
          <cell r="P30">
            <v>4.8</v>
          </cell>
          <cell r="Q30">
            <v>141</v>
          </cell>
          <cell r="R30">
            <v>454</v>
          </cell>
          <cell r="S30">
            <v>1874</v>
          </cell>
          <cell r="T30">
            <v>10</v>
          </cell>
          <cell r="U30">
            <v>4.0999999999999996</v>
          </cell>
          <cell r="V30">
            <v>97</v>
          </cell>
          <cell r="W30">
            <v>89</v>
          </cell>
          <cell r="X30">
            <v>711</v>
          </cell>
          <cell r="Y30">
            <v>29</v>
          </cell>
          <cell r="Z30">
            <v>23.6</v>
          </cell>
          <cell r="AA30">
            <v>8.5</v>
          </cell>
          <cell r="AB30">
            <v>-130.06</v>
          </cell>
        </row>
        <row r="31">
          <cell r="A31">
            <v>31</v>
          </cell>
          <cell r="B31" t="str">
            <v>New England Patriots</v>
          </cell>
          <cell r="C31">
            <v>17</v>
          </cell>
          <cell r="D31">
            <v>236</v>
          </cell>
          <cell r="E31">
            <v>4696</v>
          </cell>
          <cell r="F31">
            <v>1020</v>
          </cell>
          <cell r="G31">
            <v>4.5999999999999996</v>
          </cell>
          <cell r="H31">
            <v>29</v>
          </cell>
          <cell r="I31">
            <v>8</v>
          </cell>
          <cell r="J31">
            <v>261</v>
          </cell>
          <cell r="K31">
            <v>351</v>
          </cell>
          <cell r="L31">
            <v>557</v>
          </cell>
          <cell r="M31">
            <v>3069</v>
          </cell>
          <cell r="N31">
            <v>16</v>
          </cell>
          <cell r="O31">
            <v>21</v>
          </cell>
          <cell r="P31">
            <v>5.0999999999999996</v>
          </cell>
          <cell r="Q31">
            <v>153</v>
          </cell>
          <cell r="R31">
            <v>415</v>
          </cell>
          <cell r="S31">
            <v>1627</v>
          </cell>
          <cell r="T31">
            <v>9</v>
          </cell>
          <cell r="U31">
            <v>3.9</v>
          </cell>
          <cell r="V31">
            <v>93</v>
          </cell>
          <cell r="W31">
            <v>89</v>
          </cell>
          <cell r="X31">
            <v>676</v>
          </cell>
          <cell r="Y31">
            <v>15</v>
          </cell>
          <cell r="Z31">
            <v>20.2</v>
          </cell>
          <cell r="AA31">
            <v>14.3</v>
          </cell>
          <cell r="AB31">
            <v>-157.57</v>
          </cell>
        </row>
        <row r="32">
          <cell r="A32">
            <v>32</v>
          </cell>
          <cell r="B32" t="str">
            <v>Carolina Panthers</v>
          </cell>
          <cell r="C32">
            <v>17</v>
          </cell>
          <cell r="D32">
            <v>236</v>
          </cell>
          <cell r="E32">
            <v>4510</v>
          </cell>
          <cell r="F32">
            <v>1096</v>
          </cell>
          <cell r="G32">
            <v>4.0999999999999996</v>
          </cell>
          <cell r="H32">
            <v>20</v>
          </cell>
          <cell r="I32">
            <v>10</v>
          </cell>
          <cell r="J32">
            <v>297</v>
          </cell>
          <cell r="K32">
            <v>350</v>
          </cell>
          <cell r="L32">
            <v>586</v>
          </cell>
          <cell r="M32">
            <v>2741</v>
          </cell>
          <cell r="N32">
            <v>13</v>
          </cell>
          <cell r="O32">
            <v>10</v>
          </cell>
          <cell r="P32">
            <v>4.2</v>
          </cell>
          <cell r="Q32">
            <v>150</v>
          </cell>
          <cell r="R32">
            <v>445</v>
          </cell>
          <cell r="S32">
            <v>1769</v>
          </cell>
          <cell r="T32">
            <v>7</v>
          </cell>
          <cell r="U32">
            <v>4</v>
          </cell>
          <cell r="V32">
            <v>111</v>
          </cell>
          <cell r="W32">
            <v>103</v>
          </cell>
          <cell r="X32">
            <v>845</v>
          </cell>
          <cell r="Y32">
            <v>36</v>
          </cell>
          <cell r="Z32">
            <v>25</v>
          </cell>
          <cell r="AA32">
            <v>11.1</v>
          </cell>
          <cell r="AB32">
            <v>-135.03</v>
          </cell>
        </row>
      </sheetData>
      <sheetData sheetId="1">
        <row r="1">
          <cell r="A1" t="str">
            <v>1</v>
          </cell>
          <cell r="B1" t="str">
            <v>Baltimore Ravens</v>
          </cell>
          <cell r="C1" t="str">
            <v>17</v>
          </cell>
          <cell r="D1" t="str">
            <v>280</v>
          </cell>
          <cell r="E1" t="str">
            <v>5123</v>
          </cell>
          <cell r="F1" t="str">
            <v>1109</v>
          </cell>
          <cell r="G1" t="str">
            <v>4.6</v>
          </cell>
          <cell r="H1" t="str">
            <v>31</v>
          </cell>
          <cell r="I1" t="str">
            <v>13</v>
          </cell>
          <cell r="J1" t="str">
            <v>306</v>
          </cell>
          <cell r="K1" t="str">
            <v>384</v>
          </cell>
          <cell r="L1" t="str">
            <v>634</v>
          </cell>
          <cell r="M1" t="str">
            <v>3263</v>
          </cell>
          <cell r="N1" t="str">
            <v>18</v>
          </cell>
          <cell r="O1" t="str">
            <v>18.1</v>
          </cell>
          <cell r="P1" t="str">
            <v>4.7</v>
          </cell>
          <cell r="Q1" t="str">
            <v>175</v>
          </cell>
          <cell r="R1" t="str">
            <v>415</v>
          </cell>
          <cell r="S1" t="str">
            <v>1860</v>
          </cell>
          <cell r="T1" t="str">
            <v>6</v>
          </cell>
          <cell r="U1" t="str">
            <v>4.5</v>
          </cell>
          <cell r="V1" t="str">
            <v>96</v>
          </cell>
          <cell r="W1" t="str">
            <v>106</v>
          </cell>
          <cell r="X1" t="str">
            <v>841</v>
          </cell>
          <cell r="Y1" t="str">
            <v>35</v>
          </cell>
          <cell r="Z1" t="str">
            <v>28.7</v>
          </cell>
          <cell r="AA1" t="str">
            <v>14.4</v>
          </cell>
          <cell r="AB1" t="str">
            <v>113.76</v>
          </cell>
        </row>
        <row r="2">
          <cell r="A2">
            <v>2</v>
          </cell>
          <cell r="B2" t="str">
            <v>Kansas City Chiefs</v>
          </cell>
          <cell r="C2">
            <v>17</v>
          </cell>
          <cell r="D2">
            <v>294</v>
          </cell>
          <cell r="E2">
            <v>4926</v>
          </cell>
          <cell r="F2">
            <v>1045</v>
          </cell>
          <cell r="G2">
            <v>4.7</v>
          </cell>
          <cell r="H2">
            <v>17</v>
          </cell>
          <cell r="I2">
            <v>9</v>
          </cell>
          <cell r="J2">
            <v>300</v>
          </cell>
          <cell r="K2">
            <v>340</v>
          </cell>
          <cell r="L2">
            <v>556</v>
          </cell>
          <cell r="M2">
            <v>3001</v>
          </cell>
          <cell r="N2">
            <v>19</v>
          </cell>
          <cell r="O2">
            <v>8</v>
          </cell>
          <cell r="P2">
            <v>4.9000000000000004</v>
          </cell>
          <cell r="Q2">
            <v>169</v>
          </cell>
          <cell r="R2">
            <v>432</v>
          </cell>
          <cell r="S2">
            <v>1925</v>
          </cell>
          <cell r="T2">
            <v>10</v>
          </cell>
          <cell r="U2">
            <v>4.5</v>
          </cell>
          <cell r="V2">
            <v>107</v>
          </cell>
          <cell r="W2">
            <v>73</v>
          </cell>
          <cell r="X2">
            <v>604</v>
          </cell>
          <cell r="Y2">
            <v>24</v>
          </cell>
          <cell r="Z2">
            <v>28.5</v>
          </cell>
          <cell r="AA2">
            <v>9.5</v>
          </cell>
          <cell r="AB2">
            <v>35.54</v>
          </cell>
        </row>
        <row r="3">
          <cell r="A3">
            <v>3</v>
          </cell>
          <cell r="B3" t="str">
            <v>San Francisco 49ers</v>
          </cell>
          <cell r="C3">
            <v>17</v>
          </cell>
          <cell r="D3">
            <v>298</v>
          </cell>
          <cell r="E3">
            <v>5167</v>
          </cell>
          <cell r="F3">
            <v>1038</v>
          </cell>
          <cell r="G3">
            <v>5</v>
          </cell>
          <cell r="H3">
            <v>28</v>
          </cell>
          <cell r="I3">
            <v>6</v>
          </cell>
          <cell r="J3">
            <v>319</v>
          </cell>
          <cell r="K3">
            <v>410</v>
          </cell>
          <cell r="L3">
            <v>621</v>
          </cell>
          <cell r="M3">
            <v>3642</v>
          </cell>
          <cell r="N3">
            <v>20</v>
          </cell>
          <cell r="O3">
            <v>22</v>
          </cell>
          <cell r="P3">
            <v>5.4</v>
          </cell>
          <cell r="Q3">
            <v>190</v>
          </cell>
          <cell r="R3">
            <v>369</v>
          </cell>
          <cell r="S3">
            <v>1525</v>
          </cell>
          <cell r="T3">
            <v>10</v>
          </cell>
          <cell r="U3">
            <v>4.0999999999999996</v>
          </cell>
          <cell r="V3">
            <v>97</v>
          </cell>
          <cell r="W3">
            <v>94</v>
          </cell>
          <cell r="X3">
            <v>762</v>
          </cell>
          <cell r="Y3">
            <v>32</v>
          </cell>
          <cell r="Z3">
            <v>33.9</v>
          </cell>
          <cell r="AA3">
            <v>15.5</v>
          </cell>
          <cell r="AB3">
            <v>-7.76</v>
          </cell>
        </row>
        <row r="4">
          <cell r="A4">
            <v>4</v>
          </cell>
          <cell r="B4" t="str">
            <v>Buffalo Bills</v>
          </cell>
          <cell r="C4">
            <v>17</v>
          </cell>
          <cell r="D4">
            <v>311</v>
          </cell>
          <cell r="E4">
            <v>5222</v>
          </cell>
          <cell r="F4">
            <v>1015</v>
          </cell>
          <cell r="G4">
            <v>5.0999999999999996</v>
          </cell>
          <cell r="H4">
            <v>30</v>
          </cell>
          <cell r="I4">
            <v>12</v>
          </cell>
          <cell r="J4">
            <v>313</v>
          </cell>
          <cell r="K4">
            <v>363</v>
          </cell>
          <cell r="L4">
            <v>552</v>
          </cell>
          <cell r="M4">
            <v>3342</v>
          </cell>
          <cell r="N4">
            <v>18</v>
          </cell>
          <cell r="O4">
            <v>18</v>
          </cell>
          <cell r="P4">
            <v>5.5</v>
          </cell>
          <cell r="Q4">
            <v>183</v>
          </cell>
          <cell r="R4">
            <v>409</v>
          </cell>
          <cell r="S4">
            <v>1880</v>
          </cell>
          <cell r="T4">
            <v>14</v>
          </cell>
          <cell r="U4">
            <v>4.5999999999999996</v>
          </cell>
          <cell r="V4">
            <v>96</v>
          </cell>
          <cell r="W4">
            <v>99</v>
          </cell>
          <cell r="X4">
            <v>753</v>
          </cell>
          <cell r="Y4">
            <v>34</v>
          </cell>
          <cell r="Z4">
            <v>32</v>
          </cell>
          <cell r="AA4">
            <v>16</v>
          </cell>
          <cell r="AB4">
            <v>5.71</v>
          </cell>
        </row>
        <row r="5">
          <cell r="A5">
            <v>5</v>
          </cell>
          <cell r="B5" t="str">
            <v>Dallas Cowboys</v>
          </cell>
          <cell r="C5">
            <v>17</v>
          </cell>
          <cell r="D5">
            <v>315</v>
          </cell>
          <cell r="E5">
            <v>5095</v>
          </cell>
          <cell r="F5">
            <v>1014</v>
          </cell>
          <cell r="G5">
            <v>5</v>
          </cell>
          <cell r="H5">
            <v>26</v>
          </cell>
          <cell r="I5">
            <v>9</v>
          </cell>
          <cell r="J5">
            <v>311</v>
          </cell>
          <cell r="K5">
            <v>308</v>
          </cell>
          <cell r="L5">
            <v>509</v>
          </cell>
          <cell r="M5">
            <v>3185</v>
          </cell>
          <cell r="N5">
            <v>21</v>
          </cell>
          <cell r="O5">
            <v>17</v>
          </cell>
          <cell r="P5">
            <v>5.7</v>
          </cell>
          <cell r="Q5">
            <v>166</v>
          </cell>
          <cell r="R5">
            <v>459</v>
          </cell>
          <cell r="S5">
            <v>1910</v>
          </cell>
          <cell r="T5">
            <v>14</v>
          </cell>
          <cell r="U5">
            <v>4.2</v>
          </cell>
          <cell r="V5">
            <v>108</v>
          </cell>
          <cell r="W5">
            <v>104</v>
          </cell>
          <cell r="X5">
            <v>934</v>
          </cell>
          <cell r="Y5">
            <v>37</v>
          </cell>
          <cell r="Z5">
            <v>32</v>
          </cell>
          <cell r="AA5">
            <v>14.6</v>
          </cell>
          <cell r="AB5">
            <v>4.29</v>
          </cell>
        </row>
        <row r="6">
          <cell r="A6">
            <v>6</v>
          </cell>
          <cell r="B6" t="str">
            <v>Pittsburgh Steelers</v>
          </cell>
          <cell r="C6">
            <v>17</v>
          </cell>
          <cell r="D6">
            <v>324</v>
          </cell>
          <cell r="E6">
            <v>5816</v>
          </cell>
          <cell r="F6">
            <v>1074</v>
          </cell>
          <cell r="G6">
            <v>5.4</v>
          </cell>
          <cell r="H6">
            <v>27</v>
          </cell>
          <cell r="I6">
            <v>11</v>
          </cell>
          <cell r="J6">
            <v>311</v>
          </cell>
          <cell r="K6">
            <v>348</v>
          </cell>
          <cell r="L6">
            <v>573</v>
          </cell>
          <cell r="M6">
            <v>3860</v>
          </cell>
          <cell r="N6">
            <v>23</v>
          </cell>
          <cell r="O6">
            <v>16</v>
          </cell>
          <cell r="P6">
            <v>6.2</v>
          </cell>
          <cell r="Q6">
            <v>186</v>
          </cell>
          <cell r="R6">
            <v>454</v>
          </cell>
          <cell r="S6">
            <v>1956</v>
          </cell>
          <cell r="T6">
            <v>9</v>
          </cell>
          <cell r="U6">
            <v>4.3</v>
          </cell>
          <cell r="V6">
            <v>95</v>
          </cell>
          <cell r="W6">
            <v>90</v>
          </cell>
          <cell r="X6">
            <v>741</v>
          </cell>
          <cell r="Y6">
            <v>30</v>
          </cell>
          <cell r="Z6">
            <v>33.700000000000003</v>
          </cell>
          <cell r="AA6">
            <v>14.2</v>
          </cell>
          <cell r="AB6">
            <v>-3.91</v>
          </cell>
        </row>
        <row r="7">
          <cell r="A7">
            <v>7</v>
          </cell>
          <cell r="B7" t="str">
            <v>Tampa Bay Buccaneers</v>
          </cell>
          <cell r="C7">
            <v>17</v>
          </cell>
          <cell r="D7">
            <v>325</v>
          </cell>
          <cell r="E7">
            <v>5852</v>
          </cell>
          <cell r="F7">
            <v>1081</v>
          </cell>
          <cell r="G7">
            <v>5.4</v>
          </cell>
          <cell r="H7">
            <v>26</v>
          </cell>
          <cell r="I7">
            <v>13</v>
          </cell>
          <cell r="J7">
            <v>337</v>
          </cell>
          <cell r="K7">
            <v>404</v>
          </cell>
          <cell r="L7">
            <v>611</v>
          </cell>
          <cell r="M7">
            <v>4232</v>
          </cell>
          <cell r="N7">
            <v>23</v>
          </cell>
          <cell r="O7">
            <v>13</v>
          </cell>
          <cell r="P7">
            <v>6.4</v>
          </cell>
          <cell r="Q7">
            <v>213</v>
          </cell>
          <cell r="R7">
            <v>422</v>
          </cell>
          <cell r="S7">
            <v>1620</v>
          </cell>
          <cell r="T7">
            <v>11</v>
          </cell>
          <cell r="U7">
            <v>3.8</v>
          </cell>
          <cell r="V7">
            <v>101</v>
          </cell>
          <cell r="W7">
            <v>93</v>
          </cell>
          <cell r="X7">
            <v>762</v>
          </cell>
          <cell r="Y7">
            <v>23</v>
          </cell>
          <cell r="Z7">
            <v>34.4</v>
          </cell>
          <cell r="AA7">
            <v>14.2</v>
          </cell>
          <cell r="AB7">
            <v>-29.99</v>
          </cell>
        </row>
        <row r="8">
          <cell r="A8">
            <v>8</v>
          </cell>
          <cell r="B8" t="str">
            <v>New Orleans Saints</v>
          </cell>
          <cell r="C8">
            <v>17</v>
          </cell>
          <cell r="D8">
            <v>327</v>
          </cell>
          <cell r="E8">
            <v>5562</v>
          </cell>
          <cell r="F8">
            <v>1054</v>
          </cell>
          <cell r="G8">
            <v>5.3</v>
          </cell>
          <cell r="H8">
            <v>29</v>
          </cell>
          <cell r="I8">
            <v>11</v>
          </cell>
          <cell r="J8">
            <v>300</v>
          </cell>
          <cell r="K8">
            <v>333</v>
          </cell>
          <cell r="L8">
            <v>558</v>
          </cell>
          <cell r="M8">
            <v>3524</v>
          </cell>
          <cell r="N8">
            <v>22</v>
          </cell>
          <cell r="O8">
            <v>18</v>
          </cell>
          <cell r="P8">
            <v>6</v>
          </cell>
          <cell r="Q8">
            <v>167</v>
          </cell>
          <cell r="R8">
            <v>462</v>
          </cell>
          <cell r="S8">
            <v>2038</v>
          </cell>
          <cell r="T8">
            <v>10</v>
          </cell>
          <cell r="U8">
            <v>4.4000000000000004</v>
          </cell>
          <cell r="V8">
            <v>100</v>
          </cell>
          <cell r="W8">
            <v>102</v>
          </cell>
          <cell r="X8">
            <v>775</v>
          </cell>
          <cell r="Y8">
            <v>33</v>
          </cell>
          <cell r="Z8">
            <v>31.6</v>
          </cell>
          <cell r="AA8">
            <v>14.3</v>
          </cell>
          <cell r="AB8">
            <v>35.39</v>
          </cell>
        </row>
        <row r="9">
          <cell r="A9">
            <v>9</v>
          </cell>
          <cell r="B9" t="str">
            <v>Las Vegas Raiders</v>
          </cell>
          <cell r="C9">
            <v>17</v>
          </cell>
          <cell r="D9">
            <v>331</v>
          </cell>
          <cell r="E9">
            <v>5625</v>
          </cell>
          <cell r="F9">
            <v>1089</v>
          </cell>
          <cell r="G9">
            <v>5.2</v>
          </cell>
          <cell r="H9">
            <v>22</v>
          </cell>
          <cell r="I9">
            <v>9</v>
          </cell>
          <cell r="J9">
            <v>330</v>
          </cell>
          <cell r="K9">
            <v>376</v>
          </cell>
          <cell r="L9">
            <v>564</v>
          </cell>
          <cell r="M9">
            <v>3610</v>
          </cell>
          <cell r="N9">
            <v>21</v>
          </cell>
          <cell r="O9">
            <v>13</v>
          </cell>
          <cell r="P9">
            <v>5.9</v>
          </cell>
          <cell r="Q9">
            <v>187</v>
          </cell>
          <cell r="R9">
            <v>479</v>
          </cell>
          <cell r="S9">
            <v>2015</v>
          </cell>
          <cell r="T9">
            <v>15</v>
          </cell>
          <cell r="U9">
            <v>4.2</v>
          </cell>
          <cell r="V9">
            <v>117</v>
          </cell>
          <cell r="W9">
            <v>96</v>
          </cell>
          <cell r="X9">
            <v>861</v>
          </cell>
          <cell r="Y9">
            <v>26</v>
          </cell>
          <cell r="Z9">
            <v>33</v>
          </cell>
          <cell r="AA9">
            <v>11.4</v>
          </cell>
          <cell r="AB9">
            <v>-22.59</v>
          </cell>
        </row>
        <row r="10">
          <cell r="A10">
            <v>10</v>
          </cell>
          <cell r="B10" t="str">
            <v>Green Bay Packers</v>
          </cell>
          <cell r="C10">
            <v>17</v>
          </cell>
          <cell r="D10">
            <v>350</v>
          </cell>
          <cell r="E10">
            <v>5696</v>
          </cell>
          <cell r="F10">
            <v>1061</v>
          </cell>
          <cell r="G10">
            <v>5.4</v>
          </cell>
          <cell r="H10">
            <v>18</v>
          </cell>
          <cell r="I10">
            <v>11</v>
          </cell>
          <cell r="J10">
            <v>340</v>
          </cell>
          <cell r="K10">
            <v>342</v>
          </cell>
          <cell r="L10">
            <v>523</v>
          </cell>
          <cell r="M10">
            <v>3515</v>
          </cell>
          <cell r="N10">
            <v>21</v>
          </cell>
          <cell r="O10">
            <v>7</v>
          </cell>
          <cell r="P10">
            <v>6.2</v>
          </cell>
          <cell r="Q10">
            <v>189</v>
          </cell>
          <cell r="R10">
            <v>493</v>
          </cell>
          <cell r="S10">
            <v>2181</v>
          </cell>
          <cell r="T10">
            <v>15</v>
          </cell>
          <cell r="U10">
            <v>4.4000000000000004</v>
          </cell>
          <cell r="V10">
            <v>120</v>
          </cell>
          <cell r="W10">
            <v>95</v>
          </cell>
          <cell r="X10">
            <v>907</v>
          </cell>
          <cell r="Y10">
            <v>31</v>
          </cell>
          <cell r="Z10">
            <v>38.700000000000003</v>
          </cell>
          <cell r="AA10">
            <v>9.8000000000000007</v>
          </cell>
          <cell r="AB10">
            <v>-84.9</v>
          </cell>
        </row>
        <row r="11">
          <cell r="A11">
            <v>11</v>
          </cell>
          <cell r="B11" t="str">
            <v>Houston Texans</v>
          </cell>
          <cell r="C11">
            <v>17</v>
          </cell>
          <cell r="D11">
            <v>353</v>
          </cell>
          <cell r="E11">
            <v>5622</v>
          </cell>
          <cell r="F11">
            <v>1079</v>
          </cell>
          <cell r="G11">
            <v>5.2</v>
          </cell>
          <cell r="H11">
            <v>24</v>
          </cell>
          <cell r="I11">
            <v>10</v>
          </cell>
          <cell r="J11">
            <v>332</v>
          </cell>
          <cell r="K11">
            <v>382</v>
          </cell>
          <cell r="L11">
            <v>565</v>
          </cell>
          <cell r="M11">
            <v>3979</v>
          </cell>
          <cell r="N11">
            <v>17</v>
          </cell>
          <cell r="O11">
            <v>14</v>
          </cell>
          <cell r="P11">
            <v>6.5</v>
          </cell>
          <cell r="Q11">
            <v>185</v>
          </cell>
          <cell r="R11">
            <v>468</v>
          </cell>
          <cell r="S11">
            <v>1643</v>
          </cell>
          <cell r="T11">
            <v>19</v>
          </cell>
          <cell r="U11">
            <v>3.5</v>
          </cell>
          <cell r="V11">
            <v>110</v>
          </cell>
          <cell r="W11">
            <v>100</v>
          </cell>
          <cell r="X11">
            <v>805</v>
          </cell>
          <cell r="Y11">
            <v>37</v>
          </cell>
          <cell r="Z11">
            <v>34.700000000000003</v>
          </cell>
          <cell r="AA11">
            <v>11.1</v>
          </cell>
          <cell r="AB11">
            <v>-35.92</v>
          </cell>
        </row>
        <row r="12">
          <cell r="A12">
            <v>12</v>
          </cell>
          <cell r="B12" t="str">
            <v>New York Jets</v>
          </cell>
          <cell r="C12">
            <v>17</v>
          </cell>
          <cell r="D12">
            <v>355</v>
          </cell>
          <cell r="E12">
            <v>4969</v>
          </cell>
          <cell r="F12">
            <v>1087</v>
          </cell>
          <cell r="G12">
            <v>4.5999999999999996</v>
          </cell>
          <cell r="H12">
            <v>27</v>
          </cell>
          <cell r="I12">
            <v>10</v>
          </cell>
          <cell r="J12">
            <v>298</v>
          </cell>
          <cell r="K12">
            <v>313</v>
          </cell>
          <cell r="L12">
            <v>522</v>
          </cell>
          <cell r="M12">
            <v>2861</v>
          </cell>
          <cell r="N12">
            <v>19</v>
          </cell>
          <cell r="O12">
            <v>17</v>
          </cell>
          <cell r="P12">
            <v>5</v>
          </cell>
          <cell r="Q12">
            <v>150</v>
          </cell>
          <cell r="R12">
            <v>517</v>
          </cell>
          <cell r="S12">
            <v>2108</v>
          </cell>
          <cell r="T12">
            <v>14</v>
          </cell>
          <cell r="U12">
            <v>4.0999999999999996</v>
          </cell>
          <cell r="V12">
            <v>111</v>
          </cell>
          <cell r="W12">
            <v>93</v>
          </cell>
          <cell r="X12">
            <v>780</v>
          </cell>
          <cell r="Y12">
            <v>37</v>
          </cell>
          <cell r="Z12">
            <v>31.8</v>
          </cell>
          <cell r="AA12">
            <v>11.8</v>
          </cell>
          <cell r="AB12">
            <v>75.84</v>
          </cell>
        </row>
        <row r="13">
          <cell r="A13">
            <v>13</v>
          </cell>
          <cell r="B13" t="str">
            <v>Minnesota Vikings</v>
          </cell>
          <cell r="C13">
            <v>17</v>
          </cell>
          <cell r="D13">
            <v>362</v>
          </cell>
          <cell r="E13">
            <v>5664</v>
          </cell>
          <cell r="F13">
            <v>1095</v>
          </cell>
          <cell r="G13">
            <v>5.2</v>
          </cell>
          <cell r="H13">
            <v>22</v>
          </cell>
          <cell r="I13">
            <v>11</v>
          </cell>
          <cell r="J13">
            <v>328</v>
          </cell>
          <cell r="K13">
            <v>426</v>
          </cell>
          <cell r="L13">
            <v>606</v>
          </cell>
          <cell r="M13">
            <v>3986</v>
          </cell>
          <cell r="N13">
            <v>23</v>
          </cell>
          <cell r="O13">
            <v>11</v>
          </cell>
          <cell r="P13">
            <v>6.1</v>
          </cell>
          <cell r="Q13">
            <v>208</v>
          </cell>
          <cell r="R13">
            <v>446</v>
          </cell>
          <cell r="S13">
            <v>1678</v>
          </cell>
          <cell r="T13">
            <v>14</v>
          </cell>
          <cell r="U13">
            <v>3.8</v>
          </cell>
          <cell r="V13">
            <v>104</v>
          </cell>
          <cell r="W13">
            <v>111</v>
          </cell>
          <cell r="X13">
            <v>916</v>
          </cell>
          <cell r="Y13">
            <v>16</v>
          </cell>
          <cell r="Z13">
            <v>37.1</v>
          </cell>
          <cell r="AA13">
            <v>11.3</v>
          </cell>
          <cell r="AB13">
            <v>-37.619999999999997</v>
          </cell>
        </row>
        <row r="14">
          <cell r="A14">
            <v>14</v>
          </cell>
          <cell r="B14" t="str">
            <v>Cleveland Browns</v>
          </cell>
          <cell r="C14">
            <v>17</v>
          </cell>
          <cell r="D14">
            <v>362</v>
          </cell>
          <cell r="E14">
            <v>4593</v>
          </cell>
          <cell r="F14">
            <v>1004</v>
          </cell>
          <cell r="G14">
            <v>4.5999999999999996</v>
          </cell>
          <cell r="H14">
            <v>28</v>
          </cell>
          <cell r="I14">
            <v>10</v>
          </cell>
          <cell r="J14">
            <v>254</v>
          </cell>
          <cell r="K14">
            <v>307</v>
          </cell>
          <cell r="L14">
            <v>535</v>
          </cell>
          <cell r="M14">
            <v>2800</v>
          </cell>
          <cell r="N14">
            <v>23</v>
          </cell>
          <cell r="O14">
            <v>18</v>
          </cell>
          <cell r="P14">
            <v>4.8</v>
          </cell>
          <cell r="Q14">
            <v>136</v>
          </cell>
          <cell r="R14">
            <v>420</v>
          </cell>
          <cell r="S14">
            <v>1793</v>
          </cell>
          <cell r="T14">
            <v>15</v>
          </cell>
          <cell r="U14">
            <v>4.3</v>
          </cell>
          <cell r="V14">
            <v>88</v>
          </cell>
          <cell r="W14">
            <v>118</v>
          </cell>
          <cell r="X14">
            <v>923</v>
          </cell>
          <cell r="Y14">
            <v>30</v>
          </cell>
          <cell r="Z14">
            <v>24.8</v>
          </cell>
          <cell r="AA14">
            <v>11.7</v>
          </cell>
          <cell r="AB14">
            <v>90.47</v>
          </cell>
        </row>
        <row r="15">
          <cell r="A15">
            <v>15</v>
          </cell>
          <cell r="B15" t="str">
            <v>New England Patriots</v>
          </cell>
          <cell r="C15">
            <v>17</v>
          </cell>
          <cell r="D15">
            <v>366</v>
          </cell>
          <cell r="E15">
            <v>5127</v>
          </cell>
          <cell r="F15">
            <v>1091</v>
          </cell>
          <cell r="G15">
            <v>4.7</v>
          </cell>
          <cell r="H15">
            <v>18</v>
          </cell>
          <cell r="I15">
            <v>8</v>
          </cell>
          <cell r="J15">
            <v>305</v>
          </cell>
          <cell r="K15">
            <v>370</v>
          </cell>
          <cell r="L15">
            <v>575</v>
          </cell>
          <cell r="M15">
            <v>3543</v>
          </cell>
          <cell r="N15">
            <v>19</v>
          </cell>
          <cell r="O15">
            <v>10</v>
          </cell>
          <cell r="P15">
            <v>5.8</v>
          </cell>
          <cell r="Q15">
            <v>181</v>
          </cell>
          <cell r="R15">
            <v>480</v>
          </cell>
          <cell r="S15">
            <v>1584</v>
          </cell>
          <cell r="T15">
            <v>14</v>
          </cell>
          <cell r="U15">
            <v>3.3</v>
          </cell>
          <cell r="V15">
            <v>100</v>
          </cell>
          <cell r="W15">
            <v>75</v>
          </cell>
          <cell r="X15">
            <v>544</v>
          </cell>
          <cell r="Y15">
            <v>24</v>
          </cell>
          <cell r="Z15">
            <v>31.5</v>
          </cell>
          <cell r="AA15">
            <v>7.9</v>
          </cell>
          <cell r="AB15">
            <v>25.44</v>
          </cell>
        </row>
        <row r="16">
          <cell r="A16">
            <v>16</v>
          </cell>
          <cell r="B16" t="str">
            <v>Tennessee Titans</v>
          </cell>
          <cell r="C16">
            <v>17</v>
          </cell>
          <cell r="D16">
            <v>367</v>
          </cell>
          <cell r="E16">
            <v>5697</v>
          </cell>
          <cell r="F16">
            <v>1096</v>
          </cell>
          <cell r="G16">
            <v>5.2</v>
          </cell>
          <cell r="H16">
            <v>14</v>
          </cell>
          <cell r="I16">
            <v>8</v>
          </cell>
          <cell r="J16">
            <v>334</v>
          </cell>
          <cell r="K16">
            <v>387</v>
          </cell>
          <cell r="L16">
            <v>571</v>
          </cell>
          <cell r="M16">
            <v>3866</v>
          </cell>
          <cell r="N16">
            <v>20</v>
          </cell>
          <cell r="O16">
            <v>6</v>
          </cell>
          <cell r="P16">
            <v>6.3</v>
          </cell>
          <cell r="Q16">
            <v>189</v>
          </cell>
          <cell r="R16">
            <v>480</v>
          </cell>
          <cell r="S16">
            <v>1831</v>
          </cell>
          <cell r="T16">
            <v>10</v>
          </cell>
          <cell r="U16">
            <v>3.8</v>
          </cell>
          <cell r="V16">
            <v>103</v>
          </cell>
          <cell r="W16">
            <v>98</v>
          </cell>
          <cell r="X16">
            <v>776</v>
          </cell>
          <cell r="Y16">
            <v>42</v>
          </cell>
          <cell r="Z16">
            <v>43.2</v>
          </cell>
          <cell r="AA16">
            <v>6.8</v>
          </cell>
          <cell r="AB16">
            <v>-69.25</v>
          </cell>
        </row>
        <row r="17">
          <cell r="A17">
            <v>17</v>
          </cell>
          <cell r="B17" t="str">
            <v>Jacksonville Jaguars</v>
          </cell>
          <cell r="C17">
            <v>17</v>
          </cell>
          <cell r="D17">
            <v>371</v>
          </cell>
          <cell r="E17">
            <v>5828</v>
          </cell>
          <cell r="F17">
            <v>1078</v>
          </cell>
          <cell r="G17">
            <v>5.4</v>
          </cell>
          <cell r="H17">
            <v>27</v>
          </cell>
          <cell r="I17">
            <v>11</v>
          </cell>
          <cell r="J17">
            <v>314</v>
          </cell>
          <cell r="K17">
            <v>404</v>
          </cell>
          <cell r="L17">
            <v>617</v>
          </cell>
          <cell r="M17">
            <v>4076</v>
          </cell>
          <cell r="N17">
            <v>27</v>
          </cell>
          <cell r="O17">
            <v>16</v>
          </cell>
          <cell r="P17">
            <v>6.2</v>
          </cell>
          <cell r="Q17">
            <v>198</v>
          </cell>
          <cell r="R17">
            <v>421</v>
          </cell>
          <cell r="S17">
            <v>1752</v>
          </cell>
          <cell r="T17">
            <v>15</v>
          </cell>
          <cell r="U17">
            <v>4.2</v>
          </cell>
          <cell r="V17">
            <v>99</v>
          </cell>
          <cell r="W17">
            <v>108</v>
          </cell>
          <cell r="X17">
            <v>961</v>
          </cell>
          <cell r="Y17">
            <v>17</v>
          </cell>
          <cell r="Z17">
            <v>32.299999999999997</v>
          </cell>
          <cell r="AA17">
            <v>12.8</v>
          </cell>
          <cell r="AB17">
            <v>-8.0399999999999991</v>
          </cell>
        </row>
        <row r="18">
          <cell r="A18">
            <v>18</v>
          </cell>
          <cell r="B18" t="str">
            <v>Atlanta Falcons</v>
          </cell>
          <cell r="C18">
            <v>17</v>
          </cell>
          <cell r="D18">
            <v>373</v>
          </cell>
          <cell r="E18">
            <v>5458</v>
          </cell>
          <cell r="F18">
            <v>1090</v>
          </cell>
          <cell r="G18">
            <v>5</v>
          </cell>
          <cell r="H18">
            <v>16</v>
          </cell>
          <cell r="I18">
            <v>8</v>
          </cell>
          <cell r="J18">
            <v>320</v>
          </cell>
          <cell r="K18">
            <v>340</v>
          </cell>
          <cell r="L18">
            <v>549</v>
          </cell>
          <cell r="M18">
            <v>3449</v>
          </cell>
          <cell r="N18">
            <v>24</v>
          </cell>
          <cell r="O18">
            <v>8</v>
          </cell>
          <cell r="P18">
            <v>5.8</v>
          </cell>
          <cell r="Q18">
            <v>183</v>
          </cell>
          <cell r="R18">
            <v>499</v>
          </cell>
          <cell r="S18">
            <v>2009</v>
          </cell>
          <cell r="T18">
            <v>11</v>
          </cell>
          <cell r="U18">
            <v>4</v>
          </cell>
          <cell r="V18">
            <v>105</v>
          </cell>
          <cell r="W18">
            <v>104</v>
          </cell>
          <cell r="X18">
            <v>831</v>
          </cell>
          <cell r="Y18">
            <v>32</v>
          </cell>
          <cell r="Z18">
            <v>37.9</v>
          </cell>
          <cell r="AA18">
            <v>8.1999999999999993</v>
          </cell>
          <cell r="AB18">
            <v>6.86</v>
          </cell>
        </row>
        <row r="19">
          <cell r="A19">
            <v>19</v>
          </cell>
          <cell r="B19" t="str">
            <v>Los Angeles Rams</v>
          </cell>
          <cell r="C19">
            <v>17</v>
          </cell>
          <cell r="D19">
            <v>377</v>
          </cell>
          <cell r="E19">
            <v>5744</v>
          </cell>
          <cell r="F19">
            <v>1078</v>
          </cell>
          <cell r="G19">
            <v>5.3</v>
          </cell>
          <cell r="H19">
            <v>15</v>
          </cell>
          <cell r="I19">
            <v>5</v>
          </cell>
          <cell r="J19">
            <v>329</v>
          </cell>
          <cell r="K19">
            <v>367</v>
          </cell>
          <cell r="L19">
            <v>604</v>
          </cell>
          <cell r="M19">
            <v>3928</v>
          </cell>
          <cell r="N19">
            <v>24</v>
          </cell>
          <cell r="O19">
            <v>10</v>
          </cell>
          <cell r="P19">
            <v>6.1</v>
          </cell>
          <cell r="Q19">
            <v>193</v>
          </cell>
          <cell r="R19">
            <v>433</v>
          </cell>
          <cell r="S19">
            <v>1816</v>
          </cell>
          <cell r="T19">
            <v>14</v>
          </cell>
          <cell r="U19">
            <v>4.2</v>
          </cell>
          <cell r="V19">
            <v>108</v>
          </cell>
          <cell r="W19">
            <v>105</v>
          </cell>
          <cell r="X19">
            <v>986</v>
          </cell>
          <cell r="Y19">
            <v>28</v>
          </cell>
          <cell r="Z19">
            <v>36.799999999999997</v>
          </cell>
          <cell r="AA19">
            <v>8.1</v>
          </cell>
          <cell r="AB19">
            <v>-64.62</v>
          </cell>
        </row>
        <row r="20">
          <cell r="A20">
            <v>20</v>
          </cell>
          <cell r="B20" t="str">
            <v>Chicago Bears</v>
          </cell>
          <cell r="C20">
            <v>17</v>
          </cell>
          <cell r="D20">
            <v>379</v>
          </cell>
          <cell r="E20">
            <v>5511</v>
          </cell>
          <cell r="F20">
            <v>1035</v>
          </cell>
          <cell r="G20">
            <v>5.3</v>
          </cell>
          <cell r="H20">
            <v>28</v>
          </cell>
          <cell r="I20">
            <v>6</v>
          </cell>
          <cell r="J20">
            <v>307</v>
          </cell>
          <cell r="K20">
            <v>410</v>
          </cell>
          <cell r="L20">
            <v>617</v>
          </cell>
          <cell r="M20">
            <v>4043</v>
          </cell>
          <cell r="N20">
            <v>31</v>
          </cell>
          <cell r="O20">
            <v>22</v>
          </cell>
          <cell r="P20">
            <v>6.2</v>
          </cell>
          <cell r="Q20">
            <v>196</v>
          </cell>
          <cell r="R20">
            <v>388</v>
          </cell>
          <cell r="S20">
            <v>1468</v>
          </cell>
          <cell r="T20">
            <v>8</v>
          </cell>
          <cell r="U20">
            <v>3.8</v>
          </cell>
          <cell r="V20">
            <v>88</v>
          </cell>
          <cell r="W20">
            <v>72</v>
          </cell>
          <cell r="X20">
            <v>530</v>
          </cell>
          <cell r="Y20">
            <v>23</v>
          </cell>
          <cell r="Z20">
            <v>34.200000000000003</v>
          </cell>
          <cell r="AA20">
            <v>14.7</v>
          </cell>
          <cell r="AB20">
            <v>-34.58</v>
          </cell>
        </row>
        <row r="21">
          <cell r="A21">
            <v>21</v>
          </cell>
          <cell r="B21" t="str">
            <v>Cincinnati Bengals</v>
          </cell>
          <cell r="C21">
            <v>17</v>
          </cell>
          <cell r="D21">
            <v>384</v>
          </cell>
          <cell r="E21">
            <v>6368</v>
          </cell>
          <cell r="F21">
            <v>1055</v>
          </cell>
          <cell r="G21">
            <v>6</v>
          </cell>
          <cell r="H21">
            <v>26</v>
          </cell>
          <cell r="I21">
            <v>9</v>
          </cell>
          <cell r="J21">
            <v>351</v>
          </cell>
          <cell r="K21">
            <v>364</v>
          </cell>
          <cell r="L21">
            <v>555</v>
          </cell>
          <cell r="M21">
            <v>4223</v>
          </cell>
          <cell r="N21">
            <v>23</v>
          </cell>
          <cell r="O21">
            <v>17</v>
          </cell>
          <cell r="P21">
            <v>7.1</v>
          </cell>
          <cell r="Q21">
            <v>201</v>
          </cell>
          <cell r="R21">
            <v>456</v>
          </cell>
          <cell r="S21">
            <v>2145</v>
          </cell>
          <cell r="T21">
            <v>17</v>
          </cell>
          <cell r="U21">
            <v>4.7</v>
          </cell>
          <cell r="V21">
            <v>127</v>
          </cell>
          <cell r="W21">
            <v>92</v>
          </cell>
          <cell r="X21">
            <v>784</v>
          </cell>
          <cell r="Y21">
            <v>23</v>
          </cell>
          <cell r="Z21">
            <v>38.5</v>
          </cell>
          <cell r="AA21">
            <v>13.4</v>
          </cell>
          <cell r="AB21">
            <v>-92.17</v>
          </cell>
        </row>
        <row r="22">
          <cell r="A22">
            <v>22</v>
          </cell>
          <cell r="B22" t="str">
            <v>Miami Dolphins</v>
          </cell>
          <cell r="C22">
            <v>17</v>
          </cell>
          <cell r="D22">
            <v>391</v>
          </cell>
          <cell r="E22">
            <v>5411</v>
          </cell>
          <cell r="F22">
            <v>1057</v>
          </cell>
          <cell r="G22">
            <v>5.0999999999999996</v>
          </cell>
          <cell r="H22">
            <v>27</v>
          </cell>
          <cell r="I22">
            <v>12</v>
          </cell>
          <cell r="J22">
            <v>321</v>
          </cell>
          <cell r="K22">
            <v>380</v>
          </cell>
          <cell r="L22">
            <v>568</v>
          </cell>
          <cell r="M22">
            <v>3761</v>
          </cell>
          <cell r="N22">
            <v>27</v>
          </cell>
          <cell r="O22">
            <v>15</v>
          </cell>
          <cell r="P22">
            <v>6</v>
          </cell>
          <cell r="Q22">
            <v>186</v>
          </cell>
          <cell r="R22">
            <v>433</v>
          </cell>
          <cell r="S22">
            <v>1650</v>
          </cell>
          <cell r="T22">
            <v>15</v>
          </cell>
          <cell r="U22">
            <v>3.8</v>
          </cell>
          <cell r="V22">
            <v>109</v>
          </cell>
          <cell r="W22">
            <v>96</v>
          </cell>
          <cell r="X22">
            <v>719</v>
          </cell>
          <cell r="Y22">
            <v>26</v>
          </cell>
          <cell r="Z22">
            <v>32.1</v>
          </cell>
          <cell r="AA22">
            <v>13.9</v>
          </cell>
          <cell r="AB22">
            <v>-10.59</v>
          </cell>
        </row>
        <row r="23">
          <cell r="A23">
            <v>23</v>
          </cell>
          <cell r="B23" t="str">
            <v>Detroit Lions</v>
          </cell>
          <cell r="C23">
            <v>17</v>
          </cell>
          <cell r="D23">
            <v>395</v>
          </cell>
          <cell r="E23">
            <v>5714</v>
          </cell>
          <cell r="F23">
            <v>1037</v>
          </cell>
          <cell r="G23">
            <v>5.5</v>
          </cell>
          <cell r="H23">
            <v>23</v>
          </cell>
          <cell r="I23">
            <v>7</v>
          </cell>
          <cell r="J23">
            <v>339</v>
          </cell>
          <cell r="K23">
            <v>371</v>
          </cell>
          <cell r="L23">
            <v>588</v>
          </cell>
          <cell r="M23">
            <v>4205</v>
          </cell>
          <cell r="N23">
            <v>28</v>
          </cell>
          <cell r="O23">
            <v>16</v>
          </cell>
          <cell r="P23">
            <v>6.7</v>
          </cell>
          <cell r="Q23">
            <v>209</v>
          </cell>
          <cell r="R23">
            <v>408</v>
          </cell>
          <cell r="S23">
            <v>1509</v>
          </cell>
          <cell r="T23">
            <v>15</v>
          </cell>
          <cell r="U23">
            <v>3.7</v>
          </cell>
          <cell r="V23">
            <v>91</v>
          </cell>
          <cell r="W23">
            <v>91</v>
          </cell>
          <cell r="X23">
            <v>788</v>
          </cell>
          <cell r="Y23">
            <v>39</v>
          </cell>
          <cell r="Z23">
            <v>37.299999999999997</v>
          </cell>
          <cell r="AA23">
            <v>12.4</v>
          </cell>
          <cell r="AB23">
            <v>-110.17</v>
          </cell>
        </row>
        <row r="24">
          <cell r="A24">
            <v>24</v>
          </cell>
          <cell r="B24" t="str">
            <v>Los Angeles Chargers</v>
          </cell>
          <cell r="C24">
            <v>17</v>
          </cell>
          <cell r="D24">
            <v>398</v>
          </cell>
          <cell r="E24">
            <v>6170</v>
          </cell>
          <cell r="F24">
            <v>1113</v>
          </cell>
          <cell r="G24">
            <v>5.5</v>
          </cell>
          <cell r="H24">
            <v>21</v>
          </cell>
          <cell r="I24">
            <v>12</v>
          </cell>
          <cell r="J24">
            <v>344</v>
          </cell>
          <cell r="K24">
            <v>389</v>
          </cell>
          <cell r="L24">
            <v>598</v>
          </cell>
          <cell r="M24">
            <v>4246</v>
          </cell>
          <cell r="N24">
            <v>26</v>
          </cell>
          <cell r="O24">
            <v>9</v>
          </cell>
          <cell r="P24">
            <v>6.6</v>
          </cell>
          <cell r="Q24">
            <v>203</v>
          </cell>
          <cell r="R24">
            <v>467</v>
          </cell>
          <cell r="S24">
            <v>1924</v>
          </cell>
          <cell r="T24">
            <v>18</v>
          </cell>
          <cell r="U24">
            <v>4.0999999999999996</v>
          </cell>
          <cell r="V24">
            <v>110</v>
          </cell>
          <cell r="W24">
            <v>104</v>
          </cell>
          <cell r="X24">
            <v>801</v>
          </cell>
          <cell r="Y24">
            <v>31</v>
          </cell>
          <cell r="Z24">
            <v>36</v>
          </cell>
          <cell r="AA24">
            <v>10.1</v>
          </cell>
          <cell r="AB24">
            <v>-92.65</v>
          </cell>
        </row>
        <row r="25">
          <cell r="A25">
            <v>25</v>
          </cell>
          <cell r="B25" t="str">
            <v>Seattle Seahawks</v>
          </cell>
          <cell r="C25">
            <v>17</v>
          </cell>
          <cell r="D25">
            <v>402</v>
          </cell>
          <cell r="E25">
            <v>6313</v>
          </cell>
          <cell r="F25">
            <v>1147</v>
          </cell>
          <cell r="G25">
            <v>5.5</v>
          </cell>
          <cell r="H25">
            <v>19</v>
          </cell>
          <cell r="I25">
            <v>8</v>
          </cell>
          <cell r="J25">
            <v>380</v>
          </cell>
          <cell r="K25">
            <v>390</v>
          </cell>
          <cell r="L25">
            <v>585</v>
          </cell>
          <cell r="M25">
            <v>3961</v>
          </cell>
          <cell r="N25">
            <v>21</v>
          </cell>
          <cell r="O25">
            <v>11</v>
          </cell>
          <cell r="P25">
            <v>6.3</v>
          </cell>
          <cell r="Q25">
            <v>202</v>
          </cell>
          <cell r="R25">
            <v>515</v>
          </cell>
          <cell r="S25">
            <v>2352</v>
          </cell>
          <cell r="T25">
            <v>24</v>
          </cell>
          <cell r="U25">
            <v>4.5999999999999996</v>
          </cell>
          <cell r="V25">
            <v>143</v>
          </cell>
          <cell r="W25">
            <v>103</v>
          </cell>
          <cell r="X25">
            <v>824</v>
          </cell>
          <cell r="Y25">
            <v>35</v>
          </cell>
          <cell r="Z25">
            <v>40.4</v>
          </cell>
          <cell r="AA25">
            <v>10.4</v>
          </cell>
          <cell r="AB25">
            <v>-122.46</v>
          </cell>
        </row>
        <row r="26">
          <cell r="A26">
            <v>26</v>
          </cell>
          <cell r="B26" t="str">
            <v>New York Giants</v>
          </cell>
          <cell r="C26">
            <v>17</v>
          </cell>
          <cell r="D26">
            <v>407</v>
          </cell>
          <cell r="E26">
            <v>6149</v>
          </cell>
          <cell r="F26">
            <v>1091</v>
          </cell>
          <cell r="G26">
            <v>5.6</v>
          </cell>
          <cell r="H26">
            <v>31</v>
          </cell>
          <cell r="I26">
            <v>13</v>
          </cell>
          <cell r="J26">
            <v>352</v>
          </cell>
          <cell r="K26">
            <v>371</v>
          </cell>
          <cell r="L26">
            <v>582</v>
          </cell>
          <cell r="M26">
            <v>3898</v>
          </cell>
          <cell r="N26">
            <v>21</v>
          </cell>
          <cell r="O26">
            <v>18</v>
          </cell>
          <cell r="P26">
            <v>6.3</v>
          </cell>
          <cell r="Q26">
            <v>191</v>
          </cell>
          <cell r="R26">
            <v>475</v>
          </cell>
          <cell r="S26">
            <v>2251</v>
          </cell>
          <cell r="T26">
            <v>24</v>
          </cell>
          <cell r="U26">
            <v>4.7</v>
          </cell>
          <cell r="V26">
            <v>134</v>
          </cell>
          <cell r="W26">
            <v>99</v>
          </cell>
          <cell r="X26">
            <v>822</v>
          </cell>
          <cell r="Y26">
            <v>27</v>
          </cell>
          <cell r="Z26">
            <v>35.200000000000003</v>
          </cell>
          <cell r="AA26">
            <v>14.1</v>
          </cell>
          <cell r="AB26">
            <v>-37.29</v>
          </cell>
        </row>
        <row r="27">
          <cell r="A27">
            <v>27</v>
          </cell>
          <cell r="B27" t="str">
            <v>Denver Broncos</v>
          </cell>
          <cell r="C27">
            <v>17</v>
          </cell>
          <cell r="D27">
            <v>413</v>
          </cell>
          <cell r="E27">
            <v>6303</v>
          </cell>
          <cell r="F27">
            <v>1083</v>
          </cell>
          <cell r="G27">
            <v>5.8</v>
          </cell>
          <cell r="H27">
            <v>26</v>
          </cell>
          <cell r="I27">
            <v>15</v>
          </cell>
          <cell r="J27">
            <v>349</v>
          </cell>
          <cell r="K27">
            <v>382</v>
          </cell>
          <cell r="L27">
            <v>572</v>
          </cell>
          <cell r="M27">
            <v>3972</v>
          </cell>
          <cell r="N27">
            <v>29</v>
          </cell>
          <cell r="O27">
            <v>11</v>
          </cell>
          <cell r="P27">
            <v>6.5</v>
          </cell>
          <cell r="Q27">
            <v>201</v>
          </cell>
          <cell r="R27">
            <v>469</v>
          </cell>
          <cell r="S27">
            <v>2331</v>
          </cell>
          <cell r="T27">
            <v>15</v>
          </cell>
          <cell r="U27">
            <v>5</v>
          </cell>
          <cell r="V27">
            <v>119</v>
          </cell>
          <cell r="W27">
            <v>99</v>
          </cell>
          <cell r="X27">
            <v>965</v>
          </cell>
          <cell r="Y27">
            <v>29</v>
          </cell>
          <cell r="Z27">
            <v>40.200000000000003</v>
          </cell>
          <cell r="AA27">
            <v>13</v>
          </cell>
          <cell r="AB27">
            <v>-91.09</v>
          </cell>
        </row>
        <row r="28">
          <cell r="A28">
            <v>28</v>
          </cell>
          <cell r="B28" t="str">
            <v>Indianapolis Colts</v>
          </cell>
          <cell r="C28">
            <v>17</v>
          </cell>
          <cell r="D28">
            <v>415</v>
          </cell>
          <cell r="E28">
            <v>5947</v>
          </cell>
          <cell r="F28">
            <v>1137</v>
          </cell>
          <cell r="G28">
            <v>5.2</v>
          </cell>
          <cell r="H28">
            <v>24</v>
          </cell>
          <cell r="I28">
            <v>9</v>
          </cell>
          <cell r="J28">
            <v>346</v>
          </cell>
          <cell r="K28">
            <v>370</v>
          </cell>
          <cell r="L28">
            <v>568</v>
          </cell>
          <cell r="M28">
            <v>3842</v>
          </cell>
          <cell r="N28">
            <v>21</v>
          </cell>
          <cell r="O28">
            <v>15</v>
          </cell>
          <cell r="P28">
            <v>6.2</v>
          </cell>
          <cell r="Q28">
            <v>192</v>
          </cell>
          <cell r="R28">
            <v>518</v>
          </cell>
          <cell r="S28">
            <v>2105</v>
          </cell>
          <cell r="T28">
            <v>22</v>
          </cell>
          <cell r="U28">
            <v>4.0999999999999996</v>
          </cell>
          <cell r="V28">
            <v>123</v>
          </cell>
          <cell r="W28">
            <v>100</v>
          </cell>
          <cell r="X28">
            <v>843</v>
          </cell>
          <cell r="Y28">
            <v>31</v>
          </cell>
          <cell r="Z28">
            <v>38.9</v>
          </cell>
          <cell r="AA28">
            <v>11.8</v>
          </cell>
          <cell r="AB28">
            <v>-38.18</v>
          </cell>
        </row>
        <row r="29">
          <cell r="A29">
            <v>29</v>
          </cell>
          <cell r="B29" t="str">
            <v>Carolina Panthers</v>
          </cell>
          <cell r="C29">
            <v>17</v>
          </cell>
          <cell r="D29">
            <v>416</v>
          </cell>
          <cell r="E29">
            <v>4997</v>
          </cell>
          <cell r="F29">
            <v>1016</v>
          </cell>
          <cell r="G29">
            <v>4.9000000000000004</v>
          </cell>
          <cell r="H29">
            <v>11</v>
          </cell>
          <cell r="I29">
            <v>3</v>
          </cell>
          <cell r="J29">
            <v>311</v>
          </cell>
          <cell r="K29">
            <v>309</v>
          </cell>
          <cell r="L29">
            <v>481</v>
          </cell>
          <cell r="M29">
            <v>2916</v>
          </cell>
          <cell r="N29">
            <v>19</v>
          </cell>
          <cell r="O29">
            <v>8</v>
          </cell>
          <cell r="P29">
            <v>5.7</v>
          </cell>
          <cell r="Q29">
            <v>162</v>
          </cell>
          <cell r="R29">
            <v>508</v>
          </cell>
          <cell r="S29">
            <v>2081</v>
          </cell>
          <cell r="T29">
            <v>25</v>
          </cell>
          <cell r="U29">
            <v>4.0999999999999996</v>
          </cell>
          <cell r="V29">
            <v>122</v>
          </cell>
          <cell r="W29">
            <v>89</v>
          </cell>
          <cell r="X29">
            <v>679</v>
          </cell>
          <cell r="Y29">
            <v>27</v>
          </cell>
          <cell r="Z29">
            <v>37.700000000000003</v>
          </cell>
          <cell r="AA29">
            <v>5.5</v>
          </cell>
          <cell r="AB29">
            <v>-56.65</v>
          </cell>
        </row>
        <row r="30">
          <cell r="A30">
            <v>30</v>
          </cell>
          <cell r="B30" t="str">
            <v>Philadelphia Eagles</v>
          </cell>
          <cell r="C30">
            <v>17</v>
          </cell>
          <cell r="D30">
            <v>428</v>
          </cell>
          <cell r="E30">
            <v>6054</v>
          </cell>
          <cell r="F30">
            <v>1105</v>
          </cell>
          <cell r="G30">
            <v>5.5</v>
          </cell>
          <cell r="H30">
            <v>18</v>
          </cell>
          <cell r="I30">
            <v>9</v>
          </cell>
          <cell r="J30">
            <v>364</v>
          </cell>
          <cell r="K30">
            <v>425</v>
          </cell>
          <cell r="L30">
            <v>652</v>
          </cell>
          <cell r="M30">
            <v>4296</v>
          </cell>
          <cell r="N30">
            <v>35</v>
          </cell>
          <cell r="O30">
            <v>9</v>
          </cell>
          <cell r="P30">
            <v>6.2</v>
          </cell>
          <cell r="Q30">
            <v>222</v>
          </cell>
          <cell r="R30">
            <v>410</v>
          </cell>
          <cell r="S30">
            <v>1758</v>
          </cell>
          <cell r="T30">
            <v>13</v>
          </cell>
          <cell r="U30">
            <v>4.3</v>
          </cell>
          <cell r="V30">
            <v>111</v>
          </cell>
          <cell r="W30">
            <v>107</v>
          </cell>
          <cell r="X30">
            <v>810</v>
          </cell>
          <cell r="Y30">
            <v>31</v>
          </cell>
          <cell r="Z30">
            <v>41.1</v>
          </cell>
          <cell r="AA30">
            <v>9.6999999999999993</v>
          </cell>
          <cell r="AB30">
            <v>-121.62</v>
          </cell>
        </row>
        <row r="31">
          <cell r="A31">
            <v>31</v>
          </cell>
          <cell r="B31" t="str">
            <v>Arizona Cardinals</v>
          </cell>
          <cell r="C31">
            <v>17</v>
          </cell>
          <cell r="D31">
            <v>455</v>
          </cell>
          <cell r="E31">
            <v>6047</v>
          </cell>
          <cell r="F31">
            <v>1060</v>
          </cell>
          <cell r="G31">
            <v>5.7</v>
          </cell>
          <cell r="H31">
            <v>17</v>
          </cell>
          <cell r="I31">
            <v>6</v>
          </cell>
          <cell r="J31">
            <v>369</v>
          </cell>
          <cell r="K31">
            <v>347</v>
          </cell>
          <cell r="L31">
            <v>506</v>
          </cell>
          <cell r="M31">
            <v>3613</v>
          </cell>
          <cell r="N31">
            <v>32</v>
          </cell>
          <cell r="O31">
            <v>11</v>
          </cell>
          <cell r="P31">
            <v>6.7</v>
          </cell>
          <cell r="Q31">
            <v>198</v>
          </cell>
          <cell r="R31">
            <v>521</v>
          </cell>
          <cell r="S31">
            <v>2434</v>
          </cell>
          <cell r="T31">
            <v>19</v>
          </cell>
          <cell r="U31">
            <v>4.7</v>
          </cell>
          <cell r="V31">
            <v>141</v>
          </cell>
          <cell r="W31">
            <v>92</v>
          </cell>
          <cell r="X31">
            <v>765</v>
          </cell>
          <cell r="Y31">
            <v>30</v>
          </cell>
          <cell r="Z31">
            <v>44</v>
          </cell>
          <cell r="AA31">
            <v>8.6</v>
          </cell>
          <cell r="AB31">
            <v>-160.5</v>
          </cell>
        </row>
        <row r="32">
          <cell r="A32">
            <v>32</v>
          </cell>
          <cell r="B32" t="str">
            <v>Washington Commanders</v>
          </cell>
          <cell r="C32">
            <v>17</v>
          </cell>
          <cell r="D32">
            <v>518</v>
          </cell>
          <cell r="E32">
            <v>6612</v>
          </cell>
          <cell r="F32">
            <v>1117</v>
          </cell>
          <cell r="G32">
            <v>5.9</v>
          </cell>
          <cell r="H32">
            <v>18</v>
          </cell>
          <cell r="I32">
            <v>10</v>
          </cell>
          <cell r="J32">
            <v>364</v>
          </cell>
          <cell r="K32">
            <v>396</v>
          </cell>
          <cell r="L32">
            <v>598</v>
          </cell>
          <cell r="M32">
            <v>4457</v>
          </cell>
          <cell r="N32">
            <v>39</v>
          </cell>
          <cell r="O32">
            <v>8</v>
          </cell>
          <cell r="P32">
            <v>7</v>
          </cell>
          <cell r="Q32">
            <v>218</v>
          </cell>
          <cell r="R32">
            <v>480</v>
          </cell>
          <cell r="S32">
            <v>2155</v>
          </cell>
          <cell r="T32">
            <v>15</v>
          </cell>
          <cell r="U32">
            <v>4.5</v>
          </cell>
          <cell r="V32">
            <v>121</v>
          </cell>
          <cell r="W32">
            <v>99</v>
          </cell>
          <cell r="X32">
            <v>828</v>
          </cell>
          <cell r="Y32">
            <v>25</v>
          </cell>
          <cell r="Z32">
            <v>46.8</v>
          </cell>
          <cell r="AA32">
            <v>9</v>
          </cell>
          <cell r="AB32">
            <v>-148.31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o-football-reference.com/teams/sdg/2023.htm" TargetMode="External"/><Relationship Id="rId18" Type="http://schemas.openxmlformats.org/officeDocument/2006/relationships/hyperlink" Target="https://www.pro-football-reference.com/teams/htx/2023.htm" TargetMode="External"/><Relationship Id="rId26" Type="http://schemas.openxmlformats.org/officeDocument/2006/relationships/hyperlink" Target="https://www.pro-football-reference.com/boxscores/202311190was.htm" TargetMode="External"/><Relationship Id="rId39" Type="http://schemas.openxmlformats.org/officeDocument/2006/relationships/hyperlink" Target="https://www.pro-football-reference.com/teams/phi/2023.htm" TargetMode="External"/><Relationship Id="rId21" Type="http://schemas.openxmlformats.org/officeDocument/2006/relationships/hyperlink" Target="https://www.pro-football-reference.com/teams/jax/2023.htm" TargetMode="External"/><Relationship Id="rId34" Type="http://schemas.openxmlformats.org/officeDocument/2006/relationships/hyperlink" Target="https://www.pro-football-reference.com/boxscores/202311190ram.htm" TargetMode="External"/><Relationship Id="rId42" Type="http://schemas.openxmlformats.org/officeDocument/2006/relationships/hyperlink" Target="https://www.pro-football-reference.com/teams/kan/2023.htm" TargetMode="External"/><Relationship Id="rId7" Type="http://schemas.openxmlformats.org/officeDocument/2006/relationships/hyperlink" Target="https://www.pro-football-reference.com/teams/pit/2023.htm" TargetMode="External"/><Relationship Id="rId2" Type="http://schemas.openxmlformats.org/officeDocument/2006/relationships/hyperlink" Target="https://www.pro-football-reference.com/boxscores/202311160rav.htm" TargetMode="External"/><Relationship Id="rId16" Type="http://schemas.openxmlformats.org/officeDocument/2006/relationships/hyperlink" Target="https://www.pro-football-reference.com/teams/crd/2023.htm" TargetMode="External"/><Relationship Id="rId20" Type="http://schemas.openxmlformats.org/officeDocument/2006/relationships/hyperlink" Target="https://www.pro-football-reference.com/boxscores/202311190jax.htm" TargetMode="External"/><Relationship Id="rId29" Type="http://schemas.openxmlformats.org/officeDocument/2006/relationships/hyperlink" Target="https://www.pro-football-reference.com/teams/sfo/2023.htm" TargetMode="External"/><Relationship Id="rId41" Type="http://schemas.openxmlformats.org/officeDocument/2006/relationships/hyperlink" Target="https://www.pro-football-reference.com/teams/kan/2023.htm" TargetMode="External"/><Relationship Id="rId1" Type="http://schemas.openxmlformats.org/officeDocument/2006/relationships/hyperlink" Target="https://www.pro-football-reference.com/teams/cin/2023.htm" TargetMode="External"/><Relationship Id="rId6" Type="http://schemas.openxmlformats.org/officeDocument/2006/relationships/hyperlink" Target="https://www.pro-football-reference.com/teams/car/2023.htm" TargetMode="External"/><Relationship Id="rId11" Type="http://schemas.openxmlformats.org/officeDocument/2006/relationships/hyperlink" Target="https://www.pro-football-reference.com/boxscores/202311190det.htm" TargetMode="External"/><Relationship Id="rId24" Type="http://schemas.openxmlformats.org/officeDocument/2006/relationships/hyperlink" Target="https://www.pro-football-reference.com/teams/mia/2023.htm" TargetMode="External"/><Relationship Id="rId32" Type="http://schemas.openxmlformats.org/officeDocument/2006/relationships/hyperlink" Target="https://www.pro-football-reference.com/teams/buf/2023.htm" TargetMode="External"/><Relationship Id="rId37" Type="http://schemas.openxmlformats.org/officeDocument/2006/relationships/hyperlink" Target="https://www.pro-football-reference.com/boxscores/202311190den.htm" TargetMode="External"/><Relationship Id="rId40" Type="http://schemas.openxmlformats.org/officeDocument/2006/relationships/hyperlink" Target="https://www.pro-football-reference.com/boxscores/202311200kan.htm" TargetMode="External"/><Relationship Id="rId5" Type="http://schemas.openxmlformats.org/officeDocument/2006/relationships/hyperlink" Target="https://www.pro-football-reference.com/boxscores/202311190car.htm" TargetMode="External"/><Relationship Id="rId15" Type="http://schemas.openxmlformats.org/officeDocument/2006/relationships/hyperlink" Target="https://www.pro-football-reference.com/teams/gnb/2023.htm" TargetMode="External"/><Relationship Id="rId23" Type="http://schemas.openxmlformats.org/officeDocument/2006/relationships/hyperlink" Target="https://www.pro-football-reference.com/boxscores/202311190mia.htm" TargetMode="External"/><Relationship Id="rId28" Type="http://schemas.openxmlformats.org/officeDocument/2006/relationships/hyperlink" Target="https://www.pro-football-reference.com/boxscores/202311190sfo.htm" TargetMode="External"/><Relationship Id="rId36" Type="http://schemas.openxmlformats.org/officeDocument/2006/relationships/hyperlink" Target="https://www.pro-football-reference.com/teams/min/2023.htm" TargetMode="External"/><Relationship Id="rId10" Type="http://schemas.openxmlformats.org/officeDocument/2006/relationships/hyperlink" Target="https://www.pro-football-reference.com/teams/chi/2023.htm" TargetMode="External"/><Relationship Id="rId19" Type="http://schemas.openxmlformats.org/officeDocument/2006/relationships/hyperlink" Target="https://www.pro-football-reference.com/teams/oti/2023.htm" TargetMode="External"/><Relationship Id="rId31" Type="http://schemas.openxmlformats.org/officeDocument/2006/relationships/hyperlink" Target="https://www.pro-football-reference.com/boxscores/202311190buf.htm" TargetMode="External"/><Relationship Id="rId4" Type="http://schemas.openxmlformats.org/officeDocument/2006/relationships/hyperlink" Target="https://www.pro-football-reference.com/teams/dal/2023.htm" TargetMode="External"/><Relationship Id="rId9" Type="http://schemas.openxmlformats.org/officeDocument/2006/relationships/hyperlink" Target="https://www.pro-football-reference.com/teams/cle/2023.htm" TargetMode="External"/><Relationship Id="rId14" Type="http://schemas.openxmlformats.org/officeDocument/2006/relationships/hyperlink" Target="https://www.pro-football-reference.com/boxscores/202311190gnb.htm" TargetMode="External"/><Relationship Id="rId22" Type="http://schemas.openxmlformats.org/officeDocument/2006/relationships/hyperlink" Target="https://www.pro-football-reference.com/teams/rai/2023.htm" TargetMode="External"/><Relationship Id="rId27" Type="http://schemas.openxmlformats.org/officeDocument/2006/relationships/hyperlink" Target="https://www.pro-football-reference.com/teams/was/2023.htm" TargetMode="External"/><Relationship Id="rId30" Type="http://schemas.openxmlformats.org/officeDocument/2006/relationships/hyperlink" Target="https://www.pro-football-reference.com/teams/nyj/2023.htm" TargetMode="External"/><Relationship Id="rId35" Type="http://schemas.openxmlformats.org/officeDocument/2006/relationships/hyperlink" Target="https://www.pro-football-reference.com/teams/ram/2023.htm" TargetMode="External"/><Relationship Id="rId8" Type="http://schemas.openxmlformats.org/officeDocument/2006/relationships/hyperlink" Target="https://www.pro-football-reference.com/boxscores/202311190cle.htm" TargetMode="External"/><Relationship Id="rId3" Type="http://schemas.openxmlformats.org/officeDocument/2006/relationships/hyperlink" Target="https://www.pro-football-reference.com/teams/rav/2023.htm" TargetMode="External"/><Relationship Id="rId12" Type="http://schemas.openxmlformats.org/officeDocument/2006/relationships/hyperlink" Target="https://www.pro-football-reference.com/teams/det/2023.htm" TargetMode="External"/><Relationship Id="rId17" Type="http://schemas.openxmlformats.org/officeDocument/2006/relationships/hyperlink" Target="https://www.pro-football-reference.com/boxscores/202311190htx.htm" TargetMode="External"/><Relationship Id="rId25" Type="http://schemas.openxmlformats.org/officeDocument/2006/relationships/hyperlink" Target="https://www.pro-football-reference.com/teams/nyg/2023.htm" TargetMode="External"/><Relationship Id="rId33" Type="http://schemas.openxmlformats.org/officeDocument/2006/relationships/hyperlink" Target="https://www.pro-football-reference.com/teams/sea/2023.htm" TargetMode="External"/><Relationship Id="rId38" Type="http://schemas.openxmlformats.org/officeDocument/2006/relationships/hyperlink" Target="https://www.pro-football-reference.com/teams/den/2023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871-6270-402F-92FC-0155783603DC}">
  <dimension ref="A1:BE33"/>
  <sheetViews>
    <sheetView topLeftCell="AD1" workbookViewId="0">
      <selection activeCell="AL12" sqref="AL12"/>
    </sheetView>
  </sheetViews>
  <sheetFormatPr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12</v>
      </c>
      <c r="O1" t="s">
        <v>13</v>
      </c>
      <c r="P1" t="s">
        <v>14</v>
      </c>
      <c r="Q1" t="s">
        <v>9</v>
      </c>
      <c r="R1" t="s">
        <v>11</v>
      </c>
      <c r="S1" t="s">
        <v>4</v>
      </c>
      <c r="T1" t="s">
        <v>12</v>
      </c>
      <c r="U1" t="s">
        <v>15</v>
      </c>
      <c r="V1" t="s">
        <v>9</v>
      </c>
      <c r="W1" t="s">
        <v>16</v>
      </c>
      <c r="X1" t="s">
        <v>4</v>
      </c>
      <c r="Y1" t="s">
        <v>17</v>
      </c>
      <c r="Z1" t="s">
        <v>18</v>
      </c>
      <c r="AA1" t="s">
        <v>19</v>
      </c>
      <c r="AB1" t="s">
        <v>20</v>
      </c>
      <c r="AD1" t="s">
        <v>0</v>
      </c>
      <c r="AE1" t="s">
        <v>1</v>
      </c>
      <c r="AF1" t="s">
        <v>2</v>
      </c>
      <c r="AG1" t="s">
        <v>21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P1" t="s">
        <v>4</v>
      </c>
      <c r="AQ1" t="s">
        <v>12</v>
      </c>
      <c r="AR1" t="s">
        <v>13</v>
      </c>
      <c r="AS1" t="s">
        <v>14</v>
      </c>
      <c r="AT1" t="s">
        <v>9</v>
      </c>
      <c r="AU1" t="s">
        <v>11</v>
      </c>
      <c r="AV1" t="s">
        <v>4</v>
      </c>
      <c r="AW1" t="s">
        <v>12</v>
      </c>
      <c r="AX1" t="s">
        <v>15</v>
      </c>
      <c r="AY1" t="s">
        <v>9</v>
      </c>
      <c r="AZ1" t="s">
        <v>16</v>
      </c>
      <c r="BA1" t="s">
        <v>4</v>
      </c>
      <c r="BB1" t="s">
        <v>17</v>
      </c>
      <c r="BC1" t="s">
        <v>18</v>
      </c>
      <c r="BD1" t="s">
        <v>19</v>
      </c>
      <c r="BE1" t="s">
        <v>20</v>
      </c>
    </row>
    <row r="2" spans="1:57" x14ac:dyDescent="0.25">
      <c r="A2" t="str">
        <f>[1]offense!A1</f>
        <v>1</v>
      </c>
      <c r="B2" t="str">
        <f>[1]offense!B1</f>
        <v>Dallas Cowboys</v>
      </c>
      <c r="C2" t="str">
        <f>[1]offense!C1</f>
        <v>17</v>
      </c>
      <c r="D2" t="str">
        <f>[1]offense!D1</f>
        <v>509</v>
      </c>
      <c r="E2" t="str">
        <f>[1]offense!E1</f>
        <v>6317</v>
      </c>
      <c r="F2" t="str">
        <f>[1]offense!F1</f>
        <v>1122</v>
      </c>
      <c r="G2" t="str">
        <f>[1]offense!G1</f>
        <v>5.6</v>
      </c>
      <c r="H2" t="str">
        <f>[1]offense!H1</f>
        <v>16</v>
      </c>
      <c r="I2" t="str">
        <f>[1]offense!I1</f>
        <v>6</v>
      </c>
      <c r="J2" t="str">
        <f>[1]offense!J1</f>
        <v>385</v>
      </c>
      <c r="K2" t="str">
        <f>[1]offense!K1</f>
        <v>428</v>
      </c>
      <c r="L2" t="str">
        <f>[1]offense!L1</f>
        <v>614</v>
      </c>
      <c r="M2" t="str">
        <f>[1]offense!M1</f>
        <v>4397</v>
      </c>
      <c r="N2" t="str">
        <f>[1]offense!N1</f>
        <v>36</v>
      </c>
      <c r="O2" t="str">
        <f>[1]offense!O1</f>
        <v>10</v>
      </c>
      <c r="P2" t="str">
        <f>[1]offense!P1</f>
        <v>6.7</v>
      </c>
      <c r="Q2" t="str">
        <f>[1]offense!Q1</f>
        <v>229</v>
      </c>
      <c r="R2" t="str">
        <f>[1]offense!R1</f>
        <v>468</v>
      </c>
      <c r="S2" t="str">
        <f>[1]offense!S1</f>
        <v>1920</v>
      </c>
      <c r="T2" t="str">
        <f>[1]offense!T1</f>
        <v>14</v>
      </c>
      <c r="U2" t="str">
        <f>[1]offense!U1</f>
        <v>4.1</v>
      </c>
      <c r="V2" t="str">
        <f>[1]offense!V1</f>
        <v>113</v>
      </c>
      <c r="W2" t="str">
        <f>[1]offense!W1</f>
        <v>115</v>
      </c>
      <c r="X2" t="str">
        <f>[1]offense!X1</f>
        <v>964</v>
      </c>
      <c r="Y2" t="str">
        <f>[1]offense!Y1</f>
        <v>43</v>
      </c>
      <c r="Z2" t="str">
        <f>[1]offense!Z1</f>
        <v>50.3</v>
      </c>
      <c r="AA2" t="str">
        <f>[1]offense!AA1</f>
        <v>8.9</v>
      </c>
      <c r="AB2" t="str">
        <f>[1]offense!AB1</f>
        <v>192.72</v>
      </c>
      <c r="AD2" t="str">
        <f>[1]defense!A1</f>
        <v>1</v>
      </c>
      <c r="AE2" t="str">
        <f>[1]defense!B1</f>
        <v>Baltimore Ravens</v>
      </c>
      <c r="AF2" t="str">
        <f>[1]defense!C1</f>
        <v>17</v>
      </c>
      <c r="AG2" t="str">
        <f>[1]defense!D1</f>
        <v>280</v>
      </c>
      <c r="AH2" t="str">
        <f>[1]defense!E1</f>
        <v>5123</v>
      </c>
      <c r="AI2" t="str">
        <f>[1]defense!F1</f>
        <v>1109</v>
      </c>
      <c r="AJ2" t="str">
        <f>[1]defense!G1</f>
        <v>4.6</v>
      </c>
      <c r="AK2" t="str">
        <f>[1]defense!H1</f>
        <v>31</v>
      </c>
      <c r="AL2" t="str">
        <f>[1]defense!I1</f>
        <v>13</v>
      </c>
      <c r="AM2" t="str">
        <f>[1]defense!J1</f>
        <v>306</v>
      </c>
      <c r="AN2" t="str">
        <f>[1]defense!K1</f>
        <v>384</v>
      </c>
      <c r="AO2" t="str">
        <f>[1]defense!L1</f>
        <v>634</v>
      </c>
      <c r="AP2" t="str">
        <f>[1]defense!M1</f>
        <v>3263</v>
      </c>
      <c r="AQ2" t="str">
        <f>[1]defense!N1</f>
        <v>18</v>
      </c>
      <c r="AR2" t="str">
        <f>[1]defense!O1</f>
        <v>18.1</v>
      </c>
      <c r="AS2" t="str">
        <f>[1]defense!P1</f>
        <v>4.7</v>
      </c>
      <c r="AT2" t="str">
        <f>[1]defense!Q1</f>
        <v>175</v>
      </c>
      <c r="AU2" t="str">
        <f>[1]defense!R1</f>
        <v>415</v>
      </c>
      <c r="AV2" t="str">
        <f>[1]defense!S1</f>
        <v>1860</v>
      </c>
      <c r="AW2" t="str">
        <f>[1]defense!T1</f>
        <v>6</v>
      </c>
      <c r="AX2" t="str">
        <f>[1]defense!U1</f>
        <v>4.5</v>
      </c>
      <c r="AY2" t="str">
        <f>[1]defense!V1</f>
        <v>96</v>
      </c>
      <c r="AZ2" t="str">
        <f>[1]defense!W1</f>
        <v>106</v>
      </c>
      <c r="BA2" t="str">
        <f>[1]defense!X1</f>
        <v>841</v>
      </c>
      <c r="BB2" t="str">
        <f>[1]defense!Y1</f>
        <v>35</v>
      </c>
      <c r="BC2" t="str">
        <f>[1]defense!Z1</f>
        <v>28.7</v>
      </c>
      <c r="BD2" t="str">
        <f>[1]defense!AA1</f>
        <v>14.4</v>
      </c>
      <c r="BE2" t="str">
        <f>[1]defense!AB1</f>
        <v>113.76</v>
      </c>
    </row>
    <row r="3" spans="1:57" x14ac:dyDescent="0.25">
      <c r="A3">
        <f>[1]offense!A2</f>
        <v>2</v>
      </c>
      <c r="B3" t="str">
        <f>[1]offense!B2</f>
        <v>Miami Dolphins</v>
      </c>
      <c r="C3">
        <f>[1]offense!C2</f>
        <v>17</v>
      </c>
      <c r="D3">
        <f>[1]offense!D2</f>
        <v>496</v>
      </c>
      <c r="E3">
        <f>[1]offense!E2</f>
        <v>6822</v>
      </c>
      <c r="F3">
        <f>[1]offense!F2</f>
        <v>1053</v>
      </c>
      <c r="G3">
        <f>[1]offense!G2</f>
        <v>6.5</v>
      </c>
      <c r="H3">
        <f>[1]offense!H2</f>
        <v>25</v>
      </c>
      <c r="I3">
        <f>[1]offense!I2</f>
        <v>10</v>
      </c>
      <c r="J3">
        <f>[1]offense!J2</f>
        <v>360</v>
      </c>
      <c r="K3">
        <f>[1]offense!K2</f>
        <v>393</v>
      </c>
      <c r="L3">
        <f>[1]offense!L2</f>
        <v>566</v>
      </c>
      <c r="M3">
        <f>[1]offense!M2</f>
        <v>4514</v>
      </c>
      <c r="N3">
        <f>[1]offense!N2</f>
        <v>30</v>
      </c>
      <c r="O3">
        <f>[1]offense!O2</f>
        <v>15</v>
      </c>
      <c r="P3">
        <f>[1]offense!P2</f>
        <v>7.6</v>
      </c>
      <c r="Q3">
        <f>[1]offense!Q2</f>
        <v>223</v>
      </c>
      <c r="R3">
        <f>[1]offense!R2</f>
        <v>456</v>
      </c>
      <c r="S3">
        <f>[1]offense!S2</f>
        <v>2308</v>
      </c>
      <c r="T3">
        <f>[1]offense!T2</f>
        <v>27</v>
      </c>
      <c r="U3">
        <f>[1]offense!U2</f>
        <v>5.0999999999999996</v>
      </c>
      <c r="V3">
        <f>[1]offense!V2</f>
        <v>113</v>
      </c>
      <c r="W3">
        <f>[1]offense!W2</f>
        <v>97</v>
      </c>
      <c r="X3">
        <f>[1]offense!X2</f>
        <v>767</v>
      </c>
      <c r="Y3">
        <f>[1]offense!Y2</f>
        <v>24</v>
      </c>
      <c r="Z3">
        <f>[1]offense!Z2</f>
        <v>43.5</v>
      </c>
      <c r="AA3">
        <f>[1]offense!AA2</f>
        <v>13.4</v>
      </c>
      <c r="AB3">
        <f>[1]offense!AB2</f>
        <v>128.9</v>
      </c>
      <c r="AD3">
        <f>[1]defense!A2</f>
        <v>2</v>
      </c>
      <c r="AE3" t="str">
        <f>[1]defense!B2</f>
        <v>Kansas City Chiefs</v>
      </c>
      <c r="AF3">
        <f>[1]defense!C2</f>
        <v>17</v>
      </c>
      <c r="AG3">
        <f>[1]defense!D2</f>
        <v>294</v>
      </c>
      <c r="AH3">
        <f>[1]defense!E2</f>
        <v>4926</v>
      </c>
      <c r="AI3">
        <f>[1]defense!F2</f>
        <v>1045</v>
      </c>
      <c r="AJ3">
        <f>[1]defense!G2</f>
        <v>4.7</v>
      </c>
      <c r="AK3">
        <f>[1]defense!H2</f>
        <v>17</v>
      </c>
      <c r="AL3">
        <f>[1]defense!I2</f>
        <v>9</v>
      </c>
      <c r="AM3">
        <f>[1]defense!J2</f>
        <v>300</v>
      </c>
      <c r="AN3">
        <f>[1]defense!K2</f>
        <v>340</v>
      </c>
      <c r="AO3">
        <f>[1]defense!L2</f>
        <v>556</v>
      </c>
      <c r="AP3">
        <f>[1]defense!M2</f>
        <v>3001</v>
      </c>
      <c r="AQ3">
        <f>[1]defense!N2</f>
        <v>19</v>
      </c>
      <c r="AR3">
        <f>[1]defense!O2</f>
        <v>8</v>
      </c>
      <c r="AS3">
        <f>[1]defense!P2</f>
        <v>4.9000000000000004</v>
      </c>
      <c r="AT3">
        <f>[1]defense!Q2</f>
        <v>169</v>
      </c>
      <c r="AU3">
        <f>[1]defense!R2</f>
        <v>432</v>
      </c>
      <c r="AV3">
        <f>[1]defense!S2</f>
        <v>1925</v>
      </c>
      <c r="AW3">
        <f>[1]defense!T2</f>
        <v>10</v>
      </c>
      <c r="AX3">
        <f>[1]defense!U2</f>
        <v>4.5</v>
      </c>
      <c r="AY3">
        <f>[1]defense!V2</f>
        <v>107</v>
      </c>
      <c r="AZ3">
        <f>[1]defense!W2</f>
        <v>73</v>
      </c>
      <c r="BA3">
        <f>[1]defense!X2</f>
        <v>604</v>
      </c>
      <c r="BB3">
        <f>[1]defense!Y2</f>
        <v>24</v>
      </c>
      <c r="BC3">
        <f>[1]defense!Z2</f>
        <v>28.5</v>
      </c>
      <c r="BD3">
        <f>[1]defense!AA2</f>
        <v>9.5</v>
      </c>
      <c r="BE3">
        <f>[1]defense!AB2</f>
        <v>35.54</v>
      </c>
    </row>
    <row r="4" spans="1:57" x14ac:dyDescent="0.25">
      <c r="A4">
        <f>[1]offense!A3</f>
        <v>3</v>
      </c>
      <c r="B4" t="str">
        <f>[1]offense!B3</f>
        <v>San Francisco 49ers</v>
      </c>
      <c r="C4">
        <f>[1]offense!C3</f>
        <v>17</v>
      </c>
      <c r="D4">
        <f>[1]offense!D3</f>
        <v>491</v>
      </c>
      <c r="E4">
        <f>[1]offense!E3</f>
        <v>6773</v>
      </c>
      <c r="F4">
        <f>[1]offense!F3</f>
        <v>1024</v>
      </c>
      <c r="G4">
        <f>[1]offense!G3</f>
        <v>6.6</v>
      </c>
      <c r="H4">
        <f>[1]offense!H3</f>
        <v>18</v>
      </c>
      <c r="I4">
        <f>[1]offense!I3</f>
        <v>6</v>
      </c>
      <c r="J4">
        <f>[1]offense!J3</f>
        <v>383</v>
      </c>
      <c r="K4">
        <f>[1]offense!K3</f>
        <v>336</v>
      </c>
      <c r="L4">
        <f>[1]offense!L3</f>
        <v>491</v>
      </c>
      <c r="M4">
        <f>[1]offense!M3</f>
        <v>4384</v>
      </c>
      <c r="N4">
        <f>[1]offense!N3</f>
        <v>33</v>
      </c>
      <c r="O4">
        <f>[1]offense!O3</f>
        <v>12</v>
      </c>
      <c r="P4">
        <f>[1]offense!P3</f>
        <v>8.4</v>
      </c>
      <c r="Q4">
        <f>[1]offense!Q3</f>
        <v>207</v>
      </c>
      <c r="R4">
        <f>[1]offense!R3</f>
        <v>499</v>
      </c>
      <c r="S4">
        <f>[1]offense!S3</f>
        <v>2389</v>
      </c>
      <c r="T4">
        <f>[1]offense!T3</f>
        <v>27</v>
      </c>
      <c r="U4">
        <f>[1]offense!U3</f>
        <v>4.8</v>
      </c>
      <c r="V4">
        <f>[1]offense!V3</f>
        <v>147</v>
      </c>
      <c r="W4">
        <f>[1]offense!W3</f>
        <v>101</v>
      </c>
      <c r="X4">
        <f>[1]offense!X3</f>
        <v>933</v>
      </c>
      <c r="Y4">
        <f>[1]offense!Y3</f>
        <v>29</v>
      </c>
      <c r="Z4">
        <f>[1]offense!Z3</f>
        <v>45.3</v>
      </c>
      <c r="AA4">
        <f>[1]offense!AA3</f>
        <v>10.1</v>
      </c>
      <c r="AB4">
        <f>[1]offense!AB3</f>
        <v>268.60000000000002</v>
      </c>
      <c r="AD4">
        <f>[1]defense!A3</f>
        <v>3</v>
      </c>
      <c r="AE4" t="str">
        <f>[1]defense!B3</f>
        <v>San Francisco 49ers</v>
      </c>
      <c r="AF4">
        <f>[1]defense!C3</f>
        <v>17</v>
      </c>
      <c r="AG4">
        <f>[1]defense!D3</f>
        <v>298</v>
      </c>
      <c r="AH4">
        <f>[1]defense!E3</f>
        <v>5167</v>
      </c>
      <c r="AI4">
        <f>[1]defense!F3</f>
        <v>1038</v>
      </c>
      <c r="AJ4">
        <f>[1]defense!G3</f>
        <v>5</v>
      </c>
      <c r="AK4">
        <f>[1]defense!H3</f>
        <v>28</v>
      </c>
      <c r="AL4">
        <f>[1]defense!I3</f>
        <v>6</v>
      </c>
      <c r="AM4">
        <f>[1]defense!J3</f>
        <v>319</v>
      </c>
      <c r="AN4">
        <f>[1]defense!K3</f>
        <v>410</v>
      </c>
      <c r="AO4">
        <f>[1]defense!L3</f>
        <v>621</v>
      </c>
      <c r="AP4">
        <f>[1]defense!M3</f>
        <v>3642</v>
      </c>
      <c r="AQ4">
        <f>[1]defense!N3</f>
        <v>20</v>
      </c>
      <c r="AR4">
        <f>[1]defense!O3</f>
        <v>22</v>
      </c>
      <c r="AS4">
        <f>[1]defense!P3</f>
        <v>5.4</v>
      </c>
      <c r="AT4">
        <f>[1]defense!Q3</f>
        <v>190</v>
      </c>
      <c r="AU4">
        <f>[1]defense!R3</f>
        <v>369</v>
      </c>
      <c r="AV4">
        <f>[1]defense!S3</f>
        <v>1525</v>
      </c>
      <c r="AW4">
        <f>[1]defense!T3</f>
        <v>10</v>
      </c>
      <c r="AX4">
        <f>[1]defense!U3</f>
        <v>4.0999999999999996</v>
      </c>
      <c r="AY4">
        <f>[1]defense!V3</f>
        <v>97</v>
      </c>
      <c r="AZ4">
        <f>[1]defense!W3</f>
        <v>94</v>
      </c>
      <c r="BA4">
        <f>[1]defense!X3</f>
        <v>762</v>
      </c>
      <c r="BB4">
        <f>[1]defense!Y3</f>
        <v>32</v>
      </c>
      <c r="BC4">
        <f>[1]defense!Z3</f>
        <v>33.9</v>
      </c>
      <c r="BD4">
        <f>[1]defense!AA3</f>
        <v>15.5</v>
      </c>
      <c r="BE4">
        <f>[1]defense!AB3</f>
        <v>-7.76</v>
      </c>
    </row>
    <row r="5" spans="1:57" x14ac:dyDescent="0.25">
      <c r="A5">
        <f>[1]offense!A4</f>
        <v>4</v>
      </c>
      <c r="B5" t="str">
        <f>[1]offense!B4</f>
        <v>Baltimore Ravens</v>
      </c>
      <c r="C5">
        <f>[1]offense!C4</f>
        <v>17</v>
      </c>
      <c r="D5">
        <f>[1]offense!D4</f>
        <v>483</v>
      </c>
      <c r="E5">
        <f>[1]offense!E4</f>
        <v>6296</v>
      </c>
      <c r="F5">
        <f>[1]offense!F4</f>
        <v>1076</v>
      </c>
      <c r="G5">
        <f>[1]offense!G4</f>
        <v>5.9</v>
      </c>
      <c r="H5">
        <f>[1]offense!H4</f>
        <v>19</v>
      </c>
      <c r="I5">
        <f>[1]offense!I4</f>
        <v>12</v>
      </c>
      <c r="J5">
        <f>[1]offense!J4</f>
        <v>360</v>
      </c>
      <c r="K5">
        <f>[1]offense!K4</f>
        <v>328</v>
      </c>
      <c r="L5">
        <f>[1]offense!L4</f>
        <v>494</v>
      </c>
      <c r="M5">
        <f>[1]offense!M4</f>
        <v>3635</v>
      </c>
      <c r="N5">
        <f>[1]offense!N4</f>
        <v>27</v>
      </c>
      <c r="O5">
        <f>[1]offense!O4</f>
        <v>7</v>
      </c>
      <c r="P5">
        <f>[1]offense!P4</f>
        <v>6.8</v>
      </c>
      <c r="Q5">
        <f>[1]offense!Q4</f>
        <v>180</v>
      </c>
      <c r="R5">
        <f>[1]offense!R4</f>
        <v>541</v>
      </c>
      <c r="S5">
        <f>[1]offense!S4</f>
        <v>2661</v>
      </c>
      <c r="T5">
        <f>[1]offense!T4</f>
        <v>26</v>
      </c>
      <c r="U5">
        <f>[1]offense!U4</f>
        <v>4.9000000000000004</v>
      </c>
      <c r="V5">
        <f>[1]offense!V4</f>
        <v>145</v>
      </c>
      <c r="W5">
        <f>[1]offense!W4</f>
        <v>102</v>
      </c>
      <c r="X5">
        <f>[1]offense!X4</f>
        <v>955</v>
      </c>
      <c r="Y5">
        <f>[1]offense!Y4</f>
        <v>35</v>
      </c>
      <c r="Z5">
        <f>[1]offense!Z4</f>
        <v>43.1</v>
      </c>
      <c r="AA5">
        <f>[1]offense!AA4</f>
        <v>9.6</v>
      </c>
      <c r="AB5">
        <f>[1]offense!AB4</f>
        <v>138.81</v>
      </c>
      <c r="AD5">
        <f>[1]defense!A4</f>
        <v>4</v>
      </c>
      <c r="AE5" t="str">
        <f>[1]defense!B4</f>
        <v>Buffalo Bills</v>
      </c>
      <c r="AF5">
        <f>[1]defense!C4</f>
        <v>17</v>
      </c>
      <c r="AG5">
        <f>[1]defense!D4</f>
        <v>311</v>
      </c>
      <c r="AH5">
        <f>[1]defense!E4</f>
        <v>5222</v>
      </c>
      <c r="AI5">
        <f>[1]defense!F4</f>
        <v>1015</v>
      </c>
      <c r="AJ5">
        <f>[1]defense!G4</f>
        <v>5.0999999999999996</v>
      </c>
      <c r="AK5">
        <f>[1]defense!H4</f>
        <v>30</v>
      </c>
      <c r="AL5">
        <f>[1]defense!I4</f>
        <v>12</v>
      </c>
      <c r="AM5">
        <f>[1]defense!J4</f>
        <v>313</v>
      </c>
      <c r="AN5">
        <f>[1]defense!K4</f>
        <v>363</v>
      </c>
      <c r="AO5">
        <f>[1]defense!L4</f>
        <v>552</v>
      </c>
      <c r="AP5">
        <f>[1]defense!M4</f>
        <v>3342</v>
      </c>
      <c r="AQ5">
        <f>[1]defense!N4</f>
        <v>18</v>
      </c>
      <c r="AR5">
        <f>[1]defense!O4</f>
        <v>18</v>
      </c>
      <c r="AS5">
        <f>[1]defense!P4</f>
        <v>5.5</v>
      </c>
      <c r="AT5">
        <f>[1]defense!Q4</f>
        <v>183</v>
      </c>
      <c r="AU5">
        <f>[1]defense!R4</f>
        <v>409</v>
      </c>
      <c r="AV5">
        <f>[1]defense!S4</f>
        <v>1880</v>
      </c>
      <c r="AW5">
        <f>[1]defense!T4</f>
        <v>14</v>
      </c>
      <c r="AX5">
        <f>[1]defense!U4</f>
        <v>4.5999999999999996</v>
      </c>
      <c r="AY5">
        <f>[1]defense!V4</f>
        <v>96</v>
      </c>
      <c r="AZ5">
        <f>[1]defense!W4</f>
        <v>99</v>
      </c>
      <c r="BA5">
        <f>[1]defense!X4</f>
        <v>753</v>
      </c>
      <c r="BB5">
        <f>[1]defense!Y4</f>
        <v>34</v>
      </c>
      <c r="BC5">
        <f>[1]defense!Z4</f>
        <v>32</v>
      </c>
      <c r="BD5">
        <f>[1]defense!AA4</f>
        <v>16</v>
      </c>
      <c r="BE5">
        <f>[1]defense!AB4</f>
        <v>5.71</v>
      </c>
    </row>
    <row r="6" spans="1:57" x14ac:dyDescent="0.25">
      <c r="A6">
        <f>[1]offense!A5</f>
        <v>5</v>
      </c>
      <c r="B6" t="str">
        <f>[1]offense!B5</f>
        <v>Detroit Lions</v>
      </c>
      <c r="C6">
        <f>[1]offense!C5</f>
        <v>17</v>
      </c>
      <c r="D6">
        <f>[1]offense!D5</f>
        <v>461</v>
      </c>
      <c r="E6">
        <f>[1]offense!E5</f>
        <v>6712</v>
      </c>
      <c r="F6">
        <f>[1]offense!F5</f>
        <v>1137</v>
      </c>
      <c r="G6">
        <f>[1]offense!G5</f>
        <v>5.9</v>
      </c>
      <c r="H6">
        <f>[1]offense!H5</f>
        <v>23</v>
      </c>
      <c r="I6">
        <f>[1]offense!I5</f>
        <v>11</v>
      </c>
      <c r="J6">
        <f>[1]offense!J5</f>
        <v>375</v>
      </c>
      <c r="K6">
        <f>[1]offense!K5</f>
        <v>408</v>
      </c>
      <c r="L6">
        <f>[1]offense!L5</f>
        <v>606</v>
      </c>
      <c r="M6">
        <f>[1]offense!M5</f>
        <v>4401</v>
      </c>
      <c r="N6">
        <f>[1]offense!N5</f>
        <v>30</v>
      </c>
      <c r="O6">
        <f>[1]offense!O5</f>
        <v>12</v>
      </c>
      <c r="P6">
        <f>[1]offense!P5</f>
        <v>6.9</v>
      </c>
      <c r="Q6">
        <f>[1]offense!Q5</f>
        <v>228</v>
      </c>
      <c r="R6">
        <f>[1]offense!R5</f>
        <v>500</v>
      </c>
      <c r="S6">
        <f>[1]offense!S5</f>
        <v>2311</v>
      </c>
      <c r="T6">
        <f>[1]offense!T5</f>
        <v>27</v>
      </c>
      <c r="U6">
        <f>[1]offense!U5</f>
        <v>4.5999999999999996</v>
      </c>
      <c r="V6">
        <f>[1]offense!V5</f>
        <v>124</v>
      </c>
      <c r="W6">
        <f>[1]offense!W5</f>
        <v>97</v>
      </c>
      <c r="X6">
        <f>[1]offense!X5</f>
        <v>843</v>
      </c>
      <c r="Y6">
        <f>[1]offense!Y5</f>
        <v>23</v>
      </c>
      <c r="Z6">
        <f>[1]offense!Z5</f>
        <v>40.6</v>
      </c>
      <c r="AA6">
        <f>[1]offense!AA5</f>
        <v>11.8</v>
      </c>
      <c r="AB6">
        <f>[1]offense!AB5</f>
        <v>191.13</v>
      </c>
      <c r="AD6">
        <f>[1]defense!A5</f>
        <v>5</v>
      </c>
      <c r="AE6" t="str">
        <f>[1]defense!B5</f>
        <v>Dallas Cowboys</v>
      </c>
      <c r="AF6">
        <f>[1]defense!C5</f>
        <v>17</v>
      </c>
      <c r="AG6">
        <f>[1]defense!D5</f>
        <v>315</v>
      </c>
      <c r="AH6">
        <f>[1]defense!E5</f>
        <v>5095</v>
      </c>
      <c r="AI6">
        <f>[1]defense!F5</f>
        <v>1014</v>
      </c>
      <c r="AJ6">
        <f>[1]defense!G5</f>
        <v>5</v>
      </c>
      <c r="AK6">
        <f>[1]defense!H5</f>
        <v>26</v>
      </c>
      <c r="AL6">
        <f>[1]defense!I5</f>
        <v>9</v>
      </c>
      <c r="AM6">
        <f>[1]defense!J5</f>
        <v>311</v>
      </c>
      <c r="AN6">
        <f>[1]defense!K5</f>
        <v>308</v>
      </c>
      <c r="AO6">
        <f>[1]defense!L5</f>
        <v>509</v>
      </c>
      <c r="AP6">
        <f>[1]defense!M5</f>
        <v>3185</v>
      </c>
      <c r="AQ6">
        <f>[1]defense!N5</f>
        <v>21</v>
      </c>
      <c r="AR6">
        <f>[1]defense!O5</f>
        <v>17</v>
      </c>
      <c r="AS6">
        <f>[1]defense!P5</f>
        <v>5.7</v>
      </c>
      <c r="AT6">
        <f>[1]defense!Q5</f>
        <v>166</v>
      </c>
      <c r="AU6">
        <f>[1]defense!R5</f>
        <v>459</v>
      </c>
      <c r="AV6">
        <f>[1]defense!S5</f>
        <v>1910</v>
      </c>
      <c r="AW6">
        <f>[1]defense!T5</f>
        <v>14</v>
      </c>
      <c r="AX6">
        <f>[1]defense!U5</f>
        <v>4.2</v>
      </c>
      <c r="AY6">
        <f>[1]defense!V5</f>
        <v>108</v>
      </c>
      <c r="AZ6">
        <f>[1]defense!W5</f>
        <v>104</v>
      </c>
      <c r="BA6">
        <f>[1]defense!X5</f>
        <v>934</v>
      </c>
      <c r="BB6">
        <f>[1]defense!Y5</f>
        <v>37</v>
      </c>
      <c r="BC6">
        <f>[1]defense!Z5</f>
        <v>32</v>
      </c>
      <c r="BD6">
        <f>[1]defense!AA5</f>
        <v>14.6</v>
      </c>
      <c r="BE6">
        <f>[1]defense!AB5</f>
        <v>4.29</v>
      </c>
    </row>
    <row r="7" spans="1:57" x14ac:dyDescent="0.25">
      <c r="A7">
        <f>[1]offense!A6</f>
        <v>6</v>
      </c>
      <c r="B7" t="str">
        <f>[1]offense!B6</f>
        <v>Buffalo Bills</v>
      </c>
      <c r="C7">
        <f>[1]offense!C6</f>
        <v>17</v>
      </c>
      <c r="D7">
        <f>[1]offense!D6</f>
        <v>451</v>
      </c>
      <c r="E7">
        <f>[1]offense!E6</f>
        <v>6366</v>
      </c>
      <c r="F7">
        <f>[1]offense!F6</f>
        <v>1115</v>
      </c>
      <c r="G7">
        <f>[1]offense!G6</f>
        <v>5.7</v>
      </c>
      <c r="H7">
        <f>[1]offense!H6</f>
        <v>28</v>
      </c>
      <c r="I7">
        <f>[1]offense!I6</f>
        <v>10</v>
      </c>
      <c r="J7">
        <f>[1]offense!J6</f>
        <v>381</v>
      </c>
      <c r="K7">
        <f>[1]offense!K6</f>
        <v>385</v>
      </c>
      <c r="L7">
        <f>[1]offense!L6</f>
        <v>579</v>
      </c>
      <c r="M7">
        <f>[1]offense!M6</f>
        <v>4154</v>
      </c>
      <c r="N7">
        <f>[1]offense!N6</f>
        <v>29</v>
      </c>
      <c r="O7">
        <f>[1]offense!O6</f>
        <v>18</v>
      </c>
      <c r="P7">
        <f>[1]offense!P6</f>
        <v>6.9</v>
      </c>
      <c r="Q7">
        <f>[1]offense!Q6</f>
        <v>199</v>
      </c>
      <c r="R7">
        <f>[1]offense!R6</f>
        <v>512</v>
      </c>
      <c r="S7">
        <f>[1]offense!S6</f>
        <v>2212</v>
      </c>
      <c r="T7">
        <f>[1]offense!T6</f>
        <v>22</v>
      </c>
      <c r="U7">
        <f>[1]offense!U6</f>
        <v>4.3</v>
      </c>
      <c r="V7">
        <f>[1]offense!V6</f>
        <v>158</v>
      </c>
      <c r="W7">
        <f>[1]offense!W6</f>
        <v>106</v>
      </c>
      <c r="X7">
        <f>[1]offense!X6</f>
        <v>883</v>
      </c>
      <c r="Y7">
        <f>[1]offense!Y6</f>
        <v>24</v>
      </c>
      <c r="Z7">
        <f>[1]offense!Z6</f>
        <v>41.4</v>
      </c>
      <c r="AA7">
        <f>[1]offense!AA6</f>
        <v>14.9</v>
      </c>
      <c r="AB7">
        <f>[1]offense!AB6</f>
        <v>197.57</v>
      </c>
      <c r="AD7">
        <f>[1]defense!A6</f>
        <v>6</v>
      </c>
      <c r="AE7" t="str">
        <f>[1]defense!B6</f>
        <v>Pittsburgh Steelers</v>
      </c>
      <c r="AF7">
        <f>[1]defense!C6</f>
        <v>17</v>
      </c>
      <c r="AG7">
        <f>[1]defense!D6</f>
        <v>324</v>
      </c>
      <c r="AH7">
        <f>[1]defense!E6</f>
        <v>5816</v>
      </c>
      <c r="AI7">
        <f>[1]defense!F6</f>
        <v>1074</v>
      </c>
      <c r="AJ7">
        <f>[1]defense!G6</f>
        <v>5.4</v>
      </c>
      <c r="AK7">
        <f>[1]defense!H6</f>
        <v>27</v>
      </c>
      <c r="AL7">
        <f>[1]defense!I6</f>
        <v>11</v>
      </c>
      <c r="AM7">
        <f>[1]defense!J6</f>
        <v>311</v>
      </c>
      <c r="AN7">
        <f>[1]defense!K6</f>
        <v>348</v>
      </c>
      <c r="AO7">
        <f>[1]defense!L6</f>
        <v>573</v>
      </c>
      <c r="AP7">
        <f>[1]defense!M6</f>
        <v>3860</v>
      </c>
      <c r="AQ7">
        <f>[1]defense!N6</f>
        <v>23</v>
      </c>
      <c r="AR7">
        <f>[1]defense!O6</f>
        <v>16</v>
      </c>
      <c r="AS7">
        <f>[1]defense!P6</f>
        <v>6.2</v>
      </c>
      <c r="AT7">
        <f>[1]defense!Q6</f>
        <v>186</v>
      </c>
      <c r="AU7">
        <f>[1]defense!R6</f>
        <v>454</v>
      </c>
      <c r="AV7">
        <f>[1]defense!S6</f>
        <v>1956</v>
      </c>
      <c r="AW7">
        <f>[1]defense!T6</f>
        <v>9</v>
      </c>
      <c r="AX7">
        <f>[1]defense!U6</f>
        <v>4.3</v>
      </c>
      <c r="AY7">
        <f>[1]defense!V6</f>
        <v>95</v>
      </c>
      <c r="AZ7">
        <f>[1]defense!W6</f>
        <v>90</v>
      </c>
      <c r="BA7">
        <f>[1]defense!X6</f>
        <v>741</v>
      </c>
      <c r="BB7">
        <f>[1]defense!Y6</f>
        <v>30</v>
      </c>
      <c r="BC7">
        <f>[1]defense!Z6</f>
        <v>33.700000000000003</v>
      </c>
      <c r="BD7">
        <f>[1]defense!AA6</f>
        <v>14.2</v>
      </c>
      <c r="BE7">
        <f>[1]defense!AB6</f>
        <v>-3.91</v>
      </c>
    </row>
    <row r="8" spans="1:57" x14ac:dyDescent="0.25">
      <c r="A8">
        <f>[1]offense!A7</f>
        <v>7</v>
      </c>
      <c r="B8" t="str">
        <f>[1]offense!B7</f>
        <v>Philadelphia Eagles</v>
      </c>
      <c r="C8">
        <f>[1]offense!C7</f>
        <v>17</v>
      </c>
      <c r="D8">
        <f>[1]offense!D7</f>
        <v>433</v>
      </c>
      <c r="E8">
        <f>[1]offense!E7</f>
        <v>6024</v>
      </c>
      <c r="F8">
        <f>[1]offense!F7</f>
        <v>1112</v>
      </c>
      <c r="G8">
        <f>[1]offense!G7</f>
        <v>5.4</v>
      </c>
      <c r="H8">
        <f>[1]offense!H7</f>
        <v>28</v>
      </c>
      <c r="I8">
        <f>[1]offense!I7</f>
        <v>12</v>
      </c>
      <c r="J8">
        <f>[1]offense!J7</f>
        <v>377</v>
      </c>
      <c r="K8">
        <f>[1]offense!K7</f>
        <v>369</v>
      </c>
      <c r="L8">
        <f>[1]offense!L7</f>
        <v>563</v>
      </c>
      <c r="M8">
        <f>[1]offense!M7</f>
        <v>3834</v>
      </c>
      <c r="N8">
        <f>[1]offense!N7</f>
        <v>24</v>
      </c>
      <c r="O8">
        <f>[1]offense!O7</f>
        <v>16</v>
      </c>
      <c r="P8">
        <f>[1]offense!P7</f>
        <v>6.4</v>
      </c>
      <c r="Q8">
        <f>[1]offense!Q7</f>
        <v>197</v>
      </c>
      <c r="R8">
        <f>[1]offense!R7</f>
        <v>510</v>
      </c>
      <c r="S8">
        <f>[1]offense!S7</f>
        <v>2190</v>
      </c>
      <c r="T8">
        <f>[1]offense!T7</f>
        <v>22</v>
      </c>
      <c r="U8">
        <f>[1]offense!U7</f>
        <v>4.3</v>
      </c>
      <c r="V8">
        <f>[1]offense!V7</f>
        <v>149</v>
      </c>
      <c r="W8">
        <f>[1]offense!W7</f>
        <v>95</v>
      </c>
      <c r="X8">
        <f>[1]offense!X7</f>
        <v>785</v>
      </c>
      <c r="Y8">
        <f>[1]offense!Y7</f>
        <v>31</v>
      </c>
      <c r="Z8">
        <f>[1]offense!Z7</f>
        <v>42.9</v>
      </c>
      <c r="AA8">
        <f>[1]offense!AA7</f>
        <v>15.3</v>
      </c>
      <c r="AB8">
        <f>[1]offense!AB7</f>
        <v>100.97</v>
      </c>
      <c r="AD8">
        <f>[1]defense!A7</f>
        <v>7</v>
      </c>
      <c r="AE8" t="str">
        <f>[1]defense!B7</f>
        <v>Tampa Bay Buccaneers</v>
      </c>
      <c r="AF8">
        <f>[1]defense!C7</f>
        <v>17</v>
      </c>
      <c r="AG8">
        <f>[1]defense!D7</f>
        <v>325</v>
      </c>
      <c r="AH8">
        <f>[1]defense!E7</f>
        <v>5852</v>
      </c>
      <c r="AI8">
        <f>[1]defense!F7</f>
        <v>1081</v>
      </c>
      <c r="AJ8">
        <f>[1]defense!G7</f>
        <v>5.4</v>
      </c>
      <c r="AK8">
        <f>[1]defense!H7</f>
        <v>26</v>
      </c>
      <c r="AL8">
        <f>[1]defense!I7</f>
        <v>13</v>
      </c>
      <c r="AM8">
        <f>[1]defense!J7</f>
        <v>337</v>
      </c>
      <c r="AN8">
        <f>[1]defense!K7</f>
        <v>404</v>
      </c>
      <c r="AO8">
        <f>[1]defense!L7</f>
        <v>611</v>
      </c>
      <c r="AP8">
        <f>[1]defense!M7</f>
        <v>4232</v>
      </c>
      <c r="AQ8">
        <f>[1]defense!N7</f>
        <v>23</v>
      </c>
      <c r="AR8">
        <f>[1]defense!O7</f>
        <v>13</v>
      </c>
      <c r="AS8">
        <f>[1]defense!P7</f>
        <v>6.4</v>
      </c>
      <c r="AT8">
        <f>[1]defense!Q7</f>
        <v>213</v>
      </c>
      <c r="AU8">
        <f>[1]defense!R7</f>
        <v>422</v>
      </c>
      <c r="AV8">
        <f>[1]defense!S7</f>
        <v>1620</v>
      </c>
      <c r="AW8">
        <f>[1]defense!T7</f>
        <v>11</v>
      </c>
      <c r="AX8">
        <f>[1]defense!U7</f>
        <v>3.8</v>
      </c>
      <c r="AY8">
        <f>[1]defense!V7</f>
        <v>101</v>
      </c>
      <c r="AZ8">
        <f>[1]defense!W7</f>
        <v>93</v>
      </c>
      <c r="BA8">
        <f>[1]defense!X7</f>
        <v>762</v>
      </c>
      <c r="BB8">
        <f>[1]defense!Y7</f>
        <v>23</v>
      </c>
      <c r="BC8">
        <f>[1]defense!Z7</f>
        <v>34.4</v>
      </c>
      <c r="BD8">
        <f>[1]defense!AA7</f>
        <v>14.2</v>
      </c>
      <c r="BE8">
        <f>[1]defense!AB7</f>
        <v>-29.99</v>
      </c>
    </row>
    <row r="9" spans="1:57" x14ac:dyDescent="0.25">
      <c r="A9">
        <f>[1]offense!A8</f>
        <v>8</v>
      </c>
      <c r="B9" t="str">
        <f>[1]offense!B8</f>
        <v>Los Angeles Rams</v>
      </c>
      <c r="C9">
        <f>[1]offense!C8</f>
        <v>17</v>
      </c>
      <c r="D9">
        <f>[1]offense!D8</f>
        <v>404</v>
      </c>
      <c r="E9">
        <f>[1]offense!E8</f>
        <v>6108</v>
      </c>
      <c r="F9">
        <f>[1]offense!F8</f>
        <v>1094</v>
      </c>
      <c r="G9">
        <f>[1]offense!G8</f>
        <v>5.6</v>
      </c>
      <c r="H9">
        <f>[1]offense!H8</f>
        <v>18</v>
      </c>
      <c r="I9">
        <f>[1]offense!I8</f>
        <v>5</v>
      </c>
      <c r="J9">
        <f>[1]offense!J8</f>
        <v>351</v>
      </c>
      <c r="K9">
        <f>[1]offense!K8</f>
        <v>361</v>
      </c>
      <c r="L9">
        <f>[1]offense!L8</f>
        <v>583</v>
      </c>
      <c r="M9">
        <f>[1]offense!M8</f>
        <v>4063</v>
      </c>
      <c r="N9">
        <f>[1]offense!N8</f>
        <v>26</v>
      </c>
      <c r="O9">
        <f>[1]offense!O8</f>
        <v>13</v>
      </c>
      <c r="P9">
        <f>[1]offense!P8</f>
        <v>6.6</v>
      </c>
      <c r="Q9">
        <f>[1]offense!Q8</f>
        <v>206</v>
      </c>
      <c r="R9">
        <f>[1]offense!R8</f>
        <v>477</v>
      </c>
      <c r="S9">
        <f>[1]offense!S8</f>
        <v>2045</v>
      </c>
      <c r="T9">
        <f>[1]offense!T8</f>
        <v>18</v>
      </c>
      <c r="U9">
        <f>[1]offense!U8</f>
        <v>4.3</v>
      </c>
      <c r="V9">
        <f>[1]offense!V8</f>
        <v>110</v>
      </c>
      <c r="W9">
        <f>[1]offense!W8</f>
        <v>89</v>
      </c>
      <c r="X9">
        <f>[1]offense!X8</f>
        <v>720</v>
      </c>
      <c r="Y9">
        <f>[1]offense!Y8</f>
        <v>35</v>
      </c>
      <c r="Z9">
        <f>[1]offense!Z8</f>
        <v>41.1</v>
      </c>
      <c r="AA9">
        <f>[1]offense!AA8</f>
        <v>9.1999999999999993</v>
      </c>
      <c r="AB9">
        <f>[1]offense!AB8</f>
        <v>133.32</v>
      </c>
      <c r="AD9">
        <f>[1]defense!A8</f>
        <v>8</v>
      </c>
      <c r="AE9" t="str">
        <f>[1]defense!B8</f>
        <v>New Orleans Saints</v>
      </c>
      <c r="AF9">
        <f>[1]defense!C8</f>
        <v>17</v>
      </c>
      <c r="AG9">
        <f>[1]defense!D8</f>
        <v>327</v>
      </c>
      <c r="AH9">
        <f>[1]defense!E8</f>
        <v>5562</v>
      </c>
      <c r="AI9">
        <f>[1]defense!F8</f>
        <v>1054</v>
      </c>
      <c r="AJ9">
        <f>[1]defense!G8</f>
        <v>5.3</v>
      </c>
      <c r="AK9">
        <f>[1]defense!H8</f>
        <v>29</v>
      </c>
      <c r="AL9">
        <f>[1]defense!I8</f>
        <v>11</v>
      </c>
      <c r="AM9">
        <f>[1]defense!J8</f>
        <v>300</v>
      </c>
      <c r="AN9">
        <f>[1]defense!K8</f>
        <v>333</v>
      </c>
      <c r="AO9">
        <f>[1]defense!L8</f>
        <v>558</v>
      </c>
      <c r="AP9">
        <f>[1]defense!M8</f>
        <v>3524</v>
      </c>
      <c r="AQ9">
        <f>[1]defense!N8</f>
        <v>22</v>
      </c>
      <c r="AR9">
        <f>[1]defense!O8</f>
        <v>18</v>
      </c>
      <c r="AS9">
        <f>[1]defense!P8</f>
        <v>6</v>
      </c>
      <c r="AT9">
        <f>[1]defense!Q8</f>
        <v>167</v>
      </c>
      <c r="AU9">
        <f>[1]defense!R8</f>
        <v>462</v>
      </c>
      <c r="AV9">
        <f>[1]defense!S8</f>
        <v>2038</v>
      </c>
      <c r="AW9">
        <f>[1]defense!T8</f>
        <v>10</v>
      </c>
      <c r="AX9">
        <f>[1]defense!U8</f>
        <v>4.4000000000000004</v>
      </c>
      <c r="AY9">
        <f>[1]defense!V8</f>
        <v>100</v>
      </c>
      <c r="AZ9">
        <f>[1]defense!W8</f>
        <v>102</v>
      </c>
      <c r="BA9">
        <f>[1]defense!X8</f>
        <v>775</v>
      </c>
      <c r="BB9">
        <f>[1]defense!Y8</f>
        <v>33</v>
      </c>
      <c r="BC9">
        <f>[1]defense!Z8</f>
        <v>31.6</v>
      </c>
      <c r="BD9">
        <f>[1]defense!AA8</f>
        <v>14.3</v>
      </c>
      <c r="BE9">
        <f>[1]defense!AB8</f>
        <v>35.39</v>
      </c>
    </row>
    <row r="10" spans="1:57" x14ac:dyDescent="0.25">
      <c r="A10">
        <f>[1]offense!A9</f>
        <v>9</v>
      </c>
      <c r="B10" t="str">
        <f>[1]offense!B9</f>
        <v>New Orleans Saints</v>
      </c>
      <c r="C10">
        <f>[1]offense!C9</f>
        <v>17</v>
      </c>
      <c r="D10">
        <f>[1]offense!D9</f>
        <v>402</v>
      </c>
      <c r="E10">
        <f>[1]offense!E9</f>
        <v>5732</v>
      </c>
      <c r="F10">
        <f>[1]offense!F9</f>
        <v>1121</v>
      </c>
      <c r="G10">
        <f>[1]offense!G9</f>
        <v>5.0999999999999996</v>
      </c>
      <c r="H10">
        <f>[1]offense!H9</f>
        <v>18</v>
      </c>
      <c r="I10">
        <f>[1]offense!I9</f>
        <v>7</v>
      </c>
      <c r="J10">
        <f>[1]offense!J9</f>
        <v>337</v>
      </c>
      <c r="K10">
        <f>[1]offense!K9</f>
        <v>406</v>
      </c>
      <c r="L10">
        <f>[1]offense!L9</f>
        <v>606</v>
      </c>
      <c r="M10">
        <f>[1]offense!M9</f>
        <v>3990</v>
      </c>
      <c r="N10">
        <f>[1]offense!N9</f>
        <v>28</v>
      </c>
      <c r="O10">
        <f>[1]offense!O9</f>
        <v>11</v>
      </c>
      <c r="P10">
        <f>[1]offense!P9</f>
        <v>6.2</v>
      </c>
      <c r="Q10">
        <f>[1]offense!Q9</f>
        <v>199</v>
      </c>
      <c r="R10">
        <f>[1]offense!R9</f>
        <v>480</v>
      </c>
      <c r="S10">
        <f>[1]offense!S9</f>
        <v>1742</v>
      </c>
      <c r="T10">
        <f>[1]offense!T9</f>
        <v>13</v>
      </c>
      <c r="U10">
        <f>[1]offense!U9</f>
        <v>3.6</v>
      </c>
      <c r="V10">
        <f>[1]offense!V9</f>
        <v>112</v>
      </c>
      <c r="W10">
        <f>[1]offense!W9</f>
        <v>96</v>
      </c>
      <c r="X10">
        <f>[1]offense!X9</f>
        <v>846</v>
      </c>
      <c r="Y10">
        <f>[1]offense!Y9</f>
        <v>26</v>
      </c>
      <c r="Z10">
        <f>[1]offense!Z9</f>
        <v>36.6</v>
      </c>
      <c r="AA10">
        <f>[1]offense!AA9</f>
        <v>8.1999999999999993</v>
      </c>
      <c r="AB10">
        <f>[1]offense!AB9</f>
        <v>46.88</v>
      </c>
      <c r="AD10">
        <f>[1]defense!A9</f>
        <v>9</v>
      </c>
      <c r="AE10" t="str">
        <f>[1]defense!B9</f>
        <v>Las Vegas Raiders</v>
      </c>
      <c r="AF10">
        <f>[1]defense!C9</f>
        <v>17</v>
      </c>
      <c r="AG10">
        <f>[1]defense!D9</f>
        <v>331</v>
      </c>
      <c r="AH10">
        <f>[1]defense!E9</f>
        <v>5625</v>
      </c>
      <c r="AI10">
        <f>[1]defense!F9</f>
        <v>1089</v>
      </c>
      <c r="AJ10">
        <f>[1]defense!G9</f>
        <v>5.2</v>
      </c>
      <c r="AK10">
        <f>[1]defense!H9</f>
        <v>22</v>
      </c>
      <c r="AL10">
        <f>[1]defense!I9</f>
        <v>9</v>
      </c>
      <c r="AM10">
        <f>[1]defense!J9</f>
        <v>330</v>
      </c>
      <c r="AN10">
        <f>[1]defense!K9</f>
        <v>376</v>
      </c>
      <c r="AO10">
        <f>[1]defense!L9</f>
        <v>564</v>
      </c>
      <c r="AP10">
        <f>[1]defense!M9</f>
        <v>3610</v>
      </c>
      <c r="AQ10">
        <f>[1]defense!N9</f>
        <v>21</v>
      </c>
      <c r="AR10">
        <f>[1]defense!O9</f>
        <v>13</v>
      </c>
      <c r="AS10">
        <f>[1]defense!P9</f>
        <v>5.9</v>
      </c>
      <c r="AT10">
        <f>[1]defense!Q9</f>
        <v>187</v>
      </c>
      <c r="AU10">
        <f>[1]defense!R9</f>
        <v>479</v>
      </c>
      <c r="AV10">
        <f>[1]defense!S9</f>
        <v>2015</v>
      </c>
      <c r="AW10">
        <f>[1]defense!T9</f>
        <v>15</v>
      </c>
      <c r="AX10">
        <f>[1]defense!U9</f>
        <v>4.2</v>
      </c>
      <c r="AY10">
        <f>[1]defense!V9</f>
        <v>117</v>
      </c>
      <c r="AZ10">
        <f>[1]defense!W9</f>
        <v>96</v>
      </c>
      <c r="BA10">
        <f>[1]defense!X9</f>
        <v>861</v>
      </c>
      <c r="BB10">
        <f>[1]defense!Y9</f>
        <v>26</v>
      </c>
      <c r="BC10">
        <f>[1]defense!Z9</f>
        <v>33</v>
      </c>
      <c r="BD10">
        <f>[1]defense!AA9</f>
        <v>11.4</v>
      </c>
      <c r="BE10">
        <f>[1]defense!AB9</f>
        <v>-22.59</v>
      </c>
    </row>
    <row r="11" spans="1:57" x14ac:dyDescent="0.25">
      <c r="A11">
        <f>[1]offense!A10</f>
        <v>10</v>
      </c>
      <c r="B11" t="str">
        <f>[1]offense!B10</f>
        <v>Indianapolis Colts</v>
      </c>
      <c r="C11">
        <f>[1]offense!C10</f>
        <v>17</v>
      </c>
      <c r="D11">
        <f>[1]offense!D10</f>
        <v>396</v>
      </c>
      <c r="E11">
        <f>[1]offense!E10</f>
        <v>5725</v>
      </c>
      <c r="F11">
        <f>[1]offense!F10</f>
        <v>1094</v>
      </c>
      <c r="G11">
        <f>[1]offense!G10</f>
        <v>5.2</v>
      </c>
      <c r="H11">
        <f>[1]offense!H10</f>
        <v>22</v>
      </c>
      <c r="I11">
        <f>[1]offense!I10</f>
        <v>12</v>
      </c>
      <c r="J11">
        <f>[1]offense!J10</f>
        <v>324</v>
      </c>
      <c r="K11">
        <f>[1]offense!K10</f>
        <v>355</v>
      </c>
      <c r="L11">
        <f>[1]offense!L10</f>
        <v>574</v>
      </c>
      <c r="M11">
        <f>[1]offense!M10</f>
        <v>3666</v>
      </c>
      <c r="N11">
        <f>[1]offense!N10</f>
        <v>18</v>
      </c>
      <c r="O11">
        <f>[1]offense!O10</f>
        <v>10</v>
      </c>
      <c r="P11">
        <f>[1]offense!P10</f>
        <v>6</v>
      </c>
      <c r="Q11">
        <f>[1]offense!Q10</f>
        <v>178</v>
      </c>
      <c r="R11">
        <f>[1]offense!R10</f>
        <v>479</v>
      </c>
      <c r="S11">
        <f>[1]offense!S10</f>
        <v>2059</v>
      </c>
      <c r="T11">
        <f>[1]offense!T10</f>
        <v>19</v>
      </c>
      <c r="U11">
        <f>[1]offense!U10</f>
        <v>4.3</v>
      </c>
      <c r="V11">
        <f>[1]offense!V10</f>
        <v>113</v>
      </c>
      <c r="W11">
        <f>[1]offense!W10</f>
        <v>95</v>
      </c>
      <c r="X11">
        <f>[1]offense!X10</f>
        <v>685</v>
      </c>
      <c r="Y11">
        <f>[1]offense!Y10</f>
        <v>33</v>
      </c>
      <c r="Z11">
        <f>[1]offense!Z10</f>
        <v>35.700000000000003</v>
      </c>
      <c r="AA11">
        <f>[1]offense!AA10</f>
        <v>9.1999999999999993</v>
      </c>
      <c r="AB11">
        <f>[1]offense!AB10</f>
        <v>30.12</v>
      </c>
      <c r="AD11">
        <f>[1]defense!A10</f>
        <v>10</v>
      </c>
      <c r="AE11" t="str">
        <f>[1]defense!B10</f>
        <v>Green Bay Packers</v>
      </c>
      <c r="AF11">
        <f>[1]defense!C10</f>
        <v>17</v>
      </c>
      <c r="AG11">
        <f>[1]defense!D10</f>
        <v>350</v>
      </c>
      <c r="AH11">
        <f>[1]defense!E10</f>
        <v>5696</v>
      </c>
      <c r="AI11">
        <f>[1]defense!F10</f>
        <v>1061</v>
      </c>
      <c r="AJ11">
        <f>[1]defense!G10</f>
        <v>5.4</v>
      </c>
      <c r="AK11">
        <f>[1]defense!H10</f>
        <v>18</v>
      </c>
      <c r="AL11">
        <f>[1]defense!I10</f>
        <v>11</v>
      </c>
      <c r="AM11">
        <f>[1]defense!J10</f>
        <v>340</v>
      </c>
      <c r="AN11">
        <f>[1]defense!K10</f>
        <v>342</v>
      </c>
      <c r="AO11">
        <f>[1]defense!L10</f>
        <v>523</v>
      </c>
      <c r="AP11">
        <f>[1]defense!M10</f>
        <v>3515</v>
      </c>
      <c r="AQ11">
        <f>[1]defense!N10</f>
        <v>21</v>
      </c>
      <c r="AR11">
        <f>[1]defense!O10</f>
        <v>7</v>
      </c>
      <c r="AS11">
        <f>[1]defense!P10</f>
        <v>6.2</v>
      </c>
      <c r="AT11">
        <f>[1]defense!Q10</f>
        <v>189</v>
      </c>
      <c r="AU11">
        <f>[1]defense!R10</f>
        <v>493</v>
      </c>
      <c r="AV11">
        <f>[1]defense!S10</f>
        <v>2181</v>
      </c>
      <c r="AW11">
        <f>[1]defense!T10</f>
        <v>15</v>
      </c>
      <c r="AX11">
        <f>[1]defense!U10</f>
        <v>4.4000000000000004</v>
      </c>
      <c r="AY11">
        <f>[1]defense!V10</f>
        <v>120</v>
      </c>
      <c r="AZ11">
        <f>[1]defense!W10</f>
        <v>95</v>
      </c>
      <c r="BA11">
        <f>[1]defense!X10</f>
        <v>907</v>
      </c>
      <c r="BB11">
        <f>[1]defense!Y10</f>
        <v>31</v>
      </c>
      <c r="BC11">
        <f>[1]defense!Z10</f>
        <v>38.700000000000003</v>
      </c>
      <c r="BD11">
        <f>[1]defense!AA10</f>
        <v>9.8000000000000007</v>
      </c>
      <c r="BE11">
        <f>[1]defense!AB10</f>
        <v>-84.9</v>
      </c>
    </row>
    <row r="12" spans="1:57" x14ac:dyDescent="0.25">
      <c r="A12">
        <f>[1]offense!A11</f>
        <v>11</v>
      </c>
      <c r="B12" t="str">
        <f>[1]offense!B11</f>
        <v>Cleveland Browns</v>
      </c>
      <c r="C12">
        <f>[1]offense!C11</f>
        <v>17</v>
      </c>
      <c r="D12">
        <f>[1]offense!D11</f>
        <v>396</v>
      </c>
      <c r="E12">
        <f>[1]offense!E11</f>
        <v>5710</v>
      </c>
      <c r="F12">
        <f>[1]offense!F11</f>
        <v>1187</v>
      </c>
      <c r="G12">
        <f>[1]offense!G11</f>
        <v>4.8</v>
      </c>
      <c r="H12">
        <f>[1]offense!H11</f>
        <v>37</v>
      </c>
      <c r="I12">
        <f>[1]offense!I11</f>
        <v>14</v>
      </c>
      <c r="J12">
        <f>[1]offense!J11</f>
        <v>325</v>
      </c>
      <c r="K12">
        <f>[1]offense!K11</f>
        <v>355</v>
      </c>
      <c r="L12">
        <f>[1]offense!L11</f>
        <v>624</v>
      </c>
      <c r="M12">
        <f>[1]offense!M11</f>
        <v>3693</v>
      </c>
      <c r="N12">
        <f>[1]offense!N11</f>
        <v>24</v>
      </c>
      <c r="O12">
        <f>[1]offense!O11</f>
        <v>23</v>
      </c>
      <c r="P12">
        <f>[1]offense!P11</f>
        <v>5.5</v>
      </c>
      <c r="Q12">
        <f>[1]offense!Q11</f>
        <v>173</v>
      </c>
      <c r="R12">
        <f>[1]offense!R11</f>
        <v>518</v>
      </c>
      <c r="S12">
        <f>[1]offense!S11</f>
        <v>2017</v>
      </c>
      <c r="T12">
        <f>[1]offense!T11</f>
        <v>15</v>
      </c>
      <c r="U12">
        <f>[1]offense!U11</f>
        <v>3.9</v>
      </c>
      <c r="V12">
        <f>[1]offense!V11</f>
        <v>121</v>
      </c>
      <c r="W12">
        <f>[1]offense!W11</f>
        <v>115</v>
      </c>
      <c r="X12">
        <f>[1]offense!X11</f>
        <v>897</v>
      </c>
      <c r="Y12">
        <f>[1]offense!Y11</f>
        <v>31</v>
      </c>
      <c r="Z12">
        <f>[1]offense!Z11</f>
        <v>32.9</v>
      </c>
      <c r="AA12">
        <f>[1]offense!AA11</f>
        <v>16.2</v>
      </c>
      <c r="AB12">
        <f>[1]offense!AB11</f>
        <v>-110.55</v>
      </c>
      <c r="AD12">
        <f>[1]defense!A11</f>
        <v>11</v>
      </c>
      <c r="AE12" t="str">
        <f>[1]defense!B11</f>
        <v>Houston Texans</v>
      </c>
      <c r="AF12">
        <f>[1]defense!C11</f>
        <v>17</v>
      </c>
      <c r="AG12">
        <f>[1]defense!D11</f>
        <v>353</v>
      </c>
      <c r="AH12">
        <f>[1]defense!E11</f>
        <v>5622</v>
      </c>
      <c r="AI12">
        <f>[1]defense!F11</f>
        <v>1079</v>
      </c>
      <c r="AJ12">
        <f>[1]defense!G11</f>
        <v>5.2</v>
      </c>
      <c r="AK12">
        <f>[1]defense!H11</f>
        <v>24</v>
      </c>
      <c r="AL12">
        <f>[1]defense!I11</f>
        <v>10</v>
      </c>
      <c r="AM12">
        <f>[1]defense!J11</f>
        <v>332</v>
      </c>
      <c r="AN12">
        <f>[1]defense!K11</f>
        <v>382</v>
      </c>
      <c r="AO12">
        <f>[1]defense!L11</f>
        <v>565</v>
      </c>
      <c r="AP12">
        <f>[1]defense!M11</f>
        <v>3979</v>
      </c>
      <c r="AQ12">
        <f>[1]defense!N11</f>
        <v>17</v>
      </c>
      <c r="AR12">
        <f>[1]defense!O11</f>
        <v>14</v>
      </c>
      <c r="AS12">
        <f>[1]defense!P11</f>
        <v>6.5</v>
      </c>
      <c r="AT12">
        <f>[1]defense!Q11</f>
        <v>185</v>
      </c>
      <c r="AU12">
        <f>[1]defense!R11</f>
        <v>468</v>
      </c>
      <c r="AV12">
        <f>[1]defense!S11</f>
        <v>1643</v>
      </c>
      <c r="AW12">
        <f>[1]defense!T11</f>
        <v>19</v>
      </c>
      <c r="AX12">
        <f>[1]defense!U11</f>
        <v>3.5</v>
      </c>
      <c r="AY12">
        <f>[1]defense!V11</f>
        <v>110</v>
      </c>
      <c r="AZ12">
        <f>[1]defense!W11</f>
        <v>100</v>
      </c>
      <c r="BA12">
        <f>[1]defense!X11</f>
        <v>805</v>
      </c>
      <c r="BB12">
        <f>[1]defense!Y11</f>
        <v>37</v>
      </c>
      <c r="BC12">
        <f>[1]defense!Z11</f>
        <v>34.700000000000003</v>
      </c>
      <c r="BD12">
        <f>[1]defense!AA11</f>
        <v>11.1</v>
      </c>
      <c r="BE12">
        <f>[1]defense!AB11</f>
        <v>-35.92</v>
      </c>
    </row>
    <row r="13" spans="1:57" x14ac:dyDescent="0.25">
      <c r="A13">
        <f>[1]offense!A12</f>
        <v>12</v>
      </c>
      <c r="B13" t="str">
        <f>[1]offense!B12</f>
        <v>Green Bay Packers</v>
      </c>
      <c r="C13">
        <f>[1]offense!C12</f>
        <v>17</v>
      </c>
      <c r="D13">
        <f>[1]offense!D12</f>
        <v>383</v>
      </c>
      <c r="E13">
        <f>[1]offense!E12</f>
        <v>5873</v>
      </c>
      <c r="F13">
        <f>[1]offense!F12</f>
        <v>1052</v>
      </c>
      <c r="G13">
        <f>[1]offense!G12</f>
        <v>5.6</v>
      </c>
      <c r="H13">
        <f>[1]offense!H12</f>
        <v>18</v>
      </c>
      <c r="I13">
        <f>[1]offense!I12</f>
        <v>7</v>
      </c>
      <c r="J13">
        <f>[1]offense!J12</f>
        <v>338</v>
      </c>
      <c r="K13">
        <f>[1]offense!K12</f>
        <v>374</v>
      </c>
      <c r="L13">
        <f>[1]offense!L12</f>
        <v>581</v>
      </c>
      <c r="M13">
        <f>[1]offense!M12</f>
        <v>3968</v>
      </c>
      <c r="N13">
        <f>[1]offense!N12</f>
        <v>32</v>
      </c>
      <c r="O13">
        <f>[1]offense!O12</f>
        <v>11</v>
      </c>
      <c r="P13">
        <f>[1]offense!P12</f>
        <v>6.5</v>
      </c>
      <c r="Q13">
        <f>[1]offense!Q12</f>
        <v>211</v>
      </c>
      <c r="R13">
        <f>[1]offense!R12</f>
        <v>441</v>
      </c>
      <c r="S13">
        <f>[1]offense!S12</f>
        <v>1905</v>
      </c>
      <c r="T13">
        <f>[1]offense!T12</f>
        <v>10</v>
      </c>
      <c r="U13">
        <f>[1]offense!U12</f>
        <v>4.3</v>
      </c>
      <c r="V13">
        <f>[1]offense!V12</f>
        <v>101</v>
      </c>
      <c r="W13">
        <f>[1]offense!W12</f>
        <v>105</v>
      </c>
      <c r="X13">
        <f>[1]offense!X12</f>
        <v>856</v>
      </c>
      <c r="Y13">
        <f>[1]offense!Y12</f>
        <v>26</v>
      </c>
      <c r="Z13">
        <f>[1]offense!Z12</f>
        <v>39.700000000000003</v>
      </c>
      <c r="AA13">
        <f>[1]offense!AA12</f>
        <v>9.1999999999999993</v>
      </c>
      <c r="AB13">
        <f>[1]offense!AB12</f>
        <v>156.77000000000001</v>
      </c>
      <c r="AD13">
        <f>[1]defense!A12</f>
        <v>12</v>
      </c>
      <c r="AE13" t="str">
        <f>[1]defense!B12</f>
        <v>New York Jets</v>
      </c>
      <c r="AF13">
        <f>[1]defense!C12</f>
        <v>17</v>
      </c>
      <c r="AG13">
        <f>[1]defense!D12</f>
        <v>355</v>
      </c>
      <c r="AH13">
        <f>[1]defense!E12</f>
        <v>4969</v>
      </c>
      <c r="AI13">
        <f>[1]defense!F12</f>
        <v>1087</v>
      </c>
      <c r="AJ13">
        <f>[1]defense!G12</f>
        <v>4.5999999999999996</v>
      </c>
      <c r="AK13">
        <f>[1]defense!H12</f>
        <v>27</v>
      </c>
      <c r="AL13">
        <f>[1]defense!I12</f>
        <v>10</v>
      </c>
      <c r="AM13">
        <f>[1]defense!J12</f>
        <v>298</v>
      </c>
      <c r="AN13">
        <f>[1]defense!K12</f>
        <v>313</v>
      </c>
      <c r="AO13">
        <f>[1]defense!L12</f>
        <v>522</v>
      </c>
      <c r="AP13">
        <f>[1]defense!M12</f>
        <v>2861</v>
      </c>
      <c r="AQ13">
        <f>[1]defense!N12</f>
        <v>19</v>
      </c>
      <c r="AR13">
        <f>[1]defense!O12</f>
        <v>17</v>
      </c>
      <c r="AS13">
        <f>[1]defense!P12</f>
        <v>5</v>
      </c>
      <c r="AT13">
        <f>[1]defense!Q12</f>
        <v>150</v>
      </c>
      <c r="AU13">
        <f>[1]defense!R12</f>
        <v>517</v>
      </c>
      <c r="AV13">
        <f>[1]defense!S12</f>
        <v>2108</v>
      </c>
      <c r="AW13">
        <f>[1]defense!T12</f>
        <v>14</v>
      </c>
      <c r="AX13">
        <f>[1]defense!U12</f>
        <v>4.0999999999999996</v>
      </c>
      <c r="AY13">
        <f>[1]defense!V12</f>
        <v>111</v>
      </c>
      <c r="AZ13">
        <f>[1]defense!W12</f>
        <v>93</v>
      </c>
      <c r="BA13">
        <f>[1]defense!X12</f>
        <v>780</v>
      </c>
      <c r="BB13">
        <f>[1]defense!Y12</f>
        <v>37</v>
      </c>
      <c r="BC13">
        <f>[1]defense!Z12</f>
        <v>31.8</v>
      </c>
      <c r="BD13">
        <f>[1]defense!AA12</f>
        <v>11.8</v>
      </c>
      <c r="BE13">
        <f>[1]defense!AB12</f>
        <v>75.84</v>
      </c>
    </row>
    <row r="14" spans="1:57" x14ac:dyDescent="0.25">
      <c r="A14">
        <f>[1]offense!A13</f>
        <v>13</v>
      </c>
      <c r="B14" t="str">
        <f>[1]offense!B13</f>
        <v>Houston Texans</v>
      </c>
      <c r="C14">
        <f>[1]offense!C13</f>
        <v>17</v>
      </c>
      <c r="D14">
        <f>[1]offense!D13</f>
        <v>377</v>
      </c>
      <c r="E14">
        <f>[1]offense!E13</f>
        <v>5820</v>
      </c>
      <c r="F14">
        <f>[1]offense!F13</f>
        <v>1083</v>
      </c>
      <c r="G14">
        <f>[1]offense!G13</f>
        <v>5.4</v>
      </c>
      <c r="H14">
        <f>[1]offense!H13</f>
        <v>14</v>
      </c>
      <c r="I14">
        <f>[1]offense!I13</f>
        <v>6</v>
      </c>
      <c r="J14">
        <f>[1]offense!J13</f>
        <v>329</v>
      </c>
      <c r="K14">
        <f>[1]offense!K13</f>
        <v>372</v>
      </c>
      <c r="L14">
        <f>[1]offense!L13</f>
        <v>592</v>
      </c>
      <c r="M14">
        <f>[1]offense!M13</f>
        <v>4173</v>
      </c>
      <c r="N14">
        <f>[1]offense!N13</f>
        <v>27</v>
      </c>
      <c r="O14">
        <f>[1]offense!O13</f>
        <v>8</v>
      </c>
      <c r="P14">
        <f>[1]offense!P13</f>
        <v>6.5</v>
      </c>
      <c r="Q14">
        <f>[1]offense!Q13</f>
        <v>215</v>
      </c>
      <c r="R14">
        <f>[1]offense!R13</f>
        <v>444</v>
      </c>
      <c r="S14">
        <f>[1]offense!S13</f>
        <v>1647</v>
      </c>
      <c r="T14">
        <f>[1]offense!T13</f>
        <v>10</v>
      </c>
      <c r="U14">
        <f>[1]offense!U13</f>
        <v>3.7</v>
      </c>
      <c r="V14">
        <f>[1]offense!V13</f>
        <v>84</v>
      </c>
      <c r="W14">
        <f>[1]offense!W13</f>
        <v>114</v>
      </c>
      <c r="X14">
        <f>[1]offense!X13</f>
        <v>937</v>
      </c>
      <c r="Y14">
        <f>[1]offense!Y13</f>
        <v>30</v>
      </c>
      <c r="Z14">
        <f>[1]offense!Z13</f>
        <v>37.200000000000003</v>
      </c>
      <c r="AA14">
        <f>[1]offense!AA13</f>
        <v>7.3</v>
      </c>
      <c r="AB14">
        <f>[1]offense!AB13</f>
        <v>44.11</v>
      </c>
      <c r="AD14">
        <f>[1]defense!A13</f>
        <v>13</v>
      </c>
      <c r="AE14" t="str">
        <f>[1]defense!B13</f>
        <v>Minnesota Vikings</v>
      </c>
      <c r="AF14">
        <f>[1]defense!C13</f>
        <v>17</v>
      </c>
      <c r="AG14">
        <f>[1]defense!D13</f>
        <v>362</v>
      </c>
      <c r="AH14">
        <f>[1]defense!E13</f>
        <v>5664</v>
      </c>
      <c r="AI14">
        <f>[1]defense!F13</f>
        <v>1095</v>
      </c>
      <c r="AJ14">
        <f>[1]defense!G13</f>
        <v>5.2</v>
      </c>
      <c r="AK14">
        <f>[1]defense!H13</f>
        <v>22</v>
      </c>
      <c r="AL14">
        <f>[1]defense!I13</f>
        <v>11</v>
      </c>
      <c r="AM14">
        <f>[1]defense!J13</f>
        <v>328</v>
      </c>
      <c r="AN14">
        <f>[1]defense!K13</f>
        <v>426</v>
      </c>
      <c r="AO14">
        <f>[1]defense!L13</f>
        <v>606</v>
      </c>
      <c r="AP14">
        <f>[1]defense!M13</f>
        <v>3986</v>
      </c>
      <c r="AQ14">
        <f>[1]defense!N13</f>
        <v>23</v>
      </c>
      <c r="AR14">
        <f>[1]defense!O13</f>
        <v>11</v>
      </c>
      <c r="AS14">
        <f>[1]defense!P13</f>
        <v>6.1</v>
      </c>
      <c r="AT14">
        <f>[1]defense!Q13</f>
        <v>208</v>
      </c>
      <c r="AU14">
        <f>[1]defense!R13</f>
        <v>446</v>
      </c>
      <c r="AV14">
        <f>[1]defense!S13</f>
        <v>1678</v>
      </c>
      <c r="AW14">
        <f>[1]defense!T13</f>
        <v>14</v>
      </c>
      <c r="AX14">
        <f>[1]defense!U13</f>
        <v>3.8</v>
      </c>
      <c r="AY14">
        <f>[1]defense!V13</f>
        <v>104</v>
      </c>
      <c r="AZ14">
        <f>[1]defense!W13</f>
        <v>111</v>
      </c>
      <c r="BA14">
        <f>[1]defense!X13</f>
        <v>916</v>
      </c>
      <c r="BB14">
        <f>[1]defense!Y13</f>
        <v>16</v>
      </c>
      <c r="BC14">
        <f>[1]defense!Z13</f>
        <v>37.1</v>
      </c>
      <c r="BD14">
        <f>[1]defense!AA13</f>
        <v>11.3</v>
      </c>
      <c r="BE14">
        <f>[1]defense!AB13</f>
        <v>-37.619999999999997</v>
      </c>
    </row>
    <row r="15" spans="1:57" x14ac:dyDescent="0.25">
      <c r="A15">
        <f>[1]offense!A14</f>
        <v>14</v>
      </c>
      <c r="B15" t="str">
        <f>[1]offense!B14</f>
        <v>Jacksonville Jaguars</v>
      </c>
      <c r="C15">
        <f>[1]offense!C14</f>
        <v>17</v>
      </c>
      <c r="D15">
        <f>[1]offense!D14</f>
        <v>377</v>
      </c>
      <c r="E15">
        <f>[1]offense!E14</f>
        <v>5772</v>
      </c>
      <c r="F15">
        <f>[1]offense!F14</f>
        <v>1114</v>
      </c>
      <c r="G15">
        <f>[1]offense!G14</f>
        <v>5.2</v>
      </c>
      <c r="H15">
        <f>[1]offense!H14</f>
        <v>30</v>
      </c>
      <c r="I15">
        <f>[1]offense!I14</f>
        <v>16</v>
      </c>
      <c r="J15">
        <f>[1]offense!J14</f>
        <v>336</v>
      </c>
      <c r="K15">
        <f>[1]offense!K14</f>
        <v>412</v>
      </c>
      <c r="L15">
        <f>[1]offense!L14</f>
        <v>620</v>
      </c>
      <c r="M15">
        <f>[1]offense!M14</f>
        <v>4126</v>
      </c>
      <c r="N15">
        <f>[1]offense!N14</f>
        <v>22</v>
      </c>
      <c r="O15">
        <f>[1]offense!O14</f>
        <v>14</v>
      </c>
      <c r="P15">
        <f>[1]offense!P14</f>
        <v>6.2</v>
      </c>
      <c r="Q15">
        <f>[1]offense!Q14</f>
        <v>199</v>
      </c>
      <c r="R15">
        <f>[1]offense!R14</f>
        <v>453</v>
      </c>
      <c r="S15">
        <f>[1]offense!S14</f>
        <v>1646</v>
      </c>
      <c r="T15">
        <f>[1]offense!T14</f>
        <v>17</v>
      </c>
      <c r="U15">
        <f>[1]offense!U14</f>
        <v>3.6</v>
      </c>
      <c r="V15">
        <f>[1]offense!V14</f>
        <v>98</v>
      </c>
      <c r="W15">
        <f>[1]offense!W14</f>
        <v>83</v>
      </c>
      <c r="X15">
        <f>[1]offense!X14</f>
        <v>644</v>
      </c>
      <c r="Y15">
        <f>[1]offense!Y14</f>
        <v>39</v>
      </c>
      <c r="Z15">
        <f>[1]offense!Z14</f>
        <v>35.4</v>
      </c>
      <c r="AA15">
        <f>[1]offense!AA14</f>
        <v>14.9</v>
      </c>
      <c r="AB15">
        <f>[1]offense!AB14</f>
        <v>13.64</v>
      </c>
      <c r="AD15">
        <f>[1]defense!A14</f>
        <v>14</v>
      </c>
      <c r="AE15" t="str">
        <f>[1]defense!B14</f>
        <v>Cleveland Browns</v>
      </c>
      <c r="AF15">
        <f>[1]defense!C14</f>
        <v>17</v>
      </c>
      <c r="AG15">
        <f>[1]defense!D14</f>
        <v>362</v>
      </c>
      <c r="AH15">
        <f>[1]defense!E14</f>
        <v>4593</v>
      </c>
      <c r="AI15">
        <f>[1]defense!F14</f>
        <v>1004</v>
      </c>
      <c r="AJ15">
        <f>[1]defense!G14</f>
        <v>4.5999999999999996</v>
      </c>
      <c r="AK15">
        <f>[1]defense!H14</f>
        <v>28</v>
      </c>
      <c r="AL15">
        <f>[1]defense!I14</f>
        <v>10</v>
      </c>
      <c r="AM15">
        <f>[1]defense!J14</f>
        <v>254</v>
      </c>
      <c r="AN15">
        <f>[1]defense!K14</f>
        <v>307</v>
      </c>
      <c r="AO15">
        <f>[1]defense!L14</f>
        <v>535</v>
      </c>
      <c r="AP15">
        <f>[1]defense!M14</f>
        <v>2800</v>
      </c>
      <c r="AQ15">
        <f>[1]defense!N14</f>
        <v>23</v>
      </c>
      <c r="AR15">
        <f>[1]defense!O14</f>
        <v>18</v>
      </c>
      <c r="AS15">
        <f>[1]defense!P14</f>
        <v>4.8</v>
      </c>
      <c r="AT15">
        <f>[1]defense!Q14</f>
        <v>136</v>
      </c>
      <c r="AU15">
        <f>[1]defense!R14</f>
        <v>420</v>
      </c>
      <c r="AV15">
        <f>[1]defense!S14</f>
        <v>1793</v>
      </c>
      <c r="AW15">
        <f>[1]defense!T14</f>
        <v>15</v>
      </c>
      <c r="AX15">
        <f>[1]defense!U14</f>
        <v>4.3</v>
      </c>
      <c r="AY15">
        <f>[1]defense!V14</f>
        <v>88</v>
      </c>
      <c r="AZ15">
        <f>[1]defense!W14</f>
        <v>118</v>
      </c>
      <c r="BA15">
        <f>[1]defense!X14</f>
        <v>923</v>
      </c>
      <c r="BB15">
        <f>[1]defense!Y14</f>
        <v>30</v>
      </c>
      <c r="BC15">
        <f>[1]defense!Z14</f>
        <v>24.8</v>
      </c>
      <c r="BD15">
        <f>[1]defense!AA14</f>
        <v>11.7</v>
      </c>
      <c r="BE15">
        <f>[1]defense!AB14</f>
        <v>90.47</v>
      </c>
    </row>
    <row r="16" spans="1:57" x14ac:dyDescent="0.25">
      <c r="A16">
        <f>[1]offense!A15</f>
        <v>15</v>
      </c>
      <c r="B16" t="str">
        <f>[1]offense!B15</f>
        <v>Kansas City Chiefs</v>
      </c>
      <c r="C16">
        <f>[1]offense!C15</f>
        <v>17</v>
      </c>
      <c r="D16">
        <f>[1]offense!D15</f>
        <v>371</v>
      </c>
      <c r="E16">
        <f>[1]offense!E15</f>
        <v>5972</v>
      </c>
      <c r="F16">
        <f>[1]offense!F15</f>
        <v>1080</v>
      </c>
      <c r="G16">
        <f>[1]offense!G15</f>
        <v>5.5</v>
      </c>
      <c r="H16">
        <f>[1]offense!H15</f>
        <v>28</v>
      </c>
      <c r="I16">
        <f>[1]offense!I15</f>
        <v>11</v>
      </c>
      <c r="J16">
        <f>[1]offense!J15</f>
        <v>350</v>
      </c>
      <c r="K16">
        <f>[1]offense!K15</f>
        <v>421</v>
      </c>
      <c r="L16">
        <f>[1]offense!L15</f>
        <v>635</v>
      </c>
      <c r="M16">
        <f>[1]offense!M15</f>
        <v>4188</v>
      </c>
      <c r="N16">
        <f>[1]offense!N15</f>
        <v>28</v>
      </c>
      <c r="O16">
        <f>[1]offense!O15</f>
        <v>17</v>
      </c>
      <c r="P16">
        <f>[1]offense!P15</f>
        <v>6.3</v>
      </c>
      <c r="Q16">
        <f>[1]offense!Q15</f>
        <v>216</v>
      </c>
      <c r="R16">
        <f>[1]offense!R15</f>
        <v>417</v>
      </c>
      <c r="S16">
        <f>[1]offense!S15</f>
        <v>1784</v>
      </c>
      <c r="T16">
        <f>[1]offense!T15</f>
        <v>9</v>
      </c>
      <c r="U16">
        <f>[1]offense!U15</f>
        <v>4.3</v>
      </c>
      <c r="V16">
        <f>[1]offense!V15</f>
        <v>107</v>
      </c>
      <c r="W16">
        <f>[1]offense!W15</f>
        <v>96</v>
      </c>
      <c r="X16">
        <f>[1]offense!X15</f>
        <v>845</v>
      </c>
      <c r="Y16">
        <f>[1]offense!Y15</f>
        <v>27</v>
      </c>
      <c r="Z16">
        <f>[1]offense!Z15</f>
        <v>39.299999999999997</v>
      </c>
      <c r="AA16">
        <f>[1]offense!AA15</f>
        <v>14.6</v>
      </c>
      <c r="AB16">
        <f>[1]offense!AB15</f>
        <v>87.96</v>
      </c>
      <c r="AD16">
        <f>[1]defense!A15</f>
        <v>15</v>
      </c>
      <c r="AE16" t="str">
        <f>[1]defense!B15</f>
        <v>New England Patriots</v>
      </c>
      <c r="AF16">
        <f>[1]defense!C15</f>
        <v>17</v>
      </c>
      <c r="AG16">
        <f>[1]defense!D15</f>
        <v>366</v>
      </c>
      <c r="AH16">
        <f>[1]defense!E15</f>
        <v>5127</v>
      </c>
      <c r="AI16">
        <f>[1]defense!F15</f>
        <v>1091</v>
      </c>
      <c r="AJ16">
        <f>[1]defense!G15</f>
        <v>4.7</v>
      </c>
      <c r="AK16">
        <f>[1]defense!H15</f>
        <v>18</v>
      </c>
      <c r="AL16">
        <f>[1]defense!I15</f>
        <v>8</v>
      </c>
      <c r="AM16">
        <f>[1]defense!J15</f>
        <v>305</v>
      </c>
      <c r="AN16">
        <f>[1]defense!K15</f>
        <v>370</v>
      </c>
      <c r="AO16">
        <f>[1]defense!L15</f>
        <v>575</v>
      </c>
      <c r="AP16">
        <f>[1]defense!M15</f>
        <v>3543</v>
      </c>
      <c r="AQ16">
        <f>[1]defense!N15</f>
        <v>19</v>
      </c>
      <c r="AR16">
        <f>[1]defense!O15</f>
        <v>10</v>
      </c>
      <c r="AS16">
        <f>[1]defense!P15</f>
        <v>5.8</v>
      </c>
      <c r="AT16">
        <f>[1]defense!Q15</f>
        <v>181</v>
      </c>
      <c r="AU16">
        <f>[1]defense!R15</f>
        <v>480</v>
      </c>
      <c r="AV16">
        <f>[1]defense!S15</f>
        <v>1584</v>
      </c>
      <c r="AW16">
        <f>[1]defense!T15</f>
        <v>14</v>
      </c>
      <c r="AX16">
        <f>[1]defense!U15</f>
        <v>3.3</v>
      </c>
      <c r="AY16">
        <f>[1]defense!V15</f>
        <v>100</v>
      </c>
      <c r="AZ16">
        <f>[1]defense!W15</f>
        <v>75</v>
      </c>
      <c r="BA16">
        <f>[1]defense!X15</f>
        <v>544</v>
      </c>
      <c r="BB16">
        <f>[1]defense!Y15</f>
        <v>24</v>
      </c>
      <c r="BC16">
        <f>[1]defense!Z15</f>
        <v>31.5</v>
      </c>
      <c r="BD16">
        <f>[1]defense!AA15</f>
        <v>7.9</v>
      </c>
      <c r="BE16">
        <f>[1]defense!AB15</f>
        <v>25.44</v>
      </c>
    </row>
    <row r="17" spans="1:57" x14ac:dyDescent="0.25">
      <c r="A17">
        <f>[1]offense!A16</f>
        <v>16</v>
      </c>
      <c r="B17" t="str">
        <f>[1]offense!B16</f>
        <v>Cincinnati Bengals</v>
      </c>
      <c r="C17">
        <f>[1]offense!C16</f>
        <v>17</v>
      </c>
      <c r="D17">
        <f>[1]offense!D16</f>
        <v>366</v>
      </c>
      <c r="E17">
        <f>[1]offense!E16</f>
        <v>5422</v>
      </c>
      <c r="F17">
        <f>[1]offense!F16</f>
        <v>1048</v>
      </c>
      <c r="G17">
        <f>[1]offense!G16</f>
        <v>5.2</v>
      </c>
      <c r="H17">
        <f>[1]offense!H16</f>
        <v>16</v>
      </c>
      <c r="I17">
        <f>[1]offense!I16</f>
        <v>2</v>
      </c>
      <c r="J17">
        <f>[1]offense!J16</f>
        <v>329</v>
      </c>
      <c r="K17">
        <f>[1]offense!K16</f>
        <v>420</v>
      </c>
      <c r="L17">
        <f>[1]offense!L16</f>
        <v>615</v>
      </c>
      <c r="M17">
        <f>[1]offense!M16</f>
        <v>3895</v>
      </c>
      <c r="N17">
        <f>[1]offense!N16</f>
        <v>27</v>
      </c>
      <c r="O17">
        <f>[1]offense!O16</f>
        <v>14</v>
      </c>
      <c r="P17">
        <f>[1]offense!P16</f>
        <v>5.9</v>
      </c>
      <c r="Q17">
        <f>[1]offense!Q16</f>
        <v>208</v>
      </c>
      <c r="R17">
        <f>[1]offense!R16</f>
        <v>383</v>
      </c>
      <c r="S17">
        <f>[1]offense!S16</f>
        <v>1527</v>
      </c>
      <c r="T17">
        <f>[1]offense!T16</f>
        <v>12</v>
      </c>
      <c r="U17">
        <f>[1]offense!U16</f>
        <v>4</v>
      </c>
      <c r="V17">
        <f>[1]offense!V16</f>
        <v>90</v>
      </c>
      <c r="W17">
        <f>[1]offense!W16</f>
        <v>76</v>
      </c>
      <c r="X17">
        <f>[1]offense!X16</f>
        <v>614</v>
      </c>
      <c r="Y17">
        <f>[1]offense!Y16</f>
        <v>31</v>
      </c>
      <c r="Z17">
        <f>[1]offense!Z16</f>
        <v>34.6</v>
      </c>
      <c r="AA17">
        <f>[1]offense!AA16</f>
        <v>8.5</v>
      </c>
      <c r="AB17">
        <f>[1]offense!AB16</f>
        <v>41.53</v>
      </c>
      <c r="AD17">
        <f>[1]defense!A16</f>
        <v>16</v>
      </c>
      <c r="AE17" t="str">
        <f>[1]defense!B16</f>
        <v>Tennessee Titans</v>
      </c>
      <c r="AF17">
        <f>[1]defense!C16</f>
        <v>17</v>
      </c>
      <c r="AG17">
        <f>[1]defense!D16</f>
        <v>367</v>
      </c>
      <c r="AH17">
        <f>[1]defense!E16</f>
        <v>5697</v>
      </c>
      <c r="AI17">
        <f>[1]defense!F16</f>
        <v>1096</v>
      </c>
      <c r="AJ17">
        <f>[1]defense!G16</f>
        <v>5.2</v>
      </c>
      <c r="AK17">
        <f>[1]defense!H16</f>
        <v>14</v>
      </c>
      <c r="AL17">
        <f>[1]defense!I16</f>
        <v>8</v>
      </c>
      <c r="AM17">
        <f>[1]defense!J16</f>
        <v>334</v>
      </c>
      <c r="AN17">
        <f>[1]defense!K16</f>
        <v>387</v>
      </c>
      <c r="AO17">
        <f>[1]defense!L16</f>
        <v>571</v>
      </c>
      <c r="AP17">
        <f>[1]defense!M16</f>
        <v>3866</v>
      </c>
      <c r="AQ17">
        <f>[1]defense!N16</f>
        <v>20</v>
      </c>
      <c r="AR17">
        <f>[1]defense!O16</f>
        <v>6</v>
      </c>
      <c r="AS17">
        <f>[1]defense!P16</f>
        <v>6.3</v>
      </c>
      <c r="AT17">
        <f>[1]defense!Q16</f>
        <v>189</v>
      </c>
      <c r="AU17">
        <f>[1]defense!R16</f>
        <v>480</v>
      </c>
      <c r="AV17">
        <f>[1]defense!S16</f>
        <v>1831</v>
      </c>
      <c r="AW17">
        <f>[1]defense!T16</f>
        <v>10</v>
      </c>
      <c r="AX17">
        <f>[1]defense!U16</f>
        <v>3.8</v>
      </c>
      <c r="AY17">
        <f>[1]defense!V16</f>
        <v>103</v>
      </c>
      <c r="AZ17">
        <f>[1]defense!W16</f>
        <v>98</v>
      </c>
      <c r="BA17">
        <f>[1]defense!X16</f>
        <v>776</v>
      </c>
      <c r="BB17">
        <f>[1]defense!Y16</f>
        <v>42</v>
      </c>
      <c r="BC17">
        <f>[1]defense!Z16</f>
        <v>43.2</v>
      </c>
      <c r="BD17">
        <f>[1]defense!AA16</f>
        <v>6.8</v>
      </c>
      <c r="BE17">
        <f>[1]defense!AB16</f>
        <v>-69.25</v>
      </c>
    </row>
    <row r="18" spans="1:57" x14ac:dyDescent="0.25">
      <c r="A18">
        <f>[1]offense!A17</f>
        <v>17</v>
      </c>
      <c r="B18" t="str">
        <f>[1]offense!B17</f>
        <v>Seattle Seahawks</v>
      </c>
      <c r="C18">
        <f>[1]offense!C17</f>
        <v>17</v>
      </c>
      <c r="D18">
        <f>[1]offense!D17</f>
        <v>364</v>
      </c>
      <c r="E18">
        <f>[1]offense!E17</f>
        <v>5490</v>
      </c>
      <c r="F18">
        <f>[1]offense!F17</f>
        <v>995</v>
      </c>
      <c r="G18">
        <f>[1]offense!G17</f>
        <v>5.5</v>
      </c>
      <c r="H18">
        <f>[1]offense!H17</f>
        <v>17</v>
      </c>
      <c r="I18">
        <f>[1]offense!I17</f>
        <v>5</v>
      </c>
      <c r="J18">
        <f>[1]offense!J17</f>
        <v>317</v>
      </c>
      <c r="K18">
        <f>[1]offense!K17</f>
        <v>371</v>
      </c>
      <c r="L18">
        <f>[1]offense!L17</f>
        <v>575</v>
      </c>
      <c r="M18">
        <f>[1]offense!M17</f>
        <v>3910</v>
      </c>
      <c r="N18">
        <f>[1]offense!N17</f>
        <v>23</v>
      </c>
      <c r="O18">
        <f>[1]offense!O17</f>
        <v>12</v>
      </c>
      <c r="P18">
        <f>[1]offense!P17</f>
        <v>6.4</v>
      </c>
      <c r="Q18">
        <f>[1]offense!Q17</f>
        <v>189</v>
      </c>
      <c r="R18">
        <f>[1]offense!R17</f>
        <v>382</v>
      </c>
      <c r="S18">
        <f>[1]offense!S17</f>
        <v>1580</v>
      </c>
      <c r="T18">
        <f>[1]offense!T17</f>
        <v>11</v>
      </c>
      <c r="U18">
        <f>[1]offense!U17</f>
        <v>4.0999999999999996</v>
      </c>
      <c r="V18">
        <f>[1]offense!V17</f>
        <v>93</v>
      </c>
      <c r="W18">
        <f>[1]offense!W17</f>
        <v>111</v>
      </c>
      <c r="X18">
        <f>[1]offense!X17</f>
        <v>954</v>
      </c>
      <c r="Y18">
        <f>[1]offense!Y17</f>
        <v>35</v>
      </c>
      <c r="Z18">
        <f>[1]offense!Z17</f>
        <v>38.799999999999997</v>
      </c>
      <c r="AA18">
        <f>[1]offense!AA17</f>
        <v>8.4</v>
      </c>
      <c r="AB18">
        <f>[1]offense!AB17</f>
        <v>62.33</v>
      </c>
      <c r="AD18">
        <f>[1]defense!A17</f>
        <v>17</v>
      </c>
      <c r="AE18" t="str">
        <f>[1]defense!B17</f>
        <v>Jacksonville Jaguars</v>
      </c>
      <c r="AF18">
        <f>[1]defense!C17</f>
        <v>17</v>
      </c>
      <c r="AG18">
        <f>[1]defense!D17</f>
        <v>371</v>
      </c>
      <c r="AH18">
        <f>[1]defense!E17</f>
        <v>5828</v>
      </c>
      <c r="AI18">
        <f>[1]defense!F17</f>
        <v>1078</v>
      </c>
      <c r="AJ18">
        <f>[1]defense!G17</f>
        <v>5.4</v>
      </c>
      <c r="AK18">
        <f>[1]defense!H17</f>
        <v>27</v>
      </c>
      <c r="AL18">
        <f>[1]defense!I17</f>
        <v>11</v>
      </c>
      <c r="AM18">
        <f>[1]defense!J17</f>
        <v>314</v>
      </c>
      <c r="AN18">
        <f>[1]defense!K17</f>
        <v>404</v>
      </c>
      <c r="AO18">
        <f>[1]defense!L17</f>
        <v>617</v>
      </c>
      <c r="AP18">
        <f>[1]defense!M17</f>
        <v>4076</v>
      </c>
      <c r="AQ18">
        <f>[1]defense!N17</f>
        <v>27</v>
      </c>
      <c r="AR18">
        <f>[1]defense!O17</f>
        <v>16</v>
      </c>
      <c r="AS18">
        <f>[1]defense!P17</f>
        <v>6.2</v>
      </c>
      <c r="AT18">
        <f>[1]defense!Q17</f>
        <v>198</v>
      </c>
      <c r="AU18">
        <f>[1]defense!R17</f>
        <v>421</v>
      </c>
      <c r="AV18">
        <f>[1]defense!S17</f>
        <v>1752</v>
      </c>
      <c r="AW18">
        <f>[1]defense!T17</f>
        <v>15</v>
      </c>
      <c r="AX18">
        <f>[1]defense!U17</f>
        <v>4.2</v>
      </c>
      <c r="AY18">
        <f>[1]defense!V17</f>
        <v>99</v>
      </c>
      <c r="AZ18">
        <f>[1]defense!W17</f>
        <v>108</v>
      </c>
      <c r="BA18">
        <f>[1]defense!X17</f>
        <v>961</v>
      </c>
      <c r="BB18">
        <f>[1]defense!Y17</f>
        <v>17</v>
      </c>
      <c r="BC18">
        <f>[1]defense!Z17</f>
        <v>32.299999999999997</v>
      </c>
      <c r="BD18">
        <f>[1]defense!AA17</f>
        <v>12.8</v>
      </c>
      <c r="BE18">
        <f>[1]defense!AB17</f>
        <v>-8.0399999999999991</v>
      </c>
    </row>
    <row r="19" spans="1:57" x14ac:dyDescent="0.25">
      <c r="A19">
        <f>[1]offense!A18</f>
        <v>18</v>
      </c>
      <c r="B19" t="str">
        <f>[1]offense!B18</f>
        <v>Chicago Bears</v>
      </c>
      <c r="C19">
        <f>[1]offense!C18</f>
        <v>17</v>
      </c>
      <c r="D19">
        <f>[1]offense!D18</f>
        <v>360</v>
      </c>
      <c r="E19">
        <f>[1]offense!E18</f>
        <v>5495</v>
      </c>
      <c r="F19">
        <f>[1]offense!F18</f>
        <v>1097</v>
      </c>
      <c r="G19">
        <f>[1]offense!G18</f>
        <v>5</v>
      </c>
      <c r="H19">
        <f>[1]offense!H18</f>
        <v>25</v>
      </c>
      <c r="I19">
        <f>[1]offense!I18</f>
        <v>10</v>
      </c>
      <c r="J19">
        <f>[1]offense!J18</f>
        <v>322</v>
      </c>
      <c r="K19">
        <f>[1]offense!K18</f>
        <v>321</v>
      </c>
      <c r="L19">
        <f>[1]offense!L18</f>
        <v>513</v>
      </c>
      <c r="M19">
        <f>[1]offense!M18</f>
        <v>3096</v>
      </c>
      <c r="N19">
        <f>[1]offense!N18</f>
        <v>19</v>
      </c>
      <c r="O19">
        <f>[1]offense!O18</f>
        <v>15</v>
      </c>
      <c r="P19">
        <f>[1]offense!P18</f>
        <v>5.5</v>
      </c>
      <c r="Q19">
        <f>[1]offense!Q18</f>
        <v>169</v>
      </c>
      <c r="R19">
        <f>[1]offense!R18</f>
        <v>534</v>
      </c>
      <c r="S19">
        <f>[1]offense!S18</f>
        <v>2399</v>
      </c>
      <c r="T19">
        <f>[1]offense!T18</f>
        <v>16</v>
      </c>
      <c r="U19">
        <f>[1]offense!U18</f>
        <v>4.5</v>
      </c>
      <c r="V19">
        <f>[1]offense!V18</f>
        <v>137</v>
      </c>
      <c r="W19">
        <f>[1]offense!W18</f>
        <v>99</v>
      </c>
      <c r="X19">
        <f>[1]offense!X18</f>
        <v>853</v>
      </c>
      <c r="Y19">
        <f>[1]offense!Y18</f>
        <v>16</v>
      </c>
      <c r="Z19">
        <f>[1]offense!Z18</f>
        <v>38</v>
      </c>
      <c r="AA19">
        <f>[1]offense!AA18</f>
        <v>13</v>
      </c>
      <c r="AB19">
        <f>[1]offense!AB18</f>
        <v>-10.73</v>
      </c>
      <c r="AD19">
        <f>[1]defense!A18</f>
        <v>18</v>
      </c>
      <c r="AE19" t="str">
        <f>[1]defense!B18</f>
        <v>Atlanta Falcons</v>
      </c>
      <c r="AF19">
        <f>[1]defense!C18</f>
        <v>17</v>
      </c>
      <c r="AG19">
        <f>[1]defense!D18</f>
        <v>373</v>
      </c>
      <c r="AH19">
        <f>[1]defense!E18</f>
        <v>5458</v>
      </c>
      <c r="AI19">
        <f>[1]defense!F18</f>
        <v>1090</v>
      </c>
      <c r="AJ19">
        <f>[1]defense!G18</f>
        <v>5</v>
      </c>
      <c r="AK19">
        <f>[1]defense!H18</f>
        <v>16</v>
      </c>
      <c r="AL19">
        <f>[1]defense!I18</f>
        <v>8</v>
      </c>
      <c r="AM19">
        <f>[1]defense!J18</f>
        <v>320</v>
      </c>
      <c r="AN19">
        <f>[1]defense!K18</f>
        <v>340</v>
      </c>
      <c r="AO19">
        <f>[1]defense!L18</f>
        <v>549</v>
      </c>
      <c r="AP19">
        <f>[1]defense!M18</f>
        <v>3449</v>
      </c>
      <c r="AQ19">
        <f>[1]defense!N18</f>
        <v>24</v>
      </c>
      <c r="AR19">
        <f>[1]defense!O18</f>
        <v>8</v>
      </c>
      <c r="AS19">
        <f>[1]defense!P18</f>
        <v>5.8</v>
      </c>
      <c r="AT19">
        <f>[1]defense!Q18</f>
        <v>183</v>
      </c>
      <c r="AU19">
        <f>[1]defense!R18</f>
        <v>499</v>
      </c>
      <c r="AV19">
        <f>[1]defense!S18</f>
        <v>2009</v>
      </c>
      <c r="AW19">
        <f>[1]defense!T18</f>
        <v>11</v>
      </c>
      <c r="AX19">
        <f>[1]defense!U18</f>
        <v>4</v>
      </c>
      <c r="AY19">
        <f>[1]defense!V18</f>
        <v>105</v>
      </c>
      <c r="AZ19">
        <f>[1]defense!W18</f>
        <v>104</v>
      </c>
      <c r="BA19">
        <f>[1]defense!X18</f>
        <v>831</v>
      </c>
      <c r="BB19">
        <f>[1]defense!Y18</f>
        <v>32</v>
      </c>
      <c r="BC19">
        <f>[1]defense!Z18</f>
        <v>37.9</v>
      </c>
      <c r="BD19">
        <f>[1]defense!AA18</f>
        <v>8.1999999999999993</v>
      </c>
      <c r="BE19">
        <f>[1]defense!AB18</f>
        <v>6.86</v>
      </c>
    </row>
    <row r="20" spans="1:57" x14ac:dyDescent="0.25">
      <c r="A20">
        <f>[1]offense!A19</f>
        <v>19</v>
      </c>
      <c r="B20" t="str">
        <f>[1]offense!B19</f>
        <v>Denver Broncos</v>
      </c>
      <c r="C20">
        <f>[1]offense!C19</f>
        <v>17</v>
      </c>
      <c r="D20">
        <f>[1]offense!D19</f>
        <v>357</v>
      </c>
      <c r="E20">
        <f>[1]offense!E19</f>
        <v>5072</v>
      </c>
      <c r="F20">
        <f>[1]offense!F19</f>
        <v>1016</v>
      </c>
      <c r="G20">
        <f>[1]offense!G19</f>
        <v>5</v>
      </c>
      <c r="H20">
        <f>[1]offense!H19</f>
        <v>22</v>
      </c>
      <c r="I20">
        <f>[1]offense!I19</f>
        <v>13</v>
      </c>
      <c r="J20">
        <f>[1]offense!J19</f>
        <v>301</v>
      </c>
      <c r="K20">
        <f>[1]offense!K19</f>
        <v>337</v>
      </c>
      <c r="L20">
        <f>[1]offense!L19</f>
        <v>513</v>
      </c>
      <c r="M20">
        <f>[1]offense!M19</f>
        <v>3262</v>
      </c>
      <c r="N20">
        <f>[1]offense!N19</f>
        <v>28</v>
      </c>
      <c r="O20">
        <f>[1]offense!O19</f>
        <v>9</v>
      </c>
      <c r="P20">
        <f>[1]offense!P19</f>
        <v>5.8</v>
      </c>
      <c r="Q20">
        <f>[1]offense!Q19</f>
        <v>154</v>
      </c>
      <c r="R20">
        <f>[1]offense!R19</f>
        <v>451</v>
      </c>
      <c r="S20">
        <f>[1]offense!S19</f>
        <v>1810</v>
      </c>
      <c r="T20">
        <f>[1]offense!T19</f>
        <v>8</v>
      </c>
      <c r="U20">
        <f>[1]offense!U19</f>
        <v>4</v>
      </c>
      <c r="V20">
        <f>[1]offense!V19</f>
        <v>116</v>
      </c>
      <c r="W20">
        <f>[1]offense!W19</f>
        <v>99</v>
      </c>
      <c r="X20">
        <f>[1]offense!X19</f>
        <v>749</v>
      </c>
      <c r="Y20">
        <f>[1]offense!Y19</f>
        <v>31</v>
      </c>
      <c r="Z20">
        <f>[1]offense!Z19</f>
        <v>34.9</v>
      </c>
      <c r="AA20">
        <f>[1]offense!AA19</f>
        <v>10.6</v>
      </c>
      <c r="AB20">
        <f>[1]offense!AB19</f>
        <v>7.68</v>
      </c>
      <c r="AD20">
        <f>[1]defense!A19</f>
        <v>19</v>
      </c>
      <c r="AE20" t="str">
        <f>[1]defense!B19</f>
        <v>Los Angeles Rams</v>
      </c>
      <c r="AF20">
        <f>[1]defense!C19</f>
        <v>17</v>
      </c>
      <c r="AG20">
        <f>[1]defense!D19</f>
        <v>377</v>
      </c>
      <c r="AH20">
        <f>[1]defense!E19</f>
        <v>5744</v>
      </c>
      <c r="AI20">
        <f>[1]defense!F19</f>
        <v>1078</v>
      </c>
      <c r="AJ20">
        <f>[1]defense!G19</f>
        <v>5.3</v>
      </c>
      <c r="AK20">
        <f>[1]defense!H19</f>
        <v>15</v>
      </c>
      <c r="AL20">
        <f>[1]defense!I19</f>
        <v>5</v>
      </c>
      <c r="AM20">
        <f>[1]defense!J19</f>
        <v>329</v>
      </c>
      <c r="AN20">
        <f>[1]defense!K19</f>
        <v>367</v>
      </c>
      <c r="AO20">
        <f>[1]defense!L19</f>
        <v>604</v>
      </c>
      <c r="AP20">
        <f>[1]defense!M19</f>
        <v>3928</v>
      </c>
      <c r="AQ20">
        <f>[1]defense!N19</f>
        <v>24</v>
      </c>
      <c r="AR20">
        <f>[1]defense!O19</f>
        <v>10</v>
      </c>
      <c r="AS20">
        <f>[1]defense!P19</f>
        <v>6.1</v>
      </c>
      <c r="AT20">
        <f>[1]defense!Q19</f>
        <v>193</v>
      </c>
      <c r="AU20">
        <f>[1]defense!R19</f>
        <v>433</v>
      </c>
      <c r="AV20">
        <f>[1]defense!S19</f>
        <v>1816</v>
      </c>
      <c r="AW20">
        <f>[1]defense!T19</f>
        <v>14</v>
      </c>
      <c r="AX20">
        <f>[1]defense!U19</f>
        <v>4.2</v>
      </c>
      <c r="AY20">
        <f>[1]defense!V19</f>
        <v>108</v>
      </c>
      <c r="AZ20">
        <f>[1]defense!W19</f>
        <v>105</v>
      </c>
      <c r="BA20">
        <f>[1]defense!X19</f>
        <v>986</v>
      </c>
      <c r="BB20">
        <f>[1]defense!Y19</f>
        <v>28</v>
      </c>
      <c r="BC20">
        <f>[1]defense!Z19</f>
        <v>36.799999999999997</v>
      </c>
      <c r="BD20">
        <f>[1]defense!AA19</f>
        <v>8.1</v>
      </c>
      <c r="BE20">
        <f>[1]defense!AB19</f>
        <v>-64.62</v>
      </c>
    </row>
    <row r="21" spans="1:57" x14ac:dyDescent="0.25">
      <c r="A21">
        <f>[1]offense!A20</f>
        <v>20</v>
      </c>
      <c r="B21" t="str">
        <f>[1]offense!B20</f>
        <v>Tampa Bay Buccaneers</v>
      </c>
      <c r="C21">
        <f>[1]offense!C20</f>
        <v>17</v>
      </c>
      <c r="D21">
        <f>[1]offense!D20</f>
        <v>348</v>
      </c>
      <c r="E21">
        <f>[1]offense!E20</f>
        <v>5321</v>
      </c>
      <c r="F21">
        <f>[1]offense!F20</f>
        <v>1047</v>
      </c>
      <c r="G21">
        <f>[1]offense!G20</f>
        <v>5.0999999999999996</v>
      </c>
      <c r="H21">
        <f>[1]offense!H20</f>
        <v>18</v>
      </c>
      <c r="I21">
        <f>[1]offense!I20</f>
        <v>8</v>
      </c>
      <c r="J21">
        <f>[1]offense!J20</f>
        <v>300</v>
      </c>
      <c r="K21">
        <f>[1]offense!K20</f>
        <v>364</v>
      </c>
      <c r="L21">
        <f>[1]offense!L20</f>
        <v>568</v>
      </c>
      <c r="M21">
        <f>[1]offense!M20</f>
        <v>3812</v>
      </c>
      <c r="N21">
        <f>[1]offense!N20</f>
        <v>28</v>
      </c>
      <c r="O21">
        <f>[1]offense!O20</f>
        <v>10</v>
      </c>
      <c r="P21">
        <f>[1]offense!P20</f>
        <v>6.3</v>
      </c>
      <c r="Q21">
        <f>[1]offense!Q20</f>
        <v>188</v>
      </c>
      <c r="R21">
        <f>[1]offense!R20</f>
        <v>439</v>
      </c>
      <c r="S21">
        <f>[1]offense!S20</f>
        <v>1509</v>
      </c>
      <c r="T21">
        <f>[1]offense!T20</f>
        <v>8</v>
      </c>
      <c r="U21">
        <f>[1]offense!U20</f>
        <v>3.4</v>
      </c>
      <c r="V21">
        <f>[1]offense!V20</f>
        <v>79</v>
      </c>
      <c r="W21">
        <f>[1]offense!W20</f>
        <v>100</v>
      </c>
      <c r="X21">
        <f>[1]offense!X20</f>
        <v>751</v>
      </c>
      <c r="Y21">
        <f>[1]offense!Y20</f>
        <v>33</v>
      </c>
      <c r="Z21">
        <f>[1]offense!Z20</f>
        <v>35.5</v>
      </c>
      <c r="AA21">
        <f>[1]offense!AA20</f>
        <v>9.8000000000000007</v>
      </c>
      <c r="AB21">
        <f>[1]offense!AB20</f>
        <v>57.3</v>
      </c>
      <c r="AD21">
        <f>[1]defense!A20</f>
        <v>20</v>
      </c>
      <c r="AE21" t="str">
        <f>[1]defense!B20</f>
        <v>Chicago Bears</v>
      </c>
      <c r="AF21">
        <f>[1]defense!C20</f>
        <v>17</v>
      </c>
      <c r="AG21">
        <f>[1]defense!D20</f>
        <v>379</v>
      </c>
      <c r="AH21">
        <f>[1]defense!E20</f>
        <v>5511</v>
      </c>
      <c r="AI21">
        <f>[1]defense!F20</f>
        <v>1035</v>
      </c>
      <c r="AJ21">
        <f>[1]defense!G20</f>
        <v>5.3</v>
      </c>
      <c r="AK21">
        <f>[1]defense!H20</f>
        <v>28</v>
      </c>
      <c r="AL21">
        <f>[1]defense!I20</f>
        <v>6</v>
      </c>
      <c r="AM21">
        <f>[1]defense!J20</f>
        <v>307</v>
      </c>
      <c r="AN21">
        <f>[1]defense!K20</f>
        <v>410</v>
      </c>
      <c r="AO21">
        <f>[1]defense!L20</f>
        <v>617</v>
      </c>
      <c r="AP21">
        <f>[1]defense!M20</f>
        <v>4043</v>
      </c>
      <c r="AQ21">
        <f>[1]defense!N20</f>
        <v>31</v>
      </c>
      <c r="AR21">
        <f>[1]defense!O20</f>
        <v>22</v>
      </c>
      <c r="AS21">
        <f>[1]defense!P20</f>
        <v>6.2</v>
      </c>
      <c r="AT21">
        <f>[1]defense!Q20</f>
        <v>196</v>
      </c>
      <c r="AU21">
        <f>[1]defense!R20</f>
        <v>388</v>
      </c>
      <c r="AV21">
        <f>[1]defense!S20</f>
        <v>1468</v>
      </c>
      <c r="AW21">
        <f>[1]defense!T20</f>
        <v>8</v>
      </c>
      <c r="AX21">
        <f>[1]defense!U20</f>
        <v>3.8</v>
      </c>
      <c r="AY21">
        <f>[1]defense!V20</f>
        <v>88</v>
      </c>
      <c r="AZ21">
        <f>[1]defense!W20</f>
        <v>72</v>
      </c>
      <c r="BA21">
        <f>[1]defense!X20</f>
        <v>530</v>
      </c>
      <c r="BB21">
        <f>[1]defense!Y20</f>
        <v>23</v>
      </c>
      <c r="BC21">
        <f>[1]defense!Z20</f>
        <v>34.200000000000003</v>
      </c>
      <c r="BD21">
        <f>[1]defense!AA20</f>
        <v>14.7</v>
      </c>
      <c r="BE21">
        <f>[1]defense!AB20</f>
        <v>-34.58</v>
      </c>
    </row>
    <row r="22" spans="1:57" x14ac:dyDescent="0.25">
      <c r="A22">
        <f>[1]offense!A21</f>
        <v>21</v>
      </c>
      <c r="B22" t="str">
        <f>[1]offense!B21</f>
        <v>Los Angeles Chargers</v>
      </c>
      <c r="C22">
        <f>[1]offense!C21</f>
        <v>17</v>
      </c>
      <c r="D22">
        <f>[1]offense!D21</f>
        <v>346</v>
      </c>
      <c r="E22">
        <f>[1]offense!E21</f>
        <v>5599</v>
      </c>
      <c r="F22">
        <f>[1]offense!F21</f>
        <v>1106</v>
      </c>
      <c r="G22">
        <f>[1]offense!G21</f>
        <v>5.0999999999999996</v>
      </c>
      <c r="H22">
        <f>[1]offense!H21</f>
        <v>21</v>
      </c>
      <c r="I22">
        <f>[1]offense!I21</f>
        <v>13</v>
      </c>
      <c r="J22">
        <f>[1]offense!J21</f>
        <v>319</v>
      </c>
      <c r="K22">
        <f>[1]offense!K21</f>
        <v>409</v>
      </c>
      <c r="L22">
        <f>[1]offense!L21</f>
        <v>632</v>
      </c>
      <c r="M22">
        <f>[1]offense!M21</f>
        <v>3957</v>
      </c>
      <c r="N22">
        <f>[1]offense!N21</f>
        <v>24</v>
      </c>
      <c r="O22">
        <f>[1]offense!O21</f>
        <v>8</v>
      </c>
      <c r="P22">
        <f>[1]offense!P21</f>
        <v>5.9</v>
      </c>
      <c r="Q22">
        <f>[1]offense!Q21</f>
        <v>204</v>
      </c>
      <c r="R22">
        <f>[1]offense!R21</f>
        <v>431</v>
      </c>
      <c r="S22">
        <f>[1]offense!S21</f>
        <v>1642</v>
      </c>
      <c r="T22">
        <f>[1]offense!T21</f>
        <v>11</v>
      </c>
      <c r="U22">
        <f>[1]offense!U21</f>
        <v>3.8</v>
      </c>
      <c r="V22">
        <f>[1]offense!V21</f>
        <v>89</v>
      </c>
      <c r="W22">
        <f>[1]offense!W21</f>
        <v>79</v>
      </c>
      <c r="X22">
        <f>[1]offense!X21</f>
        <v>725</v>
      </c>
      <c r="Y22">
        <f>[1]offense!Y21</f>
        <v>26</v>
      </c>
      <c r="Z22">
        <f>[1]offense!Z21</f>
        <v>34.700000000000003</v>
      </c>
      <c r="AA22">
        <f>[1]offense!AA21</f>
        <v>10.5</v>
      </c>
      <c r="AB22">
        <f>[1]offense!AB21</f>
        <v>-5.38</v>
      </c>
      <c r="AD22">
        <f>[1]defense!A21</f>
        <v>21</v>
      </c>
      <c r="AE22" t="str">
        <f>[1]defense!B21</f>
        <v>Cincinnati Bengals</v>
      </c>
      <c r="AF22">
        <f>[1]defense!C21</f>
        <v>17</v>
      </c>
      <c r="AG22">
        <f>[1]defense!D21</f>
        <v>384</v>
      </c>
      <c r="AH22">
        <f>[1]defense!E21</f>
        <v>6368</v>
      </c>
      <c r="AI22">
        <f>[1]defense!F21</f>
        <v>1055</v>
      </c>
      <c r="AJ22">
        <f>[1]defense!G21</f>
        <v>6</v>
      </c>
      <c r="AK22">
        <f>[1]defense!H21</f>
        <v>26</v>
      </c>
      <c r="AL22">
        <f>[1]defense!I21</f>
        <v>9</v>
      </c>
      <c r="AM22">
        <f>[1]defense!J21</f>
        <v>351</v>
      </c>
      <c r="AN22">
        <f>[1]defense!K21</f>
        <v>364</v>
      </c>
      <c r="AO22">
        <f>[1]defense!L21</f>
        <v>555</v>
      </c>
      <c r="AP22">
        <f>[1]defense!M21</f>
        <v>4223</v>
      </c>
      <c r="AQ22">
        <f>[1]defense!N21</f>
        <v>23</v>
      </c>
      <c r="AR22">
        <f>[1]defense!O21</f>
        <v>17</v>
      </c>
      <c r="AS22">
        <f>[1]defense!P21</f>
        <v>7.1</v>
      </c>
      <c r="AT22">
        <f>[1]defense!Q21</f>
        <v>201</v>
      </c>
      <c r="AU22">
        <f>[1]defense!R21</f>
        <v>456</v>
      </c>
      <c r="AV22">
        <f>[1]defense!S21</f>
        <v>2145</v>
      </c>
      <c r="AW22">
        <f>[1]defense!T21</f>
        <v>17</v>
      </c>
      <c r="AX22">
        <f>[1]defense!U21</f>
        <v>4.7</v>
      </c>
      <c r="AY22">
        <f>[1]defense!V21</f>
        <v>127</v>
      </c>
      <c r="AZ22">
        <f>[1]defense!W21</f>
        <v>92</v>
      </c>
      <c r="BA22">
        <f>[1]defense!X21</f>
        <v>784</v>
      </c>
      <c r="BB22">
        <f>[1]defense!Y21</f>
        <v>23</v>
      </c>
      <c r="BC22">
        <f>[1]defense!Z21</f>
        <v>38.5</v>
      </c>
      <c r="BD22">
        <f>[1]defense!AA21</f>
        <v>13.4</v>
      </c>
      <c r="BE22">
        <f>[1]defense!AB21</f>
        <v>-92.17</v>
      </c>
    </row>
    <row r="23" spans="1:57" x14ac:dyDescent="0.25">
      <c r="A23">
        <f>[1]offense!A22</f>
        <v>22</v>
      </c>
      <c r="B23" t="str">
        <f>[1]offense!B22</f>
        <v>Minnesota Vikings</v>
      </c>
      <c r="C23">
        <f>[1]offense!C22</f>
        <v>17</v>
      </c>
      <c r="D23">
        <f>[1]offense!D22</f>
        <v>344</v>
      </c>
      <c r="E23">
        <f>[1]offense!E22</f>
        <v>5912</v>
      </c>
      <c r="F23">
        <f>[1]offense!F22</f>
        <v>1071</v>
      </c>
      <c r="G23">
        <f>[1]offense!G22</f>
        <v>5.5</v>
      </c>
      <c r="H23">
        <f>[1]offense!H22</f>
        <v>34</v>
      </c>
      <c r="I23">
        <f>[1]offense!I22</f>
        <v>15</v>
      </c>
      <c r="J23">
        <f>[1]offense!J22</f>
        <v>340</v>
      </c>
      <c r="K23">
        <f>[1]offense!K22</f>
        <v>424</v>
      </c>
      <c r="L23">
        <f>[1]offense!L22</f>
        <v>631</v>
      </c>
      <c r="M23">
        <f>[1]offense!M22</f>
        <v>4359</v>
      </c>
      <c r="N23">
        <f>[1]offense!N22</f>
        <v>30</v>
      </c>
      <c r="O23">
        <f>[1]offense!O22</f>
        <v>19</v>
      </c>
      <c r="P23">
        <f>[1]offense!P22</f>
        <v>6.4</v>
      </c>
      <c r="Q23">
        <f>[1]offense!Q22</f>
        <v>220</v>
      </c>
      <c r="R23">
        <f>[1]offense!R22</f>
        <v>393</v>
      </c>
      <c r="S23">
        <f>[1]offense!S22</f>
        <v>1553</v>
      </c>
      <c r="T23">
        <f>[1]offense!T22</f>
        <v>7</v>
      </c>
      <c r="U23">
        <f>[1]offense!U22</f>
        <v>4</v>
      </c>
      <c r="V23">
        <f>[1]offense!V22</f>
        <v>79</v>
      </c>
      <c r="W23">
        <f>[1]offense!W22</f>
        <v>89</v>
      </c>
      <c r="X23">
        <f>[1]offense!X22</f>
        <v>670</v>
      </c>
      <c r="Y23">
        <f>[1]offense!Y22</f>
        <v>41</v>
      </c>
      <c r="Z23">
        <f>[1]offense!Z22</f>
        <v>34.1</v>
      </c>
      <c r="AA23">
        <f>[1]offense!AA22</f>
        <v>18.399999999999999</v>
      </c>
      <c r="AB23">
        <f>[1]offense!AB22</f>
        <v>42.62</v>
      </c>
      <c r="AD23">
        <f>[1]defense!A22</f>
        <v>22</v>
      </c>
      <c r="AE23" t="str">
        <f>[1]defense!B22</f>
        <v>Miami Dolphins</v>
      </c>
      <c r="AF23">
        <f>[1]defense!C22</f>
        <v>17</v>
      </c>
      <c r="AG23">
        <f>[1]defense!D22</f>
        <v>391</v>
      </c>
      <c r="AH23">
        <f>[1]defense!E22</f>
        <v>5411</v>
      </c>
      <c r="AI23">
        <f>[1]defense!F22</f>
        <v>1057</v>
      </c>
      <c r="AJ23">
        <f>[1]defense!G22</f>
        <v>5.0999999999999996</v>
      </c>
      <c r="AK23">
        <f>[1]defense!H22</f>
        <v>27</v>
      </c>
      <c r="AL23">
        <f>[1]defense!I22</f>
        <v>12</v>
      </c>
      <c r="AM23">
        <f>[1]defense!J22</f>
        <v>321</v>
      </c>
      <c r="AN23">
        <f>[1]defense!K22</f>
        <v>380</v>
      </c>
      <c r="AO23">
        <f>[1]defense!L22</f>
        <v>568</v>
      </c>
      <c r="AP23">
        <f>[1]defense!M22</f>
        <v>3761</v>
      </c>
      <c r="AQ23">
        <f>[1]defense!N22</f>
        <v>27</v>
      </c>
      <c r="AR23">
        <f>[1]defense!O22</f>
        <v>15</v>
      </c>
      <c r="AS23">
        <f>[1]defense!P22</f>
        <v>6</v>
      </c>
      <c r="AT23">
        <f>[1]defense!Q22</f>
        <v>186</v>
      </c>
      <c r="AU23">
        <f>[1]defense!R22</f>
        <v>433</v>
      </c>
      <c r="AV23">
        <f>[1]defense!S22</f>
        <v>1650</v>
      </c>
      <c r="AW23">
        <f>[1]defense!T22</f>
        <v>15</v>
      </c>
      <c r="AX23">
        <f>[1]defense!U22</f>
        <v>3.8</v>
      </c>
      <c r="AY23">
        <f>[1]defense!V22</f>
        <v>109</v>
      </c>
      <c r="AZ23">
        <f>[1]defense!W22</f>
        <v>96</v>
      </c>
      <c r="BA23">
        <f>[1]defense!X22</f>
        <v>719</v>
      </c>
      <c r="BB23">
        <f>[1]defense!Y22</f>
        <v>26</v>
      </c>
      <c r="BC23">
        <f>[1]defense!Z22</f>
        <v>32.1</v>
      </c>
      <c r="BD23">
        <f>[1]defense!AA22</f>
        <v>13.9</v>
      </c>
      <c r="BE23">
        <f>[1]defense!AB22</f>
        <v>-10.59</v>
      </c>
    </row>
    <row r="24" spans="1:57" x14ac:dyDescent="0.25">
      <c r="A24">
        <f>[1]offense!A23</f>
        <v>23</v>
      </c>
      <c r="B24" t="str">
        <f>[1]offense!B23</f>
        <v>Las Vegas Raiders</v>
      </c>
      <c r="C24">
        <f>[1]offense!C23</f>
        <v>17</v>
      </c>
      <c r="D24">
        <f>[1]offense!D23</f>
        <v>332</v>
      </c>
      <c r="E24">
        <f>[1]offense!E23</f>
        <v>4922</v>
      </c>
      <c r="F24">
        <f>[1]offense!F23</f>
        <v>1010</v>
      </c>
      <c r="G24">
        <f>[1]offense!G23</f>
        <v>4.9000000000000004</v>
      </c>
      <c r="H24">
        <f>[1]offense!H23</f>
        <v>24</v>
      </c>
      <c r="I24">
        <f>[1]offense!I23</f>
        <v>6</v>
      </c>
      <c r="J24">
        <f>[1]offense!J23</f>
        <v>292</v>
      </c>
      <c r="K24">
        <f>[1]offense!K23</f>
        <v>348</v>
      </c>
      <c r="L24">
        <f>[1]offense!L23</f>
        <v>557</v>
      </c>
      <c r="M24">
        <f>[1]offense!M23</f>
        <v>3380</v>
      </c>
      <c r="N24">
        <f>[1]offense!N23</f>
        <v>20</v>
      </c>
      <c r="O24">
        <f>[1]offense!O23</f>
        <v>18</v>
      </c>
      <c r="P24">
        <f>[1]offense!P23</f>
        <v>5.7</v>
      </c>
      <c r="Q24">
        <f>[1]offense!Q23</f>
        <v>182</v>
      </c>
      <c r="R24">
        <f>[1]offense!R23</f>
        <v>413</v>
      </c>
      <c r="S24">
        <f>[1]offense!S23</f>
        <v>1542</v>
      </c>
      <c r="T24">
        <f>[1]offense!T23</f>
        <v>11</v>
      </c>
      <c r="U24">
        <f>[1]offense!U23</f>
        <v>3.7</v>
      </c>
      <c r="V24">
        <f>[1]offense!V23</f>
        <v>83</v>
      </c>
      <c r="W24">
        <f>[1]offense!W23</f>
        <v>75</v>
      </c>
      <c r="X24">
        <f>[1]offense!X23</f>
        <v>629</v>
      </c>
      <c r="Y24">
        <f>[1]offense!Y23</f>
        <v>27</v>
      </c>
      <c r="Z24">
        <f>[1]offense!Z23</f>
        <v>31.8</v>
      </c>
      <c r="AA24">
        <f>[1]offense!AA23</f>
        <v>13.4</v>
      </c>
      <c r="AB24">
        <f>[1]offense!AB23</f>
        <v>-27.95</v>
      </c>
      <c r="AD24">
        <f>[1]defense!A23</f>
        <v>23</v>
      </c>
      <c r="AE24" t="str">
        <f>[1]defense!B23</f>
        <v>Detroit Lions</v>
      </c>
      <c r="AF24">
        <f>[1]defense!C23</f>
        <v>17</v>
      </c>
      <c r="AG24">
        <f>[1]defense!D23</f>
        <v>395</v>
      </c>
      <c r="AH24">
        <f>[1]defense!E23</f>
        <v>5714</v>
      </c>
      <c r="AI24">
        <f>[1]defense!F23</f>
        <v>1037</v>
      </c>
      <c r="AJ24">
        <f>[1]defense!G23</f>
        <v>5.5</v>
      </c>
      <c r="AK24">
        <f>[1]defense!H23</f>
        <v>23</v>
      </c>
      <c r="AL24">
        <f>[1]defense!I23</f>
        <v>7</v>
      </c>
      <c r="AM24">
        <f>[1]defense!J23</f>
        <v>339</v>
      </c>
      <c r="AN24">
        <f>[1]defense!K23</f>
        <v>371</v>
      </c>
      <c r="AO24">
        <f>[1]defense!L23</f>
        <v>588</v>
      </c>
      <c r="AP24">
        <f>[1]defense!M23</f>
        <v>4205</v>
      </c>
      <c r="AQ24">
        <f>[1]defense!N23</f>
        <v>28</v>
      </c>
      <c r="AR24">
        <f>[1]defense!O23</f>
        <v>16</v>
      </c>
      <c r="AS24">
        <f>[1]defense!P23</f>
        <v>6.7</v>
      </c>
      <c r="AT24">
        <f>[1]defense!Q23</f>
        <v>209</v>
      </c>
      <c r="AU24">
        <f>[1]defense!R23</f>
        <v>408</v>
      </c>
      <c r="AV24">
        <f>[1]defense!S23</f>
        <v>1509</v>
      </c>
      <c r="AW24">
        <f>[1]defense!T23</f>
        <v>15</v>
      </c>
      <c r="AX24">
        <f>[1]defense!U23</f>
        <v>3.7</v>
      </c>
      <c r="AY24">
        <f>[1]defense!V23</f>
        <v>91</v>
      </c>
      <c r="AZ24">
        <f>[1]defense!W23</f>
        <v>91</v>
      </c>
      <c r="BA24">
        <f>[1]defense!X23</f>
        <v>788</v>
      </c>
      <c r="BB24">
        <f>[1]defense!Y23</f>
        <v>39</v>
      </c>
      <c r="BC24">
        <f>[1]defense!Z23</f>
        <v>37.299999999999997</v>
      </c>
      <c r="BD24">
        <f>[1]defense!AA23</f>
        <v>12.4</v>
      </c>
      <c r="BE24">
        <f>[1]defense!AB23</f>
        <v>-110.17</v>
      </c>
    </row>
    <row r="25" spans="1:57" x14ac:dyDescent="0.25">
      <c r="A25">
        <f>[1]offense!A24</f>
        <v>24</v>
      </c>
      <c r="B25" t="str">
        <f>[1]offense!B24</f>
        <v>Arizona Cardinals</v>
      </c>
      <c r="C25">
        <f>[1]offense!C24</f>
        <v>17</v>
      </c>
      <c r="D25">
        <f>[1]offense!D24</f>
        <v>330</v>
      </c>
      <c r="E25">
        <f>[1]offense!E24</f>
        <v>5509</v>
      </c>
      <c r="F25">
        <f>[1]offense!F24</f>
        <v>1068</v>
      </c>
      <c r="G25">
        <f>[1]offense!G24</f>
        <v>5.2</v>
      </c>
      <c r="H25">
        <f>[1]offense!H24</f>
        <v>18</v>
      </c>
      <c r="I25">
        <f>[1]offense!I24</f>
        <v>6</v>
      </c>
      <c r="J25">
        <f>[1]offense!J24</f>
        <v>330</v>
      </c>
      <c r="K25">
        <f>[1]offense!K24</f>
        <v>355</v>
      </c>
      <c r="L25">
        <f>[1]offense!L24</f>
        <v>555</v>
      </c>
      <c r="M25">
        <f>[1]offense!M24</f>
        <v>3144</v>
      </c>
      <c r="N25">
        <f>[1]offense!N24</f>
        <v>18</v>
      </c>
      <c r="O25">
        <f>[1]offense!O24</f>
        <v>12</v>
      </c>
      <c r="P25">
        <f>[1]offense!P24</f>
        <v>5.3</v>
      </c>
      <c r="Q25">
        <f>[1]offense!Q24</f>
        <v>173</v>
      </c>
      <c r="R25">
        <f>[1]offense!R24</f>
        <v>471</v>
      </c>
      <c r="S25">
        <f>[1]offense!S24</f>
        <v>2365</v>
      </c>
      <c r="T25">
        <f>[1]offense!T24</f>
        <v>17</v>
      </c>
      <c r="U25">
        <f>[1]offense!U24</f>
        <v>5</v>
      </c>
      <c r="V25">
        <f>[1]offense!V24</f>
        <v>127</v>
      </c>
      <c r="W25">
        <f>[1]offense!W24</f>
        <v>101</v>
      </c>
      <c r="X25">
        <f>[1]offense!X24</f>
        <v>859</v>
      </c>
      <c r="Y25">
        <f>[1]offense!Y24</f>
        <v>30</v>
      </c>
      <c r="Z25">
        <f>[1]offense!Z24</f>
        <v>35</v>
      </c>
      <c r="AA25">
        <f>[1]offense!AA24</f>
        <v>9.4</v>
      </c>
      <c r="AB25">
        <f>[1]offense!AB24</f>
        <v>-2.99</v>
      </c>
      <c r="AD25">
        <f>[1]defense!A24</f>
        <v>24</v>
      </c>
      <c r="AE25" t="str">
        <f>[1]defense!B24</f>
        <v>Los Angeles Chargers</v>
      </c>
      <c r="AF25">
        <f>[1]defense!C24</f>
        <v>17</v>
      </c>
      <c r="AG25">
        <f>[1]defense!D24</f>
        <v>398</v>
      </c>
      <c r="AH25">
        <f>[1]defense!E24</f>
        <v>6170</v>
      </c>
      <c r="AI25">
        <f>[1]defense!F24</f>
        <v>1113</v>
      </c>
      <c r="AJ25">
        <f>[1]defense!G24</f>
        <v>5.5</v>
      </c>
      <c r="AK25">
        <f>[1]defense!H24</f>
        <v>21</v>
      </c>
      <c r="AL25">
        <f>[1]defense!I24</f>
        <v>12</v>
      </c>
      <c r="AM25">
        <f>[1]defense!J24</f>
        <v>344</v>
      </c>
      <c r="AN25">
        <f>[1]defense!K24</f>
        <v>389</v>
      </c>
      <c r="AO25">
        <f>[1]defense!L24</f>
        <v>598</v>
      </c>
      <c r="AP25">
        <f>[1]defense!M24</f>
        <v>4246</v>
      </c>
      <c r="AQ25">
        <f>[1]defense!N24</f>
        <v>26</v>
      </c>
      <c r="AR25">
        <f>[1]defense!O24</f>
        <v>9</v>
      </c>
      <c r="AS25">
        <f>[1]defense!P24</f>
        <v>6.6</v>
      </c>
      <c r="AT25">
        <f>[1]defense!Q24</f>
        <v>203</v>
      </c>
      <c r="AU25">
        <f>[1]defense!R24</f>
        <v>467</v>
      </c>
      <c r="AV25">
        <f>[1]defense!S24</f>
        <v>1924</v>
      </c>
      <c r="AW25">
        <f>[1]defense!T24</f>
        <v>18</v>
      </c>
      <c r="AX25">
        <f>[1]defense!U24</f>
        <v>4.0999999999999996</v>
      </c>
      <c r="AY25">
        <f>[1]defense!V24</f>
        <v>110</v>
      </c>
      <c r="AZ25">
        <f>[1]defense!W24</f>
        <v>104</v>
      </c>
      <c r="BA25">
        <f>[1]defense!X24</f>
        <v>801</v>
      </c>
      <c r="BB25">
        <f>[1]defense!Y24</f>
        <v>31</v>
      </c>
      <c r="BC25">
        <f>[1]defense!Z24</f>
        <v>36</v>
      </c>
      <c r="BD25">
        <f>[1]defense!AA24</f>
        <v>10.1</v>
      </c>
      <c r="BE25">
        <f>[1]defense!AB24</f>
        <v>-92.65</v>
      </c>
    </row>
    <row r="26" spans="1:57" x14ac:dyDescent="0.25">
      <c r="A26">
        <f>[1]offense!A25</f>
        <v>25</v>
      </c>
      <c r="B26" t="str">
        <f>[1]offense!B25</f>
        <v>Washington Commanders</v>
      </c>
      <c r="C26">
        <f>[1]offense!C25</f>
        <v>17</v>
      </c>
      <c r="D26">
        <f>[1]offense!D25</f>
        <v>329</v>
      </c>
      <c r="E26">
        <f>[1]offense!E25</f>
        <v>5317</v>
      </c>
      <c r="F26">
        <f>[1]offense!F25</f>
        <v>1060</v>
      </c>
      <c r="G26">
        <f>[1]offense!G25</f>
        <v>5</v>
      </c>
      <c r="H26">
        <f>[1]offense!H25</f>
        <v>32</v>
      </c>
      <c r="I26">
        <f>[1]offense!I25</f>
        <v>11</v>
      </c>
      <c r="J26">
        <f>[1]offense!J25</f>
        <v>321</v>
      </c>
      <c r="K26">
        <f>[1]offense!K25</f>
        <v>407</v>
      </c>
      <c r="L26">
        <f>[1]offense!L25</f>
        <v>636</v>
      </c>
      <c r="M26">
        <f>[1]offense!M25</f>
        <v>3725</v>
      </c>
      <c r="N26">
        <f>[1]offense!N25</f>
        <v>24</v>
      </c>
      <c r="O26">
        <f>[1]offense!O25</f>
        <v>21</v>
      </c>
      <c r="P26">
        <f>[1]offense!P25</f>
        <v>5.3</v>
      </c>
      <c r="Q26">
        <f>[1]offense!Q25</f>
        <v>190</v>
      </c>
      <c r="R26">
        <f>[1]offense!R25</f>
        <v>359</v>
      </c>
      <c r="S26">
        <f>[1]offense!S25</f>
        <v>1592</v>
      </c>
      <c r="T26">
        <f>[1]offense!T25</f>
        <v>14</v>
      </c>
      <c r="U26">
        <f>[1]offense!U25</f>
        <v>4.4000000000000004</v>
      </c>
      <c r="V26">
        <f>[1]offense!V25</f>
        <v>99</v>
      </c>
      <c r="W26">
        <f>[1]offense!W25</f>
        <v>87</v>
      </c>
      <c r="X26">
        <f>[1]offense!X25</f>
        <v>701</v>
      </c>
      <c r="Y26">
        <f>[1]offense!Y25</f>
        <v>32</v>
      </c>
      <c r="Z26">
        <f>[1]offense!Z25</f>
        <v>29.4</v>
      </c>
      <c r="AA26">
        <f>[1]offense!AA25</f>
        <v>15.2</v>
      </c>
      <c r="AB26">
        <f>[1]offense!AB25</f>
        <v>-29.99</v>
      </c>
      <c r="AD26">
        <f>[1]defense!A25</f>
        <v>25</v>
      </c>
      <c r="AE26" t="str">
        <f>[1]defense!B25</f>
        <v>Seattle Seahawks</v>
      </c>
      <c r="AF26">
        <f>[1]defense!C25</f>
        <v>17</v>
      </c>
      <c r="AG26">
        <f>[1]defense!D25</f>
        <v>402</v>
      </c>
      <c r="AH26">
        <f>[1]defense!E25</f>
        <v>6313</v>
      </c>
      <c r="AI26">
        <f>[1]defense!F25</f>
        <v>1147</v>
      </c>
      <c r="AJ26">
        <f>[1]defense!G25</f>
        <v>5.5</v>
      </c>
      <c r="AK26">
        <f>[1]defense!H25</f>
        <v>19</v>
      </c>
      <c r="AL26">
        <f>[1]defense!I25</f>
        <v>8</v>
      </c>
      <c r="AM26">
        <f>[1]defense!J25</f>
        <v>380</v>
      </c>
      <c r="AN26">
        <f>[1]defense!K25</f>
        <v>390</v>
      </c>
      <c r="AO26">
        <f>[1]defense!L25</f>
        <v>585</v>
      </c>
      <c r="AP26">
        <f>[1]defense!M25</f>
        <v>3961</v>
      </c>
      <c r="AQ26">
        <f>[1]defense!N25</f>
        <v>21</v>
      </c>
      <c r="AR26">
        <f>[1]defense!O25</f>
        <v>11</v>
      </c>
      <c r="AS26">
        <f>[1]defense!P25</f>
        <v>6.3</v>
      </c>
      <c r="AT26">
        <f>[1]defense!Q25</f>
        <v>202</v>
      </c>
      <c r="AU26">
        <f>[1]defense!R25</f>
        <v>515</v>
      </c>
      <c r="AV26">
        <f>[1]defense!S25</f>
        <v>2352</v>
      </c>
      <c r="AW26">
        <f>[1]defense!T25</f>
        <v>24</v>
      </c>
      <c r="AX26">
        <f>[1]defense!U25</f>
        <v>4.5999999999999996</v>
      </c>
      <c r="AY26">
        <f>[1]defense!V25</f>
        <v>143</v>
      </c>
      <c r="AZ26">
        <f>[1]defense!W25</f>
        <v>103</v>
      </c>
      <c r="BA26">
        <f>[1]defense!X25</f>
        <v>824</v>
      </c>
      <c r="BB26">
        <f>[1]defense!Y25</f>
        <v>35</v>
      </c>
      <c r="BC26">
        <f>[1]defense!Z25</f>
        <v>40.4</v>
      </c>
      <c r="BD26">
        <f>[1]defense!AA25</f>
        <v>10.4</v>
      </c>
      <c r="BE26">
        <f>[1]defense!AB25</f>
        <v>-122.46</v>
      </c>
    </row>
    <row r="27" spans="1:57" x14ac:dyDescent="0.25">
      <c r="A27">
        <f>[1]offense!A26</f>
        <v>26</v>
      </c>
      <c r="B27" t="str">
        <f>[1]offense!B26</f>
        <v>Atlanta Falcons</v>
      </c>
      <c r="C27">
        <f>[1]offense!C26</f>
        <v>17</v>
      </c>
      <c r="D27">
        <f>[1]offense!D26</f>
        <v>321</v>
      </c>
      <c r="E27">
        <f>[1]offense!E26</f>
        <v>5683</v>
      </c>
      <c r="F27">
        <f>[1]offense!F26</f>
        <v>1092</v>
      </c>
      <c r="G27">
        <f>[1]offense!G26</f>
        <v>5.2</v>
      </c>
      <c r="H27">
        <f>[1]offense!H26</f>
        <v>28</v>
      </c>
      <c r="I27">
        <f>[1]offense!I26</f>
        <v>11</v>
      </c>
      <c r="J27">
        <f>[1]offense!J26</f>
        <v>326</v>
      </c>
      <c r="K27">
        <f>[1]offense!K26</f>
        <v>327</v>
      </c>
      <c r="L27">
        <f>[1]offense!L26</f>
        <v>530</v>
      </c>
      <c r="M27">
        <f>[1]offense!M26</f>
        <v>3524</v>
      </c>
      <c r="N27">
        <f>[1]offense!N26</f>
        <v>17</v>
      </c>
      <c r="O27">
        <f>[1]offense!O26</f>
        <v>17</v>
      </c>
      <c r="P27">
        <f>[1]offense!P26</f>
        <v>6.2</v>
      </c>
      <c r="Q27">
        <f>[1]offense!Q26</f>
        <v>181</v>
      </c>
      <c r="R27">
        <f>[1]offense!R26</f>
        <v>522</v>
      </c>
      <c r="S27">
        <f>[1]offense!S26</f>
        <v>2159</v>
      </c>
      <c r="T27">
        <f>[1]offense!T26</f>
        <v>14</v>
      </c>
      <c r="U27">
        <f>[1]offense!U26</f>
        <v>4.0999999999999996</v>
      </c>
      <c r="V27">
        <f>[1]offense!V26</f>
        <v>121</v>
      </c>
      <c r="W27">
        <f>[1]offense!W26</f>
        <v>84</v>
      </c>
      <c r="X27">
        <f>[1]offense!X26</f>
        <v>743</v>
      </c>
      <c r="Y27">
        <f>[1]offense!Y26</f>
        <v>24</v>
      </c>
      <c r="Z27">
        <f>[1]offense!Z26</f>
        <v>32.1</v>
      </c>
      <c r="AA27">
        <f>[1]offense!AA26</f>
        <v>14.3</v>
      </c>
      <c r="AB27">
        <f>[1]offense!AB26</f>
        <v>-32.520000000000003</v>
      </c>
      <c r="AD27">
        <f>[1]defense!A26</f>
        <v>26</v>
      </c>
      <c r="AE27" t="str">
        <f>[1]defense!B26</f>
        <v>New York Giants</v>
      </c>
      <c r="AF27">
        <f>[1]defense!C26</f>
        <v>17</v>
      </c>
      <c r="AG27">
        <f>[1]defense!D26</f>
        <v>407</v>
      </c>
      <c r="AH27">
        <f>[1]defense!E26</f>
        <v>6149</v>
      </c>
      <c r="AI27">
        <f>[1]defense!F26</f>
        <v>1091</v>
      </c>
      <c r="AJ27">
        <f>[1]defense!G26</f>
        <v>5.6</v>
      </c>
      <c r="AK27">
        <f>[1]defense!H26</f>
        <v>31</v>
      </c>
      <c r="AL27">
        <f>[1]defense!I26</f>
        <v>13</v>
      </c>
      <c r="AM27">
        <f>[1]defense!J26</f>
        <v>352</v>
      </c>
      <c r="AN27">
        <f>[1]defense!K26</f>
        <v>371</v>
      </c>
      <c r="AO27">
        <f>[1]defense!L26</f>
        <v>582</v>
      </c>
      <c r="AP27">
        <f>[1]defense!M26</f>
        <v>3898</v>
      </c>
      <c r="AQ27">
        <f>[1]defense!N26</f>
        <v>21</v>
      </c>
      <c r="AR27">
        <f>[1]defense!O26</f>
        <v>18</v>
      </c>
      <c r="AS27">
        <f>[1]defense!P26</f>
        <v>6.3</v>
      </c>
      <c r="AT27">
        <f>[1]defense!Q26</f>
        <v>191</v>
      </c>
      <c r="AU27">
        <f>[1]defense!R26</f>
        <v>475</v>
      </c>
      <c r="AV27">
        <f>[1]defense!S26</f>
        <v>2251</v>
      </c>
      <c r="AW27">
        <f>[1]defense!T26</f>
        <v>24</v>
      </c>
      <c r="AX27">
        <f>[1]defense!U26</f>
        <v>4.7</v>
      </c>
      <c r="AY27">
        <f>[1]defense!V26</f>
        <v>134</v>
      </c>
      <c r="AZ27">
        <f>[1]defense!W26</f>
        <v>99</v>
      </c>
      <c r="BA27">
        <f>[1]defense!X26</f>
        <v>822</v>
      </c>
      <c r="BB27">
        <f>[1]defense!Y26</f>
        <v>27</v>
      </c>
      <c r="BC27">
        <f>[1]defense!Z26</f>
        <v>35.200000000000003</v>
      </c>
      <c r="BD27">
        <f>[1]defense!AA26</f>
        <v>14.1</v>
      </c>
      <c r="BE27">
        <f>[1]defense!AB26</f>
        <v>-37.29</v>
      </c>
    </row>
    <row r="28" spans="1:57" x14ac:dyDescent="0.25">
      <c r="A28">
        <f>[1]offense!A27</f>
        <v>27</v>
      </c>
      <c r="B28" t="str">
        <f>[1]offense!B27</f>
        <v>Tennessee Titans</v>
      </c>
      <c r="C28">
        <f>[1]offense!C27</f>
        <v>17</v>
      </c>
      <c r="D28">
        <f>[1]offense!D27</f>
        <v>305</v>
      </c>
      <c r="E28">
        <f>[1]offense!E27</f>
        <v>4913</v>
      </c>
      <c r="F28">
        <f>[1]offense!F27</f>
        <v>1002</v>
      </c>
      <c r="G28">
        <f>[1]offense!G27</f>
        <v>4.9000000000000004</v>
      </c>
      <c r="H28">
        <f>[1]offense!H27</f>
        <v>20</v>
      </c>
      <c r="I28">
        <f>[1]offense!I27</f>
        <v>9</v>
      </c>
      <c r="J28">
        <f>[1]offense!J27</f>
        <v>298</v>
      </c>
      <c r="K28">
        <f>[1]offense!K27</f>
        <v>304</v>
      </c>
      <c r="L28">
        <f>[1]offense!L27</f>
        <v>494</v>
      </c>
      <c r="M28">
        <f>[1]offense!M27</f>
        <v>3067</v>
      </c>
      <c r="N28">
        <f>[1]offense!N27</f>
        <v>14</v>
      </c>
      <c r="O28">
        <f>[1]offense!O27</f>
        <v>11</v>
      </c>
      <c r="P28">
        <f>[1]offense!P27</f>
        <v>5.5</v>
      </c>
      <c r="Q28">
        <f>[1]offense!Q27</f>
        <v>158</v>
      </c>
      <c r="R28">
        <f>[1]offense!R27</f>
        <v>444</v>
      </c>
      <c r="S28">
        <f>[1]offense!S27</f>
        <v>1846</v>
      </c>
      <c r="T28">
        <f>[1]offense!T27</f>
        <v>16</v>
      </c>
      <c r="U28">
        <f>[1]offense!U27</f>
        <v>4.2</v>
      </c>
      <c r="V28">
        <f>[1]offense!V27</f>
        <v>103</v>
      </c>
      <c r="W28">
        <f>[1]offense!W27</f>
        <v>110</v>
      </c>
      <c r="X28">
        <f>[1]offense!X27</f>
        <v>882</v>
      </c>
      <c r="Y28">
        <f>[1]offense!Y27</f>
        <v>37</v>
      </c>
      <c r="Z28">
        <f>[1]offense!Z27</f>
        <v>32.6</v>
      </c>
      <c r="AA28">
        <f>[1]offense!AA27</f>
        <v>9.4</v>
      </c>
      <c r="AB28">
        <f>[1]offense!AB27</f>
        <v>3.82</v>
      </c>
      <c r="AD28">
        <f>[1]defense!A27</f>
        <v>27</v>
      </c>
      <c r="AE28" t="str">
        <f>[1]defense!B27</f>
        <v>Denver Broncos</v>
      </c>
      <c r="AF28">
        <f>[1]defense!C27</f>
        <v>17</v>
      </c>
      <c r="AG28">
        <f>[1]defense!D27</f>
        <v>413</v>
      </c>
      <c r="AH28">
        <f>[1]defense!E27</f>
        <v>6303</v>
      </c>
      <c r="AI28">
        <f>[1]defense!F27</f>
        <v>1083</v>
      </c>
      <c r="AJ28">
        <f>[1]defense!G27</f>
        <v>5.8</v>
      </c>
      <c r="AK28">
        <f>[1]defense!H27</f>
        <v>26</v>
      </c>
      <c r="AL28">
        <f>[1]defense!I27</f>
        <v>15</v>
      </c>
      <c r="AM28">
        <f>[1]defense!J27</f>
        <v>349</v>
      </c>
      <c r="AN28">
        <f>[1]defense!K27</f>
        <v>382</v>
      </c>
      <c r="AO28">
        <f>[1]defense!L27</f>
        <v>572</v>
      </c>
      <c r="AP28">
        <f>[1]defense!M27</f>
        <v>3972</v>
      </c>
      <c r="AQ28">
        <f>[1]defense!N27</f>
        <v>29</v>
      </c>
      <c r="AR28">
        <f>[1]defense!O27</f>
        <v>11</v>
      </c>
      <c r="AS28">
        <f>[1]defense!P27</f>
        <v>6.5</v>
      </c>
      <c r="AT28">
        <f>[1]defense!Q27</f>
        <v>201</v>
      </c>
      <c r="AU28">
        <f>[1]defense!R27</f>
        <v>469</v>
      </c>
      <c r="AV28">
        <f>[1]defense!S27</f>
        <v>2331</v>
      </c>
      <c r="AW28">
        <f>[1]defense!T27</f>
        <v>15</v>
      </c>
      <c r="AX28">
        <f>[1]defense!U27</f>
        <v>5</v>
      </c>
      <c r="AY28">
        <f>[1]defense!V27</f>
        <v>119</v>
      </c>
      <c r="AZ28">
        <f>[1]defense!W27</f>
        <v>99</v>
      </c>
      <c r="BA28">
        <f>[1]defense!X27</f>
        <v>965</v>
      </c>
      <c r="BB28">
        <f>[1]defense!Y27</f>
        <v>29</v>
      </c>
      <c r="BC28">
        <f>[1]defense!Z27</f>
        <v>40.200000000000003</v>
      </c>
      <c r="BD28">
        <f>[1]defense!AA27</f>
        <v>13</v>
      </c>
      <c r="BE28">
        <f>[1]defense!AB27</f>
        <v>-91.09</v>
      </c>
    </row>
    <row r="29" spans="1:57" x14ac:dyDescent="0.25">
      <c r="A29">
        <f>[1]offense!A28</f>
        <v>28</v>
      </c>
      <c r="B29" t="str">
        <f>[1]offense!B28</f>
        <v>Pittsburgh Steelers</v>
      </c>
      <c r="C29">
        <f>[1]offense!C28</f>
        <v>17</v>
      </c>
      <c r="D29">
        <f>[1]offense!D28</f>
        <v>304</v>
      </c>
      <c r="E29">
        <f>[1]offense!E28</f>
        <v>5173</v>
      </c>
      <c r="F29">
        <f>[1]offense!F28</f>
        <v>1029</v>
      </c>
      <c r="G29">
        <f>[1]offense!G28</f>
        <v>5</v>
      </c>
      <c r="H29">
        <f>[1]offense!H28</f>
        <v>16</v>
      </c>
      <c r="I29">
        <f>[1]offense!I28</f>
        <v>7</v>
      </c>
      <c r="J29">
        <f>[1]offense!J28</f>
        <v>287</v>
      </c>
      <c r="K29">
        <f>[1]offense!K28</f>
        <v>323</v>
      </c>
      <c r="L29">
        <f>[1]offense!L28</f>
        <v>506</v>
      </c>
      <c r="M29">
        <f>[1]offense!M28</f>
        <v>3163</v>
      </c>
      <c r="N29">
        <f>[1]offense!N28</f>
        <v>13</v>
      </c>
      <c r="O29">
        <f>[1]offense!O28</f>
        <v>9</v>
      </c>
      <c r="P29">
        <f>[1]offense!P28</f>
        <v>5.8</v>
      </c>
      <c r="Q29">
        <f>[1]offense!Q28</f>
        <v>153</v>
      </c>
      <c r="R29">
        <f>[1]offense!R28</f>
        <v>487</v>
      </c>
      <c r="S29">
        <f>[1]offense!S28</f>
        <v>2010</v>
      </c>
      <c r="T29">
        <f>[1]offense!T28</f>
        <v>16</v>
      </c>
      <c r="U29">
        <f>[1]offense!U28</f>
        <v>4.0999999999999996</v>
      </c>
      <c r="V29">
        <f>[1]offense!V28</f>
        <v>115</v>
      </c>
      <c r="W29">
        <f>[1]offense!W28</f>
        <v>86</v>
      </c>
      <c r="X29">
        <f>[1]offense!X28</f>
        <v>753</v>
      </c>
      <c r="Y29">
        <f>[1]offense!Y28</f>
        <v>19</v>
      </c>
      <c r="Z29">
        <f>[1]offense!Z28</f>
        <v>29.9</v>
      </c>
      <c r="AA29">
        <f>[1]offense!AA28</f>
        <v>7.7</v>
      </c>
      <c r="AB29">
        <f>[1]offense!AB28</f>
        <v>-16.68</v>
      </c>
      <c r="AD29">
        <f>[1]defense!A28</f>
        <v>28</v>
      </c>
      <c r="AE29" t="str">
        <f>[1]defense!B28</f>
        <v>Indianapolis Colts</v>
      </c>
      <c r="AF29">
        <f>[1]defense!C28</f>
        <v>17</v>
      </c>
      <c r="AG29">
        <f>[1]defense!D28</f>
        <v>415</v>
      </c>
      <c r="AH29">
        <f>[1]defense!E28</f>
        <v>5947</v>
      </c>
      <c r="AI29">
        <f>[1]defense!F28</f>
        <v>1137</v>
      </c>
      <c r="AJ29">
        <f>[1]defense!G28</f>
        <v>5.2</v>
      </c>
      <c r="AK29">
        <f>[1]defense!H28</f>
        <v>24</v>
      </c>
      <c r="AL29">
        <f>[1]defense!I28</f>
        <v>9</v>
      </c>
      <c r="AM29">
        <f>[1]defense!J28</f>
        <v>346</v>
      </c>
      <c r="AN29">
        <f>[1]defense!K28</f>
        <v>370</v>
      </c>
      <c r="AO29">
        <f>[1]defense!L28</f>
        <v>568</v>
      </c>
      <c r="AP29">
        <f>[1]defense!M28</f>
        <v>3842</v>
      </c>
      <c r="AQ29">
        <f>[1]defense!N28</f>
        <v>21</v>
      </c>
      <c r="AR29">
        <f>[1]defense!O28</f>
        <v>15</v>
      </c>
      <c r="AS29">
        <f>[1]defense!P28</f>
        <v>6.2</v>
      </c>
      <c r="AT29">
        <f>[1]defense!Q28</f>
        <v>192</v>
      </c>
      <c r="AU29">
        <f>[1]defense!R28</f>
        <v>518</v>
      </c>
      <c r="AV29">
        <f>[1]defense!S28</f>
        <v>2105</v>
      </c>
      <c r="AW29">
        <f>[1]defense!T28</f>
        <v>22</v>
      </c>
      <c r="AX29">
        <f>[1]defense!U28</f>
        <v>4.0999999999999996</v>
      </c>
      <c r="AY29">
        <f>[1]defense!V28</f>
        <v>123</v>
      </c>
      <c r="AZ29">
        <f>[1]defense!W28</f>
        <v>100</v>
      </c>
      <c r="BA29">
        <f>[1]defense!X28</f>
        <v>843</v>
      </c>
      <c r="BB29">
        <f>[1]defense!Y28</f>
        <v>31</v>
      </c>
      <c r="BC29">
        <f>[1]defense!Z28</f>
        <v>38.9</v>
      </c>
      <c r="BD29">
        <f>[1]defense!AA28</f>
        <v>11.8</v>
      </c>
      <c r="BE29">
        <f>[1]defense!AB28</f>
        <v>-38.18</v>
      </c>
    </row>
    <row r="30" spans="1:57" x14ac:dyDescent="0.25">
      <c r="A30">
        <f>[1]offense!A29</f>
        <v>29</v>
      </c>
      <c r="B30" t="str">
        <f>[1]offense!B29</f>
        <v>New York Jets</v>
      </c>
      <c r="C30">
        <f>[1]offense!C29</f>
        <v>17</v>
      </c>
      <c r="D30">
        <f>[1]offense!D29</f>
        <v>268</v>
      </c>
      <c r="E30">
        <f>[1]offense!E29</f>
        <v>4566</v>
      </c>
      <c r="F30">
        <f>[1]offense!F29</f>
        <v>1053</v>
      </c>
      <c r="G30">
        <f>[1]offense!G29</f>
        <v>4.3</v>
      </c>
      <c r="H30">
        <f>[1]offense!H29</f>
        <v>33</v>
      </c>
      <c r="I30">
        <f>[1]offense!I29</f>
        <v>18</v>
      </c>
      <c r="J30">
        <f>[1]offense!J29</f>
        <v>260</v>
      </c>
      <c r="K30">
        <f>[1]offense!K29</f>
        <v>356</v>
      </c>
      <c r="L30">
        <f>[1]offense!L29</f>
        <v>601</v>
      </c>
      <c r="M30">
        <f>[1]offense!M29</f>
        <v>2919</v>
      </c>
      <c r="N30">
        <f>[1]offense!N29</f>
        <v>11</v>
      </c>
      <c r="O30">
        <f>[1]offense!O29</f>
        <v>15</v>
      </c>
      <c r="P30">
        <f>[1]offense!P29</f>
        <v>4.4000000000000004</v>
      </c>
      <c r="Q30">
        <f>[1]offense!Q29</f>
        <v>156</v>
      </c>
      <c r="R30">
        <f>[1]offense!R29</f>
        <v>388</v>
      </c>
      <c r="S30">
        <f>[1]offense!S29</f>
        <v>1647</v>
      </c>
      <c r="T30">
        <f>[1]offense!T29</f>
        <v>7</v>
      </c>
      <c r="U30">
        <f>[1]offense!U29</f>
        <v>4.2</v>
      </c>
      <c r="V30">
        <f>[1]offense!V29</f>
        <v>77</v>
      </c>
      <c r="W30">
        <f>[1]offense!W29</f>
        <v>124</v>
      </c>
      <c r="X30">
        <f>[1]offense!X29</f>
        <v>945</v>
      </c>
      <c r="Y30">
        <f>[1]offense!Y29</f>
        <v>27</v>
      </c>
      <c r="Z30">
        <f>[1]offense!Z29</f>
        <v>26</v>
      </c>
      <c r="AA30">
        <f>[1]offense!AA29</f>
        <v>13.9</v>
      </c>
      <c r="AB30">
        <f>[1]offense!AB29</f>
        <v>-199.77</v>
      </c>
      <c r="AD30">
        <f>[1]defense!A29</f>
        <v>29</v>
      </c>
      <c r="AE30" t="str">
        <f>[1]defense!B29</f>
        <v>Carolina Panthers</v>
      </c>
      <c r="AF30">
        <f>[1]defense!C29</f>
        <v>17</v>
      </c>
      <c r="AG30">
        <f>[1]defense!D29</f>
        <v>416</v>
      </c>
      <c r="AH30">
        <f>[1]defense!E29</f>
        <v>4997</v>
      </c>
      <c r="AI30">
        <f>[1]defense!F29</f>
        <v>1016</v>
      </c>
      <c r="AJ30">
        <f>[1]defense!G29</f>
        <v>4.9000000000000004</v>
      </c>
      <c r="AK30">
        <f>[1]defense!H29</f>
        <v>11</v>
      </c>
      <c r="AL30">
        <f>[1]defense!I29</f>
        <v>3</v>
      </c>
      <c r="AM30">
        <f>[1]defense!J29</f>
        <v>311</v>
      </c>
      <c r="AN30">
        <f>[1]defense!K29</f>
        <v>309</v>
      </c>
      <c r="AO30">
        <f>[1]defense!L29</f>
        <v>481</v>
      </c>
      <c r="AP30">
        <f>[1]defense!M29</f>
        <v>2916</v>
      </c>
      <c r="AQ30">
        <f>[1]defense!N29</f>
        <v>19</v>
      </c>
      <c r="AR30">
        <f>[1]defense!O29</f>
        <v>8</v>
      </c>
      <c r="AS30">
        <f>[1]defense!P29</f>
        <v>5.7</v>
      </c>
      <c r="AT30">
        <f>[1]defense!Q29</f>
        <v>162</v>
      </c>
      <c r="AU30">
        <f>[1]defense!R29</f>
        <v>508</v>
      </c>
      <c r="AV30">
        <f>[1]defense!S29</f>
        <v>2081</v>
      </c>
      <c r="AW30">
        <f>[1]defense!T29</f>
        <v>25</v>
      </c>
      <c r="AX30">
        <f>[1]defense!U29</f>
        <v>4.0999999999999996</v>
      </c>
      <c r="AY30">
        <f>[1]defense!V29</f>
        <v>122</v>
      </c>
      <c r="AZ30">
        <f>[1]defense!W29</f>
        <v>89</v>
      </c>
      <c r="BA30">
        <f>[1]defense!X29</f>
        <v>679</v>
      </c>
      <c r="BB30">
        <f>[1]defense!Y29</f>
        <v>27</v>
      </c>
      <c r="BC30">
        <f>[1]defense!Z29</f>
        <v>37.700000000000003</v>
      </c>
      <c r="BD30">
        <f>[1]defense!AA29</f>
        <v>5.5</v>
      </c>
      <c r="BE30">
        <f>[1]defense!AB29</f>
        <v>-56.65</v>
      </c>
    </row>
    <row r="31" spans="1:57" x14ac:dyDescent="0.25">
      <c r="A31">
        <f>[1]offense!A30</f>
        <v>30</v>
      </c>
      <c r="B31" t="str">
        <f>[1]offense!B30</f>
        <v>New York Giants</v>
      </c>
      <c r="C31">
        <f>[1]offense!C30</f>
        <v>17</v>
      </c>
      <c r="D31">
        <f>[1]offense!D30</f>
        <v>266</v>
      </c>
      <c r="E31">
        <f>[1]offense!E30</f>
        <v>4760</v>
      </c>
      <c r="F31">
        <f>[1]offense!F30</f>
        <v>1057</v>
      </c>
      <c r="G31">
        <f>[1]offense!G30</f>
        <v>4.5</v>
      </c>
      <c r="H31">
        <f>[1]offense!H30</f>
        <v>19</v>
      </c>
      <c r="I31">
        <f>[1]offense!I30</f>
        <v>7</v>
      </c>
      <c r="J31">
        <f>[1]offense!J30</f>
        <v>267</v>
      </c>
      <c r="K31">
        <f>[1]offense!K30</f>
        <v>338</v>
      </c>
      <c r="L31">
        <f>[1]offense!L30</f>
        <v>518</v>
      </c>
      <c r="M31">
        <f>[1]offense!M30</f>
        <v>2886</v>
      </c>
      <c r="N31">
        <f>[1]offense!N30</f>
        <v>15</v>
      </c>
      <c r="O31">
        <f>[1]offense!O30</f>
        <v>12</v>
      </c>
      <c r="P31">
        <f>[1]offense!P30</f>
        <v>4.8</v>
      </c>
      <c r="Q31">
        <f>[1]offense!Q30</f>
        <v>141</v>
      </c>
      <c r="R31">
        <f>[1]offense!R30</f>
        <v>454</v>
      </c>
      <c r="S31">
        <f>[1]offense!S30</f>
        <v>1874</v>
      </c>
      <c r="T31">
        <f>[1]offense!T30</f>
        <v>10</v>
      </c>
      <c r="U31">
        <f>[1]offense!U30</f>
        <v>4.0999999999999996</v>
      </c>
      <c r="V31">
        <f>[1]offense!V30</f>
        <v>97</v>
      </c>
      <c r="W31">
        <f>[1]offense!W30</f>
        <v>89</v>
      </c>
      <c r="X31">
        <f>[1]offense!X30</f>
        <v>711</v>
      </c>
      <c r="Y31">
        <f>[1]offense!Y30</f>
        <v>29</v>
      </c>
      <c r="Z31">
        <f>[1]offense!Z30</f>
        <v>23.6</v>
      </c>
      <c r="AA31">
        <f>[1]offense!AA30</f>
        <v>8.5</v>
      </c>
      <c r="AB31">
        <f>[1]offense!AB30</f>
        <v>-130.06</v>
      </c>
      <c r="AD31">
        <f>[1]defense!A30</f>
        <v>30</v>
      </c>
      <c r="AE31" t="str">
        <f>[1]defense!B30</f>
        <v>Philadelphia Eagles</v>
      </c>
      <c r="AF31">
        <f>[1]defense!C30</f>
        <v>17</v>
      </c>
      <c r="AG31">
        <f>[1]defense!D30</f>
        <v>428</v>
      </c>
      <c r="AH31">
        <f>[1]defense!E30</f>
        <v>6054</v>
      </c>
      <c r="AI31">
        <f>[1]defense!F30</f>
        <v>1105</v>
      </c>
      <c r="AJ31">
        <f>[1]defense!G30</f>
        <v>5.5</v>
      </c>
      <c r="AK31">
        <f>[1]defense!H30</f>
        <v>18</v>
      </c>
      <c r="AL31">
        <f>[1]defense!I30</f>
        <v>9</v>
      </c>
      <c r="AM31">
        <f>[1]defense!J30</f>
        <v>364</v>
      </c>
      <c r="AN31">
        <f>[1]defense!K30</f>
        <v>425</v>
      </c>
      <c r="AO31">
        <f>[1]defense!L30</f>
        <v>652</v>
      </c>
      <c r="AP31">
        <f>[1]defense!M30</f>
        <v>4296</v>
      </c>
      <c r="AQ31">
        <f>[1]defense!N30</f>
        <v>35</v>
      </c>
      <c r="AR31">
        <f>[1]defense!O30</f>
        <v>9</v>
      </c>
      <c r="AS31">
        <f>[1]defense!P30</f>
        <v>6.2</v>
      </c>
      <c r="AT31">
        <f>[1]defense!Q30</f>
        <v>222</v>
      </c>
      <c r="AU31">
        <f>[1]defense!R30</f>
        <v>410</v>
      </c>
      <c r="AV31">
        <f>[1]defense!S30</f>
        <v>1758</v>
      </c>
      <c r="AW31">
        <f>[1]defense!T30</f>
        <v>13</v>
      </c>
      <c r="AX31">
        <f>[1]defense!U30</f>
        <v>4.3</v>
      </c>
      <c r="AY31">
        <f>[1]defense!V30</f>
        <v>111</v>
      </c>
      <c r="AZ31">
        <f>[1]defense!W30</f>
        <v>107</v>
      </c>
      <c r="BA31">
        <f>[1]defense!X30</f>
        <v>810</v>
      </c>
      <c r="BB31">
        <f>[1]defense!Y30</f>
        <v>31</v>
      </c>
      <c r="BC31">
        <f>[1]defense!Z30</f>
        <v>41.1</v>
      </c>
      <c r="BD31">
        <f>[1]defense!AA30</f>
        <v>9.6999999999999993</v>
      </c>
      <c r="BE31">
        <f>[1]defense!AB30</f>
        <v>-121.62</v>
      </c>
    </row>
    <row r="32" spans="1:57" x14ac:dyDescent="0.25">
      <c r="A32">
        <f>[1]offense!A31</f>
        <v>31</v>
      </c>
      <c r="B32" t="str">
        <f>[1]offense!B31</f>
        <v>New England Patriots</v>
      </c>
      <c r="C32">
        <f>[1]offense!C31</f>
        <v>17</v>
      </c>
      <c r="D32">
        <f>[1]offense!D31</f>
        <v>236</v>
      </c>
      <c r="E32">
        <f>[1]offense!E31</f>
        <v>4696</v>
      </c>
      <c r="F32">
        <f>[1]offense!F31</f>
        <v>1020</v>
      </c>
      <c r="G32">
        <f>[1]offense!G31</f>
        <v>4.5999999999999996</v>
      </c>
      <c r="H32">
        <f>[1]offense!H31</f>
        <v>29</v>
      </c>
      <c r="I32">
        <f>[1]offense!I31</f>
        <v>8</v>
      </c>
      <c r="J32">
        <f>[1]offense!J31</f>
        <v>261</v>
      </c>
      <c r="K32">
        <f>[1]offense!K31</f>
        <v>351</v>
      </c>
      <c r="L32">
        <f>[1]offense!L31</f>
        <v>557</v>
      </c>
      <c r="M32">
        <f>[1]offense!M31</f>
        <v>3069</v>
      </c>
      <c r="N32">
        <f>[1]offense!N31</f>
        <v>16</v>
      </c>
      <c r="O32">
        <f>[1]offense!O31</f>
        <v>21</v>
      </c>
      <c r="P32">
        <f>[1]offense!P31</f>
        <v>5.0999999999999996</v>
      </c>
      <c r="Q32">
        <f>[1]offense!Q31</f>
        <v>153</v>
      </c>
      <c r="R32">
        <f>[1]offense!R31</f>
        <v>415</v>
      </c>
      <c r="S32">
        <f>[1]offense!S31</f>
        <v>1627</v>
      </c>
      <c r="T32">
        <f>[1]offense!T31</f>
        <v>9</v>
      </c>
      <c r="U32">
        <f>[1]offense!U31</f>
        <v>3.9</v>
      </c>
      <c r="V32">
        <f>[1]offense!V31</f>
        <v>93</v>
      </c>
      <c r="W32">
        <f>[1]offense!W31</f>
        <v>89</v>
      </c>
      <c r="X32">
        <f>[1]offense!X31</f>
        <v>676</v>
      </c>
      <c r="Y32">
        <f>[1]offense!Y31</f>
        <v>15</v>
      </c>
      <c r="Z32">
        <f>[1]offense!Z31</f>
        <v>20.2</v>
      </c>
      <c r="AA32">
        <f>[1]offense!AA31</f>
        <v>14.3</v>
      </c>
      <c r="AB32">
        <f>[1]offense!AB31</f>
        <v>-157.57</v>
      </c>
      <c r="AD32">
        <f>[1]defense!A31</f>
        <v>31</v>
      </c>
      <c r="AE32" t="str">
        <f>[1]defense!B31</f>
        <v>Arizona Cardinals</v>
      </c>
      <c r="AF32">
        <f>[1]defense!C31</f>
        <v>17</v>
      </c>
      <c r="AG32">
        <f>[1]defense!D31</f>
        <v>455</v>
      </c>
      <c r="AH32">
        <f>[1]defense!E31</f>
        <v>6047</v>
      </c>
      <c r="AI32">
        <f>[1]defense!F31</f>
        <v>1060</v>
      </c>
      <c r="AJ32">
        <f>[1]defense!G31</f>
        <v>5.7</v>
      </c>
      <c r="AK32">
        <f>[1]defense!H31</f>
        <v>17</v>
      </c>
      <c r="AL32">
        <f>[1]defense!I31</f>
        <v>6</v>
      </c>
      <c r="AM32">
        <f>[1]defense!J31</f>
        <v>369</v>
      </c>
      <c r="AN32">
        <f>[1]defense!K31</f>
        <v>347</v>
      </c>
      <c r="AO32">
        <f>[1]defense!L31</f>
        <v>506</v>
      </c>
      <c r="AP32">
        <f>[1]defense!M31</f>
        <v>3613</v>
      </c>
      <c r="AQ32">
        <f>[1]defense!N31</f>
        <v>32</v>
      </c>
      <c r="AR32">
        <f>[1]defense!O31</f>
        <v>11</v>
      </c>
      <c r="AS32">
        <f>[1]defense!P31</f>
        <v>6.7</v>
      </c>
      <c r="AT32">
        <f>[1]defense!Q31</f>
        <v>198</v>
      </c>
      <c r="AU32">
        <f>[1]defense!R31</f>
        <v>521</v>
      </c>
      <c r="AV32">
        <f>[1]defense!S31</f>
        <v>2434</v>
      </c>
      <c r="AW32">
        <f>[1]defense!T31</f>
        <v>19</v>
      </c>
      <c r="AX32">
        <f>[1]defense!U31</f>
        <v>4.7</v>
      </c>
      <c r="AY32">
        <f>[1]defense!V31</f>
        <v>141</v>
      </c>
      <c r="AZ32">
        <f>[1]defense!W31</f>
        <v>92</v>
      </c>
      <c r="BA32">
        <f>[1]defense!X31</f>
        <v>765</v>
      </c>
      <c r="BB32">
        <f>[1]defense!Y31</f>
        <v>30</v>
      </c>
      <c r="BC32">
        <f>[1]defense!Z31</f>
        <v>44</v>
      </c>
      <c r="BD32">
        <f>[1]defense!AA31</f>
        <v>8.6</v>
      </c>
      <c r="BE32">
        <f>[1]defense!AB31</f>
        <v>-160.5</v>
      </c>
    </row>
    <row r="33" spans="1:57" x14ac:dyDescent="0.25">
      <c r="A33">
        <f>[1]offense!A32</f>
        <v>32</v>
      </c>
      <c r="B33" t="str">
        <f>[1]offense!B32</f>
        <v>Carolina Panthers</v>
      </c>
      <c r="C33">
        <f>[1]offense!C32</f>
        <v>17</v>
      </c>
      <c r="D33">
        <f>[1]offense!D32</f>
        <v>236</v>
      </c>
      <c r="E33">
        <f>[1]offense!E32</f>
        <v>4510</v>
      </c>
      <c r="F33">
        <f>[1]offense!F32</f>
        <v>1096</v>
      </c>
      <c r="G33">
        <f>[1]offense!G32</f>
        <v>4.0999999999999996</v>
      </c>
      <c r="H33">
        <f>[1]offense!H32</f>
        <v>20</v>
      </c>
      <c r="I33">
        <f>[1]offense!I32</f>
        <v>10</v>
      </c>
      <c r="J33">
        <f>[1]offense!J32</f>
        <v>297</v>
      </c>
      <c r="K33">
        <f>[1]offense!K32</f>
        <v>350</v>
      </c>
      <c r="L33">
        <f>[1]offense!L32</f>
        <v>586</v>
      </c>
      <c r="M33">
        <f>[1]offense!M32</f>
        <v>2741</v>
      </c>
      <c r="N33">
        <f>[1]offense!N32</f>
        <v>13</v>
      </c>
      <c r="O33">
        <f>[1]offense!O32</f>
        <v>10</v>
      </c>
      <c r="P33">
        <f>[1]offense!P32</f>
        <v>4.2</v>
      </c>
      <c r="Q33">
        <f>[1]offense!Q32</f>
        <v>150</v>
      </c>
      <c r="R33">
        <f>[1]offense!R32</f>
        <v>445</v>
      </c>
      <c r="S33">
        <f>[1]offense!S32</f>
        <v>1769</v>
      </c>
      <c r="T33">
        <f>[1]offense!T32</f>
        <v>7</v>
      </c>
      <c r="U33">
        <f>[1]offense!U32</f>
        <v>4</v>
      </c>
      <c r="V33">
        <f>[1]offense!V32</f>
        <v>111</v>
      </c>
      <c r="W33">
        <f>[1]offense!W32</f>
        <v>103</v>
      </c>
      <c r="X33">
        <f>[1]offense!X32</f>
        <v>845</v>
      </c>
      <c r="Y33">
        <f>[1]offense!Y32</f>
        <v>36</v>
      </c>
      <c r="Z33">
        <f>[1]offense!Z32</f>
        <v>25</v>
      </c>
      <c r="AA33">
        <f>[1]offense!AA32</f>
        <v>11.1</v>
      </c>
      <c r="AB33">
        <f>[1]offense!AB32</f>
        <v>-135.03</v>
      </c>
      <c r="AD33">
        <f>[1]defense!A32</f>
        <v>32</v>
      </c>
      <c r="AE33" t="str">
        <f>[1]defense!B32</f>
        <v>Washington Commanders</v>
      </c>
      <c r="AF33">
        <f>[1]defense!C32</f>
        <v>17</v>
      </c>
      <c r="AG33">
        <f>[1]defense!D32</f>
        <v>518</v>
      </c>
      <c r="AH33">
        <f>[1]defense!E32</f>
        <v>6612</v>
      </c>
      <c r="AI33">
        <f>[1]defense!F32</f>
        <v>1117</v>
      </c>
      <c r="AJ33">
        <f>[1]defense!G32</f>
        <v>5.9</v>
      </c>
      <c r="AK33">
        <f>[1]defense!H32</f>
        <v>18</v>
      </c>
      <c r="AL33">
        <f>[1]defense!I32</f>
        <v>10</v>
      </c>
      <c r="AM33">
        <f>[1]defense!J32</f>
        <v>364</v>
      </c>
      <c r="AN33">
        <f>[1]defense!K32</f>
        <v>396</v>
      </c>
      <c r="AO33">
        <f>[1]defense!L32</f>
        <v>598</v>
      </c>
      <c r="AP33">
        <f>[1]defense!M32</f>
        <v>4457</v>
      </c>
      <c r="AQ33">
        <f>[1]defense!N32</f>
        <v>39</v>
      </c>
      <c r="AR33">
        <f>[1]defense!O32</f>
        <v>8</v>
      </c>
      <c r="AS33">
        <f>[1]defense!P32</f>
        <v>7</v>
      </c>
      <c r="AT33">
        <f>[1]defense!Q32</f>
        <v>218</v>
      </c>
      <c r="AU33">
        <f>[1]defense!R32</f>
        <v>480</v>
      </c>
      <c r="AV33">
        <f>[1]defense!S32</f>
        <v>2155</v>
      </c>
      <c r="AW33">
        <f>[1]defense!T32</f>
        <v>15</v>
      </c>
      <c r="AX33">
        <f>[1]defense!U32</f>
        <v>4.5</v>
      </c>
      <c r="AY33">
        <f>[1]defense!V32</f>
        <v>121</v>
      </c>
      <c r="AZ33">
        <f>[1]defense!W32</f>
        <v>99</v>
      </c>
      <c r="BA33">
        <f>[1]defense!X32</f>
        <v>828</v>
      </c>
      <c r="BB33">
        <f>[1]defense!Y32</f>
        <v>25</v>
      </c>
      <c r="BC33">
        <f>[1]defense!Z32</f>
        <v>46.8</v>
      </c>
      <c r="BD33">
        <f>[1]defense!AA32</f>
        <v>9</v>
      </c>
      <c r="BE33">
        <f>[1]defense!AB32</f>
        <v>-148.31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4CCA-CD0E-4A1B-87DB-353E64889460}">
  <dimension ref="A1:AR296"/>
  <sheetViews>
    <sheetView showGridLines="0" tabSelected="1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K2" sqref="K2"/>
    </sheetView>
  </sheetViews>
  <sheetFormatPr defaultRowHeight="15" x14ac:dyDescent="0.25"/>
  <cols>
    <col min="2" max="2" width="24.140625" bestFit="1" customWidth="1"/>
    <col min="3" max="4" width="9.140625" customWidth="1"/>
    <col min="5" max="5" width="8.5703125" style="7" customWidth="1"/>
    <col min="6" max="13" width="8.5703125" style="8" customWidth="1"/>
    <col min="14" max="14" width="8.5703125" style="5" customWidth="1"/>
    <col min="15" max="15" width="1.7109375" style="8" customWidth="1"/>
    <col min="16" max="17" width="8.5703125" style="8" customWidth="1"/>
    <col min="18" max="18" width="8.5703125" style="5" customWidth="1"/>
    <col min="19" max="19" width="5.28515625" customWidth="1"/>
    <col min="20" max="20" width="9.140625" customWidth="1"/>
    <col min="21" max="21" width="18.42578125" style="4" customWidth="1"/>
    <col min="22" max="22" width="15.7109375" style="4" customWidth="1"/>
    <col min="24" max="24" width="11.5703125" bestFit="1" customWidth="1"/>
    <col min="26" max="26" width="9.140625" style="34"/>
    <col min="27" max="27" width="9.140625" style="35"/>
    <col min="28" max="28" width="18.140625" bestFit="1" customWidth="1"/>
    <col min="29" max="29" width="17" style="37" bestFit="1" customWidth="1"/>
    <col min="30" max="30" width="9.140625" style="36"/>
    <col min="31" max="33" width="9.140625" style="60"/>
    <col min="35" max="35" width="14.5703125" bestFit="1" customWidth="1"/>
  </cols>
  <sheetData>
    <row r="1" spans="1:44" ht="21" x14ac:dyDescent="0.25">
      <c r="B1" s="38" t="s">
        <v>120</v>
      </c>
    </row>
    <row r="2" spans="1:44" ht="60.75" thickBot="1" x14ac:dyDescent="0.3">
      <c r="B2" s="97">
        <v>45603</v>
      </c>
      <c r="C2" s="81"/>
      <c r="D2" s="81"/>
      <c r="E2" s="6" t="s">
        <v>47</v>
      </c>
      <c r="F2" s="5" t="s">
        <v>48</v>
      </c>
      <c r="G2" s="5" t="s">
        <v>49</v>
      </c>
      <c r="H2" s="5" t="s">
        <v>50</v>
      </c>
      <c r="I2" s="5" t="s">
        <v>62</v>
      </c>
      <c r="J2" s="5" t="s">
        <v>63</v>
      </c>
      <c r="K2" s="5" t="s">
        <v>64</v>
      </c>
      <c r="L2" s="5" t="s">
        <v>51</v>
      </c>
      <c r="M2" s="5" t="s">
        <v>65</v>
      </c>
      <c r="O2" s="5"/>
      <c r="P2" s="5" t="s">
        <v>52</v>
      </c>
      <c r="Q2" s="5" t="s">
        <v>66</v>
      </c>
      <c r="S2" s="2"/>
      <c r="T2" s="2"/>
      <c r="U2" s="3" t="s">
        <v>51</v>
      </c>
      <c r="V2" s="3" t="s">
        <v>53</v>
      </c>
      <c r="W2" s="3" t="s">
        <v>54</v>
      </c>
      <c r="X2" s="3" t="s">
        <v>91</v>
      </c>
      <c r="Y2" s="3" t="s">
        <v>92</v>
      </c>
      <c r="Z2" s="3" t="s">
        <v>77</v>
      </c>
      <c r="AA2" s="3" t="s">
        <v>76</v>
      </c>
      <c r="AB2" s="3" t="s">
        <v>88</v>
      </c>
      <c r="AC2" s="3" t="s">
        <v>80</v>
      </c>
      <c r="AD2" s="62" t="s">
        <v>81</v>
      </c>
      <c r="AE2" s="3" t="s">
        <v>78</v>
      </c>
      <c r="AF2" s="3" t="s">
        <v>82</v>
      </c>
      <c r="AG2" s="3" t="s">
        <v>83</v>
      </c>
      <c r="AI2" s="3" t="s">
        <v>79</v>
      </c>
      <c r="AK2" t="s">
        <v>73</v>
      </c>
      <c r="AM2" t="s">
        <v>74</v>
      </c>
      <c r="AO2" t="s">
        <v>75</v>
      </c>
    </row>
    <row r="3" spans="1:44" x14ac:dyDescent="0.25">
      <c r="A3">
        <v>20231101</v>
      </c>
      <c r="B3" s="29" t="s">
        <v>36</v>
      </c>
      <c r="C3" s="30" t="s">
        <v>111</v>
      </c>
      <c r="D3" s="31" t="s">
        <v>56</v>
      </c>
      <c r="E3" s="9">
        <f>VLOOKUP(B3,Sheet1!$B:$L,10,FALSE)/VLOOKUP(B3,Sheet1!$B:$L,11,FALSE)</f>
        <v>0.68292682926829273</v>
      </c>
      <c r="F3" s="10">
        <f>VLOOKUP(B3,Sheet1!$B:$P,15,FALSE)</f>
        <v>5.9</v>
      </c>
      <c r="G3" s="11">
        <f>VLOOKUP(B3,Sheet1!$B:$N,13,FALSE)/VLOOKUP(B3,Sheet1!$B:$L,2,FALSE)</f>
        <v>1.588235294117647</v>
      </c>
      <c r="H3" s="11">
        <f>VLOOKUP(B3,Sheet1!$B:$O,14,FALSE)/VLOOKUP(B3,Sheet1!$B:$L,2,FALSE)</f>
        <v>0.82352941176470584</v>
      </c>
      <c r="I3" s="11">
        <f>VLOOKUP(B3,Sheet1!$AE:$AJ,6,FALSE)</f>
        <v>6</v>
      </c>
      <c r="J3" s="11">
        <f>VLOOKUP(B3,Sheet1!$AE:$AK,7,FALSE)/VLOOKUP(B3,Sheet1!$AE:$AF,2,FALSE)</f>
        <v>1.5294117647058822</v>
      </c>
      <c r="K3" s="11">
        <f>VLOOKUP(B3,Sheet1!$AE:$AX,20,FALSE)</f>
        <v>4.7</v>
      </c>
      <c r="L3" s="12">
        <f>E3*4+F3*2+G3*6.5-H3*3</f>
        <v>22.384648493543757</v>
      </c>
      <c r="M3" s="13">
        <f>I4*6-J4*3.5-K4</f>
        <v>16.717647058823527</v>
      </c>
      <c r="N3" s="14">
        <f>(L3+M3)/2</f>
        <v>19.55114777618364</v>
      </c>
      <c r="O3" s="11"/>
      <c r="P3" s="11">
        <f>VLOOKUP(B3,Sheet1!$B:$L,3,FALSE)/VLOOKUP(B3,Sheet1!$B:$L,2,FALSE)</f>
        <v>21.529411764705884</v>
      </c>
      <c r="Q3" s="11">
        <f>VLOOKUP(B4,Sheet1!$AE:$AG,3,FALSE)/VLOOKUP(B4,Sheet1!$AE:$AG,2,FALSE)</f>
        <v>16.470588235294116</v>
      </c>
      <c r="R3" s="14">
        <f>(P3+Q3)/2</f>
        <v>19</v>
      </c>
      <c r="S3" s="63">
        <f>ROUND((N3+P3+Q3)/3,2)</f>
        <v>19.18</v>
      </c>
      <c r="T3" s="16" t="s">
        <v>71</v>
      </c>
      <c r="U3" s="17">
        <f>IF(N4&gt;N3,ROUND(N3*2-N4*2,0)/2,ROUND(N4*2-N3*2,0)/2)</f>
        <v>-6</v>
      </c>
      <c r="V3" s="17" t="str">
        <f>IF(N3&gt;N4,C3,C4)</f>
        <v>BAL</v>
      </c>
      <c r="W3" s="18">
        <f>N3+N4</f>
        <v>45.196730057679233</v>
      </c>
      <c r="X3" s="60" t="str">
        <f>IF(S3&gt;S4,C3,C4)</f>
        <v>BAL</v>
      </c>
      <c r="Y3" s="60" t="str">
        <f>IF(X3=C3,C4,C3)</f>
        <v>CIN</v>
      </c>
      <c r="Z3" s="34" t="e">
        <f>IFERROR(VLOOKUP(A3,#REF!,9,FALSE),VLOOKUP(A3,#REF!,7,FALSE))</f>
        <v>#REF!</v>
      </c>
      <c r="AA3" s="35" t="str">
        <f>IFERROR(VLOOKUP(A3,#REF!,4,FALSE)+VLOOKUP(A3,#REF!,5,FALSE),"")</f>
        <v/>
      </c>
      <c r="AB3" s="60" t="e">
        <f>VLOOKUP(VLOOKUP(A3,#REF!,6,FALSE),$B:$C,2,FALSE)</f>
        <v>#REF!</v>
      </c>
      <c r="AC3" s="37" t="e">
        <f>IF(AB3=V3,U3,-U3)</f>
        <v>#REF!</v>
      </c>
      <c r="AD3" s="36" t="e">
        <f>IFERROR(VLOOKUP(A3,#REF!,6,FALSE),VLOOKUP(A3,#REF!,5,FALSE))</f>
        <v>#REF!</v>
      </c>
      <c r="AE3" s="60" t="str">
        <f>IFERROR(VLOOKUP(A3,#REF!,8,FALSE),"")</f>
        <v/>
      </c>
      <c r="AF3" s="60" t="e">
        <f>IF(AC3-AD3&gt;0,"Underdog",IF(AC3-AD3=0,"Push","Favorite"))</f>
        <v>#REF!</v>
      </c>
      <c r="AG3" s="60" t="str">
        <f>IFERROR(IF(AE3-AD3&gt;0,"Underdog",IF(AE3-AD3=0,"Push","Favorite")),"")</f>
        <v/>
      </c>
      <c r="AI3" t="str">
        <f>IFERROR(VLOOKUP(VLOOKUP(A3,#REF!,10,FALSE),$B:$C,2,FALSE),"")</f>
        <v/>
      </c>
      <c r="AK3" t="str">
        <f>IFERROR(IF(OR(AND(W3-Z3&gt;0,AA3-Z3&gt;0),AND(W3-Z3&lt;0,AA3-Z3&lt;0)),1,-1),"")</f>
        <v/>
      </c>
      <c r="AM3" t="str">
        <f>IF(V3=AI3,1,IF(AI3="","",-1))</f>
        <v/>
      </c>
      <c r="AO3" t="str">
        <f>IFERROR(IF(AF3=AG3,1,IF(AG3="Push",0,-1)),"")</f>
        <v/>
      </c>
      <c r="AR3">
        <f>A3</f>
        <v>20231101</v>
      </c>
    </row>
    <row r="4" spans="1:44" ht="15.75" thickBot="1" x14ac:dyDescent="0.3">
      <c r="A4">
        <v>20231101</v>
      </c>
      <c r="B4" s="32" t="s">
        <v>32</v>
      </c>
      <c r="C4" s="33" t="s">
        <v>101</v>
      </c>
      <c r="D4" s="33" t="s">
        <v>57</v>
      </c>
      <c r="E4" s="19">
        <f>VLOOKUP(B4,Sheet1!$B:$L,10,FALSE)/VLOOKUP(B4,Sheet1!$B:$L,11,FALSE)</f>
        <v>0.66396761133603244</v>
      </c>
      <c r="F4" s="20">
        <f>VLOOKUP(B4,Sheet1!$B:$P,15,FALSE)</f>
        <v>6.8</v>
      </c>
      <c r="G4" s="21">
        <f>VLOOKUP(B4,Sheet1!$B:$N,13,FALSE)/VLOOKUP(B4,Sheet1!$B:$L,2,FALSE)</f>
        <v>1.588235294117647</v>
      </c>
      <c r="H4" s="21">
        <f>VLOOKUP(B4,Sheet1!$B:$O,14,FALSE)/VLOOKUP(B4,Sheet1!$B:$L,2,FALSE)</f>
        <v>0.41176470588235292</v>
      </c>
      <c r="I4" s="21" t="str">
        <f>VLOOKUP(B4,Sheet1!$AE:$AJ,6,FALSE)</f>
        <v>4.6</v>
      </c>
      <c r="J4" s="21">
        <f>VLOOKUP(B4,Sheet1!$AE:$AK,7,FALSE)/VLOOKUP(B4,Sheet1!$AE:$AF,2,FALSE)</f>
        <v>1.8235294117647058</v>
      </c>
      <c r="K4" s="21" t="str">
        <f>VLOOKUP(B4,Sheet1!$AE:$AX,20,FALSE)</f>
        <v>4.5</v>
      </c>
      <c r="L4" s="22">
        <f>E4*4+F4*2+G4*6.5-H4*3</f>
        <v>25.344105739461774</v>
      </c>
      <c r="M4" s="23">
        <f>I3*6-J3*3.5-K3</f>
        <v>25.947058823529414</v>
      </c>
      <c r="N4" s="24">
        <f>(L4+M4)/2</f>
        <v>25.645582281495592</v>
      </c>
      <c r="O4" s="21"/>
      <c r="P4" s="21">
        <f>VLOOKUP(B4,Sheet1!$B:$L,3,FALSE)/VLOOKUP(B4,Sheet1!$B:$L,2,FALSE)</f>
        <v>28.411764705882351</v>
      </c>
      <c r="Q4" s="21">
        <f>VLOOKUP(B3,Sheet1!$AE:$AG,3,FALSE)/VLOOKUP(B3,Sheet1!$AE:$AG,2,FALSE)</f>
        <v>22.588235294117649</v>
      </c>
      <c r="R4" s="24">
        <f>(P4+Q4)/2</f>
        <v>25.5</v>
      </c>
      <c r="S4" s="64">
        <f>ROUND((N4+P4+Q4)/3,2)</f>
        <v>25.55</v>
      </c>
      <c r="T4" s="26" t="s">
        <v>72</v>
      </c>
      <c r="U4" s="27">
        <f>IF(R4&gt;R3,ROUND(R3*2-R4*2,0)/2,ROUND(R4*2-R3*2,0)/2)</f>
        <v>-6.5</v>
      </c>
      <c r="V4" s="27" t="str">
        <f>IF(R3&gt;R4,C3,C4)</f>
        <v>BAL</v>
      </c>
      <c r="W4" s="28">
        <f>R3+R4</f>
        <v>44.5</v>
      </c>
      <c r="X4" s="66">
        <f>(ROUND(SUMIFS(S:S, C:C, Y3)*2,0)/2)-(ROUND(SUMIFS(S:S, C:C, X3)*2,0)/2)</f>
        <v>-6.5</v>
      </c>
      <c r="Y4" s="60" t="str">
        <f>"+"&amp;ABS(X4)</f>
        <v>+6.5</v>
      </c>
      <c r="Z4" s="34" t="e">
        <f>IFERROR(VLOOKUP(A4,#REF!,9,FALSE),VLOOKUP(A4,#REF!,7,FALSE))</f>
        <v>#REF!</v>
      </c>
      <c r="AA4" s="35" t="str">
        <f>IFERROR(VLOOKUP(A4,#REF!,4,FALSE)+VLOOKUP(A4,#REF!,5,FALSE),"")</f>
        <v/>
      </c>
      <c r="AB4" s="60" t="e">
        <f>VLOOKUP(VLOOKUP(A4,#REF!,6,FALSE),$B:$C,2,FALSE)</f>
        <v>#REF!</v>
      </c>
      <c r="AC4" s="37" t="e">
        <f>IF(AB4=V4,U4,-U4)</f>
        <v>#REF!</v>
      </c>
      <c r="AD4" s="36" t="e">
        <f>IFERROR(VLOOKUP(A4,#REF!,6,FALSE),VLOOKUP(A4,#REF!,5,FALSE))</f>
        <v>#REF!</v>
      </c>
      <c r="AE4" s="60" t="str">
        <f>IFERROR(VLOOKUP(A4,#REF!,8,FALSE),"")</f>
        <v/>
      </c>
      <c r="AF4" s="60" t="e">
        <f>IF(AC4-AD4&gt;0,"Underdog",IF(AC4-AD4=0,"Push","Favorite"))</f>
        <v>#REF!</v>
      </c>
      <c r="AG4" s="60" t="str">
        <f>IFERROR(IF(AE4-AD4&gt;0,"Underdog",IF(AE4-AD4=0,"Push","Favorite")),"")</f>
        <v/>
      </c>
      <c r="AI4" t="str">
        <f>IFERROR(VLOOKUP(VLOOKUP(A4,#REF!,10,FALSE),$B:$C,2,FALSE),"")</f>
        <v/>
      </c>
      <c r="AK4" t="str">
        <f>IFERROR(IF(OR(AND(W4-Z4&gt;0,AA4-Z4&gt;0),AND(W4-Z4&lt;0,AA4-Z4&lt;0)),1,-1),"")</f>
        <v/>
      </c>
      <c r="AM4" t="str">
        <f>IF(V4=AI4,1,IF(AI4="","",-1))</f>
        <v/>
      </c>
      <c r="AO4" t="str">
        <f>IFERROR(IF(AF4=AG4,1,IF(AG4="Push",0,-1)),"")</f>
        <v/>
      </c>
      <c r="AR4">
        <f t="shared" ref="AR4:AR43" si="0">A4</f>
        <v>20231101</v>
      </c>
    </row>
    <row r="5" spans="1:44" ht="15.75" thickBot="1" x14ac:dyDescent="0.3">
      <c r="B5" s="80" t="s">
        <v>24</v>
      </c>
      <c r="C5" s="80"/>
      <c r="D5" s="80"/>
      <c r="W5" s="1" t="e">
        <f>IF(X5=AB3,X5&amp;" "&amp;Y5,X5&amp;" +"&amp;Y5)</f>
        <v>#REF!</v>
      </c>
      <c r="X5" t="e">
        <f>IF(Y3=AB3,X3,IF(X4-AD3&gt;0,Y3,X3))</f>
        <v>#REF!</v>
      </c>
      <c r="Y5" t="e">
        <f>IF(X5=AB3,AD3,-1*AD3)</f>
        <v>#REF!</v>
      </c>
      <c r="AR5">
        <f t="shared" si="0"/>
        <v>0</v>
      </c>
    </row>
    <row r="6" spans="1:44" x14ac:dyDescent="0.25">
      <c r="A6">
        <v>20231102</v>
      </c>
      <c r="B6" s="29" t="s">
        <v>46</v>
      </c>
      <c r="C6" s="30" t="s">
        <v>108</v>
      </c>
      <c r="D6" s="31" t="s">
        <v>56</v>
      </c>
      <c r="E6" s="9">
        <f>VLOOKUP(B6,Sheet1!$B:$L,10,FALSE)/VLOOKUP(B6,Sheet1!$B:$L,11,FALSE)</f>
        <v>0.65250965250965254</v>
      </c>
      <c r="F6" s="10">
        <f>VLOOKUP(B6,Sheet1!$B:$P,15,FALSE)</f>
        <v>4.8</v>
      </c>
      <c r="G6" s="11">
        <f>VLOOKUP(B6,Sheet1!$B:$N,13,FALSE)/VLOOKUP(B6,Sheet1!$B:$L,2,FALSE)</f>
        <v>0.88235294117647056</v>
      </c>
      <c r="H6" s="11">
        <f>VLOOKUP(B6,Sheet1!$B:$O,14,FALSE)/VLOOKUP(B6,Sheet1!$B:$L,2,FALSE)</f>
        <v>0.70588235294117652</v>
      </c>
      <c r="I6" s="11">
        <f>VLOOKUP(B6,Sheet1!$AE:$AJ,6,FALSE)</f>
        <v>5.6</v>
      </c>
      <c r="J6" s="11">
        <f>VLOOKUP(B6,Sheet1!$AE:$AK,7,FALSE)/VLOOKUP(B6,Sheet1!$AE:$AF,2,FALSE)</f>
        <v>1.8235294117647058</v>
      </c>
      <c r="K6" s="11">
        <f>VLOOKUP(B6,Sheet1!$AE:$AX,20,FALSE)</f>
        <v>4.7</v>
      </c>
      <c r="L6" s="12">
        <f>E6*4+F6*2+G6*6.5-H6*3</f>
        <v>15.827685668862138</v>
      </c>
      <c r="M6" s="13">
        <f>I7*6-J7*3.5-K7</f>
        <v>23.035294117647062</v>
      </c>
      <c r="N6" s="14">
        <f>(L6+M6)/2</f>
        <v>19.4314898932546</v>
      </c>
      <c r="O6" s="11"/>
      <c r="P6" s="11">
        <f>VLOOKUP(B6,Sheet1!$B:$L,3,FALSE)/VLOOKUP(B6,Sheet1!$B:$L,2,FALSE)</f>
        <v>15.647058823529411</v>
      </c>
      <c r="Q6" s="11">
        <f>VLOOKUP(B7,Sheet1!$AE:$AG,3,FALSE)/VLOOKUP(B7,Sheet1!$AE:$AG,2,FALSE)</f>
        <v>24.470588235294116</v>
      </c>
      <c r="R6" s="14">
        <f>(P6+Q6)/2</f>
        <v>20.058823529411764</v>
      </c>
      <c r="S6" s="63">
        <f>ROUND((N6+P6+Q6)/3,2)</f>
        <v>19.850000000000001</v>
      </c>
      <c r="T6" s="16" t="s">
        <v>71</v>
      </c>
      <c r="U6" s="17">
        <f>IF(N7&gt;N6,ROUND(N6*2-N7*2,0)/2,ROUND(N7*2-N6*2,0)/2)</f>
        <v>-1</v>
      </c>
      <c r="V6" s="17" t="str">
        <f>IF(N6&gt;N7,C6,C7)</f>
        <v>NYG</v>
      </c>
      <c r="W6" s="18">
        <f>N6+N7</f>
        <v>37.687793848283711</v>
      </c>
      <c r="X6" s="60" t="str">
        <f>IF(S6&gt;S7,C6,C7)</f>
        <v>NYG</v>
      </c>
      <c r="Y6" s="60" t="str">
        <f>IF(X6=C6,C7,C6)</f>
        <v>CAR</v>
      </c>
      <c r="Z6" s="34" t="e">
        <f>IFERROR(VLOOKUP(A6,#REF!,9,FALSE),VLOOKUP(A6,#REF!,7,FALSE))</f>
        <v>#REF!</v>
      </c>
      <c r="AA6" s="35" t="str">
        <f>IFERROR(VLOOKUP(A6,#REF!,4,FALSE)+VLOOKUP(A6,#REF!,5,FALSE),"")</f>
        <v/>
      </c>
      <c r="AB6" s="60" t="e">
        <f>VLOOKUP(VLOOKUP(A6,#REF!,6,FALSE),$B:$C,2,FALSE)</f>
        <v>#REF!</v>
      </c>
      <c r="AC6" s="37" t="e">
        <f>IF(AB6=V6,U6,-U6)</f>
        <v>#REF!</v>
      </c>
      <c r="AD6" s="36" t="e">
        <f>IFERROR(VLOOKUP(A6,#REF!,6,FALSE),VLOOKUP(A6,#REF!,5,FALSE))</f>
        <v>#REF!</v>
      </c>
      <c r="AE6" s="60" t="str">
        <f>IFERROR(VLOOKUP(A6,#REF!,8,FALSE),"")</f>
        <v/>
      </c>
      <c r="AF6" s="60" t="e">
        <f>IF(AC6-AD6&gt;0,"Underdog",IF(AC6-AD6=0,"Push","Favorite"))</f>
        <v>#REF!</v>
      </c>
      <c r="AG6" s="60" t="str">
        <f>IFERROR(IF(AE6-AD6&gt;0,"Underdog",IF(AE6-AD6=0,"Push","Favorite")),"")</f>
        <v/>
      </c>
      <c r="AI6" t="str">
        <f>IFERROR(VLOOKUP(VLOOKUP(A6,#REF!,10,FALSE),$B:$C,2,FALSE),"")</f>
        <v/>
      </c>
      <c r="AK6" t="str">
        <f>IFERROR(IF(OR(AND(W6-Z6&gt;0,AA6-Z6&gt;0),AND(W6-Z6&lt;0,AA6-Z6&lt;0)),1,-1),"")</f>
        <v/>
      </c>
      <c r="AM6" t="str">
        <f>IF(V6=AI6,1,IF(AI6="","",-1))</f>
        <v/>
      </c>
      <c r="AO6" t="str">
        <f>IFERROR(IF(AF6=AG6,1,IF(AG6="Push",0,-1)),"")</f>
        <v/>
      </c>
      <c r="AR6">
        <f t="shared" si="0"/>
        <v>20231102</v>
      </c>
    </row>
    <row r="7" spans="1:44" ht="15.75" thickBot="1" x14ac:dyDescent="0.3">
      <c r="A7">
        <v>20231102</v>
      </c>
      <c r="B7" s="32" t="s">
        <v>29</v>
      </c>
      <c r="C7" s="33" t="s">
        <v>102</v>
      </c>
      <c r="D7" s="33" t="s">
        <v>121</v>
      </c>
      <c r="E7" s="19">
        <f>VLOOKUP(B7,Sheet1!$B:$L,10,FALSE)/VLOOKUP(B7,Sheet1!$B:$L,11,FALSE)</f>
        <v>0.59726962457337884</v>
      </c>
      <c r="F7" s="20">
        <f>VLOOKUP(B7,Sheet1!$B:$P,15,FALSE)</f>
        <v>4.2</v>
      </c>
      <c r="G7" s="21">
        <f>VLOOKUP(B7,Sheet1!$B:$N,13,FALSE)/VLOOKUP(B7,Sheet1!$B:$L,2,FALSE)</f>
        <v>0.76470588235294112</v>
      </c>
      <c r="H7" s="21">
        <f>VLOOKUP(B7,Sheet1!$B:$O,14,FALSE)/VLOOKUP(B7,Sheet1!$B:$L,2,FALSE)</f>
        <v>0.58823529411764708</v>
      </c>
      <c r="I7" s="21">
        <f>VLOOKUP(B7,Sheet1!$AE:$AJ,6,FALSE)</f>
        <v>4.9000000000000004</v>
      </c>
      <c r="J7" s="21">
        <f>VLOOKUP(B7,Sheet1!$AE:$AK,7,FALSE)/VLOOKUP(B7,Sheet1!$AE:$AF,2,FALSE)</f>
        <v>0.6470588235294118</v>
      </c>
      <c r="K7" s="21">
        <f>VLOOKUP(B7,Sheet1!$AE:$AX,20,FALSE)</f>
        <v>4.0999999999999996</v>
      </c>
      <c r="L7" s="22">
        <f>E7*4+F7*2+G7*6.5-H7*3</f>
        <v>13.994960851234694</v>
      </c>
      <c r="M7" s="23">
        <f>I6*6-J6*3.5-K6</f>
        <v>22.517647058823524</v>
      </c>
      <c r="N7" s="24">
        <f>(L7+M7)/2</f>
        <v>18.256303955029111</v>
      </c>
      <c r="O7" s="21"/>
      <c r="P7" s="21">
        <f>VLOOKUP(B7,Sheet1!$B:$L,3,FALSE)/VLOOKUP(B7,Sheet1!$B:$L,2,FALSE)</f>
        <v>13.882352941176471</v>
      </c>
      <c r="Q7" s="21">
        <f>VLOOKUP(B6,Sheet1!$AE:$AG,3,FALSE)/VLOOKUP(B6,Sheet1!$AE:$AG,2,FALSE)</f>
        <v>23.941176470588236</v>
      </c>
      <c r="R7" s="24">
        <f>(P7+Q7)/2</f>
        <v>18.911764705882355</v>
      </c>
      <c r="S7" s="64">
        <f>ROUND((N7+P7+Q7)/3,2)</f>
        <v>18.690000000000001</v>
      </c>
      <c r="T7" s="26" t="s">
        <v>72</v>
      </c>
      <c r="U7" s="27">
        <f>IF(R7&gt;R6,ROUND(R6*2-R7*2,0)/2,ROUND(R7*2-R6*2,0)/2)</f>
        <v>-1</v>
      </c>
      <c r="V7" s="27" t="str">
        <f>IF(R6&gt;R7,C6,C7)</f>
        <v>NYG</v>
      </c>
      <c r="W7" s="28">
        <f>R6+R7</f>
        <v>38.970588235294116</v>
      </c>
      <c r="X7" s="66">
        <f>(ROUND(SUMIFS(S:S, C:C, Y6)*2,0)/2)-(ROUND(SUMIFS(S:S, C:C, X6)*2,0)/2)</f>
        <v>-24</v>
      </c>
      <c r="Y7" s="60" t="str">
        <f>"+"&amp;ABS(X7)</f>
        <v>+24</v>
      </c>
      <c r="Z7" s="34" t="e">
        <f>IFERROR(VLOOKUP(A7,#REF!,9,FALSE),VLOOKUP(A7,#REF!,7,FALSE))</f>
        <v>#REF!</v>
      </c>
      <c r="AA7" s="35" t="str">
        <f>IFERROR(VLOOKUP(A7,#REF!,4,FALSE)+VLOOKUP(A7,#REF!,5,FALSE),"")</f>
        <v/>
      </c>
      <c r="AB7" s="60" t="e">
        <f>VLOOKUP(VLOOKUP(A7,#REF!,6,FALSE),$B:$C,2,FALSE)</f>
        <v>#REF!</v>
      </c>
      <c r="AC7" s="37" t="e">
        <f>IF(AB7=V7,U7,-U7)</f>
        <v>#REF!</v>
      </c>
      <c r="AD7" s="36" t="e">
        <f>IFERROR(VLOOKUP(A7,#REF!,6,FALSE),VLOOKUP(A7,#REF!,5,FALSE))</f>
        <v>#REF!</v>
      </c>
      <c r="AE7" s="60" t="str">
        <f>IFERROR(VLOOKUP(A7,#REF!,8,FALSE),"")</f>
        <v/>
      </c>
      <c r="AF7" s="60" t="e">
        <f>IF(AC7-AD7&gt;0,"Underdog",IF(AC7-AD7=0,"Push","Favorite"))</f>
        <v>#REF!</v>
      </c>
      <c r="AG7" s="60" t="str">
        <f>IFERROR(IF(AE7-AD7&gt;0,"Underdog",IF(AE7-AD7=0,"Push","Favorite")),"")</f>
        <v/>
      </c>
      <c r="AI7" t="str">
        <f>IFERROR(VLOOKUP(VLOOKUP(A7,#REF!,10,FALSE),$B:$C,2,FALSE),"")</f>
        <v/>
      </c>
      <c r="AK7" t="str">
        <f>IFERROR(IF(OR(AND(W7-Z7&gt;0,AA7-Z7&gt;0),AND(W7-Z7&lt;0,AA7-Z7&lt;0)),1,-1),"")</f>
        <v/>
      </c>
      <c r="AM7" t="str">
        <f>IF(V7=AI7,1,IF(AI7="","",-1))</f>
        <v/>
      </c>
      <c r="AO7" t="str">
        <f>IFERROR(IF(AF7=AG7,1,IF(AG7="Push",0,-1)),"")</f>
        <v/>
      </c>
      <c r="AR7">
        <f t="shared" si="0"/>
        <v>20231102</v>
      </c>
    </row>
    <row r="8" spans="1:44" ht="15.75" thickBot="1" x14ac:dyDescent="0.3">
      <c r="B8" s="80" t="s">
        <v>24</v>
      </c>
      <c r="C8" s="80"/>
      <c r="D8" s="80"/>
      <c r="W8" s="1" t="e">
        <f>IF(X8=AB6,X8&amp;" "&amp;Y8,X8&amp;" +"&amp;Y8)</f>
        <v>#REF!</v>
      </c>
      <c r="X8" t="e">
        <f>IF(Y6=AB6,X6,IF(X7-AD6&gt;0,Y6,X6))</f>
        <v>#REF!</v>
      </c>
      <c r="Y8" t="e">
        <f>IF(X8=AB6,AD6,-1*AD6)</f>
        <v>#REF!</v>
      </c>
      <c r="AR8">
        <f t="shared" si="0"/>
        <v>0</v>
      </c>
    </row>
    <row r="9" spans="1:44" x14ac:dyDescent="0.25">
      <c r="A9">
        <v>20231103</v>
      </c>
      <c r="B9" s="29" t="s">
        <v>34</v>
      </c>
      <c r="C9" s="30" t="s">
        <v>90</v>
      </c>
      <c r="D9" s="31" t="s">
        <v>56</v>
      </c>
      <c r="E9" s="9">
        <f>VLOOKUP(B9,Sheet1!$B:$L,10,FALSE)/VLOOKUP(B9,Sheet1!$B:$L,11,FALSE)</f>
        <v>0.63833992094861658</v>
      </c>
      <c r="F9" s="10">
        <f>VLOOKUP(B9,Sheet1!$B:$P,15,FALSE)</f>
        <v>5.8</v>
      </c>
      <c r="G9" s="11">
        <f>VLOOKUP(B9,Sheet1!$B:$N,13,FALSE)/VLOOKUP(B9,Sheet1!$B:$L,2,FALSE)</f>
        <v>0.76470588235294112</v>
      </c>
      <c r="H9" s="11">
        <f>VLOOKUP(B9,Sheet1!$B:$O,14,FALSE)/VLOOKUP(B9,Sheet1!$B:$L,2,FALSE)</f>
        <v>0.52941176470588236</v>
      </c>
      <c r="I9" s="11">
        <f>VLOOKUP(B9,Sheet1!$AE:$AJ,6,FALSE)</f>
        <v>5.4</v>
      </c>
      <c r="J9" s="11">
        <f>VLOOKUP(B9,Sheet1!$AE:$AK,7,FALSE)/VLOOKUP(B9,Sheet1!$AE:$AF,2,FALSE)</f>
        <v>1.588235294117647</v>
      </c>
      <c r="K9" s="11">
        <f>VLOOKUP(B9,Sheet1!$AE:$AX,20,FALSE)</f>
        <v>4.3</v>
      </c>
      <c r="L9" s="12">
        <f>E9*4+F9*2+G9*6.5-H9*3</f>
        <v>17.535712624970937</v>
      </c>
      <c r="M9" s="13">
        <f>I10*6-J10*3.5-K10</f>
        <v>17.535294117647055</v>
      </c>
      <c r="N9" s="14">
        <f>(L9+M9)/2</f>
        <v>17.535503371308998</v>
      </c>
      <c r="O9" s="11"/>
      <c r="P9" s="11">
        <f>VLOOKUP(B9,Sheet1!$B:$L,3,FALSE)/VLOOKUP(B9,Sheet1!$B:$L,2,FALSE)</f>
        <v>17.882352941176471</v>
      </c>
      <c r="Q9" s="11">
        <f>VLOOKUP(B10,Sheet1!$AE:$AG,3,FALSE)/VLOOKUP(B10,Sheet1!$AE:$AG,2,FALSE)</f>
        <v>21.294117647058822</v>
      </c>
      <c r="R9" s="14">
        <f>(P9+Q9)/2</f>
        <v>19.588235294117645</v>
      </c>
      <c r="S9" s="63">
        <f>ROUND((N9+P9+Q9)/3,2)</f>
        <v>18.899999999999999</v>
      </c>
      <c r="T9" s="16" t="s">
        <v>71</v>
      </c>
      <c r="U9" s="17">
        <f>IF(N10&gt;N9,ROUND(N9*2-N10*2,0)/2,ROUND(N10*2-N9*2,0)/2)</f>
        <v>-3</v>
      </c>
      <c r="V9" s="17" t="str">
        <f>IF(N9&gt;N10,C9,C10)</f>
        <v>CLE</v>
      </c>
      <c r="W9" s="18">
        <f>N9+N10</f>
        <v>38.002735648835397</v>
      </c>
      <c r="X9" s="60" t="str">
        <f>IF(S9&gt;S10,C9,C10)</f>
        <v>CLE</v>
      </c>
      <c r="Y9" s="60" t="str">
        <f>IF(X9=C9,C10,C9)</f>
        <v>PIT</v>
      </c>
      <c r="Z9" s="34" t="e">
        <f>IFERROR(VLOOKUP(A9,#REF!,9,FALSE),VLOOKUP(A9,#REF!,7,FALSE))</f>
        <v>#REF!</v>
      </c>
      <c r="AA9" s="35" t="str">
        <f>IFERROR(VLOOKUP(A9,#REF!,4,FALSE)+VLOOKUP(A9,#REF!,5,FALSE),"")</f>
        <v/>
      </c>
      <c r="AB9" s="60" t="e">
        <f>VLOOKUP(VLOOKUP(A9,#REF!,6,FALSE),$B:$C,2,FALSE)</f>
        <v>#REF!</v>
      </c>
      <c r="AC9" s="37" t="e">
        <f>IF(AB9=V9,U9,-U9)</f>
        <v>#REF!</v>
      </c>
      <c r="AD9" s="36" t="e">
        <f>IFERROR(VLOOKUP(A9,#REF!,6,FALSE),VLOOKUP(A9,#REF!,5,FALSE))</f>
        <v>#REF!</v>
      </c>
      <c r="AE9" s="60" t="str">
        <f>IFERROR(VLOOKUP(A9,#REF!,8,FALSE),"")</f>
        <v/>
      </c>
      <c r="AF9" s="60" t="e">
        <f>IF(AC9-AD9&gt;0,"Underdog",IF(AC9-AD9=0,"Push","Favorite"))</f>
        <v>#REF!</v>
      </c>
      <c r="AG9" s="60" t="str">
        <f>IFERROR(IF(AE9-AD9&gt;0,"Underdog",IF(AE9-AD9=0,"Push","Favorite")),"")</f>
        <v/>
      </c>
      <c r="AI9" t="str">
        <f>IFERROR(VLOOKUP(VLOOKUP(A9,#REF!,10,FALSE),$B:$C,2,FALSE),"")</f>
        <v/>
      </c>
      <c r="AK9" t="str">
        <f>IFERROR(IF(OR(AND(W9-Z9&gt;0,AA9-Z9&gt;0),AND(W9-Z9&lt;0,AA9-Z9&lt;0)),1,-1),"")</f>
        <v/>
      </c>
      <c r="AM9" t="str">
        <f>IF(V9=AI9,1,IF(AI9="","",-1))</f>
        <v/>
      </c>
      <c r="AO9" t="str">
        <f>IFERROR(IF(AF9=AG9,1,IF(AG9="Push",0,-1)),"")</f>
        <v/>
      </c>
      <c r="AR9">
        <f t="shared" si="0"/>
        <v>20231103</v>
      </c>
    </row>
    <row r="10" spans="1:44" ht="15.75" thickBot="1" x14ac:dyDescent="0.3">
      <c r="A10">
        <v>20231103</v>
      </c>
      <c r="B10" s="32" t="s">
        <v>68</v>
      </c>
      <c r="C10" s="33" t="s">
        <v>96</v>
      </c>
      <c r="D10" s="33" t="s">
        <v>58</v>
      </c>
      <c r="E10" s="19">
        <f>VLOOKUP(B10,Sheet1!$B:$L,10,FALSE)/VLOOKUP(B10,Sheet1!$B:$L,11,FALSE)</f>
        <v>0.56891025641025639</v>
      </c>
      <c r="F10" s="20">
        <f>VLOOKUP(B10,Sheet1!$B:$P,15,FALSE)</f>
        <v>5.5</v>
      </c>
      <c r="G10" s="21">
        <f>VLOOKUP(B10,Sheet1!$B:$N,13,FALSE)/VLOOKUP(B10,Sheet1!$B:$L,2,FALSE)</f>
        <v>1.411764705882353</v>
      </c>
      <c r="H10" s="21">
        <f>VLOOKUP(B10,Sheet1!$B:$O,14,FALSE)/VLOOKUP(B10,Sheet1!$B:$L,2,FALSE)</f>
        <v>1.3529411764705883</v>
      </c>
      <c r="I10" s="21">
        <f>VLOOKUP(B10,Sheet1!$AE:$AJ,6,FALSE)</f>
        <v>4.5999999999999996</v>
      </c>
      <c r="J10" s="21">
        <f>VLOOKUP(B10,Sheet1!$AE:$AK,7,FALSE)/VLOOKUP(B10,Sheet1!$AE:$AF,2,FALSE)</f>
        <v>1.6470588235294117</v>
      </c>
      <c r="K10" s="21">
        <f>VLOOKUP(B10,Sheet1!$AE:$AX,20,FALSE)</f>
        <v>4.3</v>
      </c>
      <c r="L10" s="22">
        <f>E10*4+F10*2+G10*6.5-H10*3</f>
        <v>18.393288084464555</v>
      </c>
      <c r="M10" s="23">
        <f>I9*6-J9*3.5-K9</f>
        <v>22.54117647058824</v>
      </c>
      <c r="N10" s="24">
        <f>(L10+M10)/2</f>
        <v>20.467232277526399</v>
      </c>
      <c r="O10" s="21"/>
      <c r="P10" s="21">
        <f>VLOOKUP(B10,Sheet1!$B:$L,3,FALSE)/VLOOKUP(B10,Sheet1!$B:$L,2,FALSE)</f>
        <v>23.294117647058822</v>
      </c>
      <c r="Q10" s="21">
        <f>VLOOKUP(B9,Sheet1!$AE:$AG,3,FALSE)/VLOOKUP(B9,Sheet1!$AE:$AG,2,FALSE)</f>
        <v>19.058823529411764</v>
      </c>
      <c r="R10" s="24">
        <f>(P10+Q10)/2</f>
        <v>21.176470588235293</v>
      </c>
      <c r="S10" s="64">
        <f>ROUND((N10+P10+Q10)/3,2)</f>
        <v>20.94</v>
      </c>
      <c r="T10" s="26" t="s">
        <v>72</v>
      </c>
      <c r="U10" s="27">
        <f>IF(R10&gt;R9,ROUND(R9*2-R10*2,0)/2,ROUND(R10*2-R9*2,0)/2)</f>
        <v>-1.5</v>
      </c>
      <c r="V10" s="27" t="str">
        <f>IF(R9&gt;R10,C9,C10)</f>
        <v>CLE</v>
      </c>
      <c r="W10" s="28">
        <f>R9+R10</f>
        <v>40.764705882352942</v>
      </c>
      <c r="X10" s="66">
        <f>(ROUND(SUMIFS(S:S, C:C, Y9)*2,0)/2)-(ROUND(SUMIFS(S:S, C:C, X9)*2,0)/2)</f>
        <v>-2</v>
      </c>
      <c r="Y10" s="60" t="str">
        <f>"+"&amp;ABS(X10)</f>
        <v>+2</v>
      </c>
      <c r="Z10" s="34" t="e">
        <f>IFERROR(VLOOKUP(A10,#REF!,9,FALSE),VLOOKUP(A10,#REF!,7,FALSE))</f>
        <v>#REF!</v>
      </c>
      <c r="AA10" s="35" t="str">
        <f>IFERROR(VLOOKUP(A10,#REF!,4,FALSE)+VLOOKUP(A10,#REF!,5,FALSE),"")</f>
        <v/>
      </c>
      <c r="AB10" s="60" t="e">
        <f>VLOOKUP(VLOOKUP(A10,#REF!,6,FALSE),$B:$C,2,FALSE)</f>
        <v>#REF!</v>
      </c>
      <c r="AC10" s="37" t="e">
        <f>IF(AB10=V10,U10,-U10)</f>
        <v>#REF!</v>
      </c>
      <c r="AD10" s="36" t="e">
        <f>IFERROR(VLOOKUP(A10,#REF!,6,FALSE),VLOOKUP(A10,#REF!,5,FALSE))</f>
        <v>#REF!</v>
      </c>
      <c r="AE10" s="60" t="str">
        <f>IFERROR(VLOOKUP(A10,#REF!,8,FALSE),"")</f>
        <v/>
      </c>
      <c r="AF10" s="60" t="e">
        <f>IF(AC10-AD10&gt;0,"Underdog",IF(AC10-AD10=0,"Push","Favorite"))</f>
        <v>#REF!</v>
      </c>
      <c r="AG10" s="60" t="str">
        <f>IFERROR(IF(AE10-AD10&gt;0,"Underdog",IF(AE10-AD10=0,"Push","Favorite")),"")</f>
        <v/>
      </c>
      <c r="AI10" t="str">
        <f>IFERROR(VLOOKUP(VLOOKUP(A10,#REF!,10,FALSE),$B:$C,2,FALSE),"")</f>
        <v/>
      </c>
      <c r="AK10" t="str">
        <f>IFERROR(IF(OR(AND(W10-Z10&gt;0,AA10-Z10&gt;0),AND(W10-Z10&lt;0,AA10-Z10&lt;0)),1,-1),"")</f>
        <v/>
      </c>
      <c r="AM10" t="str">
        <f>IF(V10=AI10,1,IF(AI10="","",-1))</f>
        <v/>
      </c>
      <c r="AO10" t="str">
        <f>IFERROR(IF(AF10=AG10,1,IF(AG10="Push",0,-1)),"")</f>
        <v/>
      </c>
      <c r="AR10">
        <f t="shared" si="0"/>
        <v>20231103</v>
      </c>
    </row>
    <row r="11" spans="1:44" ht="15.75" thickBot="1" x14ac:dyDescent="0.3">
      <c r="B11" s="80" t="s">
        <v>24</v>
      </c>
      <c r="C11" s="80"/>
      <c r="D11" s="80"/>
      <c r="W11" s="1" t="e">
        <f>IF(X11=AB9,X11&amp;" "&amp;Y11,X11&amp;" +"&amp;Y11)</f>
        <v>#REF!</v>
      </c>
      <c r="X11" t="e">
        <f>IF(Y9=AB9,X9,IF(X10-AD9&gt;0,Y9,X9))</f>
        <v>#REF!</v>
      </c>
      <c r="Y11" t="e">
        <f>IF(X11=AB9,AD9,-1*AD9)</f>
        <v>#REF!</v>
      </c>
      <c r="AR11">
        <f t="shared" si="0"/>
        <v>0</v>
      </c>
    </row>
    <row r="12" spans="1:44" x14ac:dyDescent="0.25">
      <c r="A12">
        <v>20231104</v>
      </c>
      <c r="B12" s="29" t="s">
        <v>31</v>
      </c>
      <c r="C12" s="30" t="s">
        <v>98</v>
      </c>
      <c r="D12" s="31" t="s">
        <v>56</v>
      </c>
      <c r="E12" s="9">
        <f>VLOOKUP(B12,Sheet1!$B:$L,10,FALSE)/VLOOKUP(B12,Sheet1!$B:$L,11,FALSE)</f>
        <v>0.6257309941520468</v>
      </c>
      <c r="F12" s="10">
        <f>VLOOKUP(B12,Sheet1!$B:$P,15,FALSE)</f>
        <v>5.5</v>
      </c>
      <c r="G12" s="11">
        <f>VLOOKUP(B12,Sheet1!$B:$N,13,FALSE)/VLOOKUP(B12,Sheet1!$B:$L,2,FALSE)</f>
        <v>1.1176470588235294</v>
      </c>
      <c r="H12" s="11">
        <f>VLOOKUP(B12,Sheet1!$B:$O,14,FALSE)/VLOOKUP(B12,Sheet1!$B:$L,2,FALSE)</f>
        <v>0.88235294117647056</v>
      </c>
      <c r="I12" s="11">
        <f>VLOOKUP(B12,Sheet1!$AE:$AJ,6,FALSE)</f>
        <v>5.3</v>
      </c>
      <c r="J12" s="11">
        <f>VLOOKUP(B12,Sheet1!$AE:$AK,7,FALSE)/VLOOKUP(B12,Sheet1!$AE:$AF,2,FALSE)</f>
        <v>1.6470588235294117</v>
      </c>
      <c r="K12" s="11">
        <f>VLOOKUP(B12,Sheet1!$AE:$AX,20,FALSE)</f>
        <v>3.8</v>
      </c>
      <c r="L12" s="12">
        <f>E12*4+F12*2+G12*6.5-H12*3</f>
        <v>18.120571035431716</v>
      </c>
      <c r="M12" s="13">
        <f>I13*6-J13*3.5-K13</f>
        <v>24.564705882352943</v>
      </c>
      <c r="N12" s="14">
        <f>(L12+M12)/2</f>
        <v>21.342638458892331</v>
      </c>
      <c r="O12" s="11"/>
      <c r="P12" s="11">
        <f>VLOOKUP(B12,Sheet1!$B:$L,3,FALSE)/VLOOKUP(B12,Sheet1!$B:$L,2,FALSE)</f>
        <v>21.176470588235293</v>
      </c>
      <c r="Q12" s="11">
        <f>VLOOKUP(B13,Sheet1!$AE:$AG,3,FALSE)/VLOOKUP(B13,Sheet1!$AE:$AG,2,FALSE)</f>
        <v>23.235294117647058</v>
      </c>
      <c r="R12" s="14">
        <f>(P12+Q12)/2</f>
        <v>22.205882352941174</v>
      </c>
      <c r="S12" s="63">
        <f>ROUND((N12+P12+Q12)/3,2)</f>
        <v>21.92</v>
      </c>
      <c r="T12" s="16" t="s">
        <v>71</v>
      </c>
      <c r="U12" s="17">
        <f>IF(N13&gt;N12,ROUND(N12*2-N13*2,0)/2,ROUND(N13*2-N12*2,0)/2)</f>
        <v>-2.5</v>
      </c>
      <c r="V12" s="17" t="str">
        <f>IF(N12&gt;N13,C12,C13)</f>
        <v>DET</v>
      </c>
      <c r="W12" s="18">
        <f>N12+N13</f>
        <v>45.383290759416496</v>
      </c>
      <c r="X12" s="60" t="str">
        <f>IF(S12&gt;S13,C12,C13)</f>
        <v>DET</v>
      </c>
      <c r="Y12" s="60" t="str">
        <f>IF(X12=C12,C13,C12)</f>
        <v>CHI</v>
      </c>
      <c r="Z12" s="34" t="e">
        <f>IFERROR(VLOOKUP(A12,#REF!,9,FALSE),VLOOKUP(A12,#REF!,7,FALSE))</f>
        <v>#REF!</v>
      </c>
      <c r="AA12" s="35" t="str">
        <f>IFERROR(VLOOKUP(A12,#REF!,4,FALSE)+VLOOKUP(A12,#REF!,5,FALSE),"")</f>
        <v/>
      </c>
      <c r="AB12" s="60" t="e">
        <f>VLOOKUP(VLOOKUP(A12,#REF!,6,FALSE),$B:$C,2,FALSE)</f>
        <v>#REF!</v>
      </c>
      <c r="AC12" s="37" t="e">
        <f>IF(AB12=V12,U12,-U12)</f>
        <v>#REF!</v>
      </c>
      <c r="AD12" s="36" t="e">
        <f>IFERROR(VLOOKUP(A12,#REF!,6,FALSE),VLOOKUP(A12,#REF!,5,FALSE))</f>
        <v>#REF!</v>
      </c>
      <c r="AE12" s="60" t="str">
        <f>IFERROR(VLOOKUP(A12,#REF!,8,FALSE),"")</f>
        <v/>
      </c>
      <c r="AF12" s="60" t="e">
        <f>IF(AC12-AD12&gt;0,"Underdog",IF(AC12-AD12=0,"Push","Favorite"))</f>
        <v>#REF!</v>
      </c>
      <c r="AG12" s="60" t="str">
        <f>IFERROR(IF(AE12-AD12&gt;0,"Underdog",IF(AE12-AD12=0,"Push","Favorite")),"")</f>
        <v/>
      </c>
      <c r="AI12" t="str">
        <f>IFERROR(VLOOKUP(VLOOKUP(A12,#REF!,10,FALSE),$B:$C,2,FALSE),"")</f>
        <v/>
      </c>
      <c r="AK12" t="str">
        <f>IFERROR(IF(OR(AND(W12-Z12&gt;0,AA12-Z12&gt;0),AND(W12-Z12&lt;0,AA12-Z12&lt;0)),1,-1),"")</f>
        <v/>
      </c>
      <c r="AM12" t="str">
        <f>IF(V12=AI12,1,IF(AI12="","",-1))</f>
        <v/>
      </c>
      <c r="AO12" t="str">
        <f>IFERROR(IF(AF12=AG12,1,IF(AG12="Push",0,-1)),"")</f>
        <v/>
      </c>
      <c r="AR12">
        <f t="shared" si="0"/>
        <v>20231104</v>
      </c>
    </row>
    <row r="13" spans="1:44" ht="15.75" thickBot="1" x14ac:dyDescent="0.3">
      <c r="A13">
        <v>20231104</v>
      </c>
      <c r="B13" s="32" t="s">
        <v>22</v>
      </c>
      <c r="C13" s="33" t="s">
        <v>117</v>
      </c>
      <c r="D13" s="33" t="s">
        <v>58</v>
      </c>
      <c r="E13" s="19">
        <f>VLOOKUP(B13,Sheet1!$B:$L,10,FALSE)/VLOOKUP(B13,Sheet1!$B:$L,11,FALSE)</f>
        <v>0.67326732673267331</v>
      </c>
      <c r="F13" s="20">
        <f>VLOOKUP(B13,Sheet1!$B:$P,15,FALSE)</f>
        <v>6.9</v>
      </c>
      <c r="G13" s="21">
        <f>VLOOKUP(B13,Sheet1!$B:$N,13,FALSE)/VLOOKUP(B13,Sheet1!$B:$L,2,FALSE)</f>
        <v>1.7647058823529411</v>
      </c>
      <c r="H13" s="21">
        <f>VLOOKUP(B13,Sheet1!$B:$O,14,FALSE)/VLOOKUP(B13,Sheet1!$B:$L,2,FALSE)</f>
        <v>0.70588235294117652</v>
      </c>
      <c r="I13" s="21">
        <f>VLOOKUP(B13,Sheet1!$AE:$AJ,6,FALSE)</f>
        <v>5.5</v>
      </c>
      <c r="J13" s="21">
        <f>VLOOKUP(B13,Sheet1!$AE:$AK,7,FALSE)/VLOOKUP(B13,Sheet1!$AE:$AF,2,FALSE)</f>
        <v>1.3529411764705883</v>
      </c>
      <c r="K13" s="21">
        <f>VLOOKUP(B13,Sheet1!$AE:$AX,20,FALSE)</f>
        <v>3.7</v>
      </c>
      <c r="L13" s="22">
        <f>E13*4+F13*2+G13*6.5-H13*3</f>
        <v>25.84601048340128</v>
      </c>
      <c r="M13" s="23">
        <f>I12*6-J12*3.5-K12</f>
        <v>22.235294117647054</v>
      </c>
      <c r="N13" s="24">
        <f>(L13+M13)/2</f>
        <v>24.040652300524165</v>
      </c>
      <c r="O13" s="21"/>
      <c r="P13" s="21">
        <f>VLOOKUP(B13,Sheet1!$B:$L,3,FALSE)/VLOOKUP(B13,Sheet1!$B:$L,2,FALSE)</f>
        <v>27.117647058823529</v>
      </c>
      <c r="Q13" s="21">
        <f>VLOOKUP(B12,Sheet1!$AE:$AG,3,FALSE)/VLOOKUP(B12,Sheet1!$AE:$AG,2,FALSE)</f>
        <v>22.294117647058822</v>
      </c>
      <c r="R13" s="24">
        <f>(P13+Q13)/2</f>
        <v>24.705882352941174</v>
      </c>
      <c r="S13" s="64">
        <f>ROUND((N13+P13+Q13)/3,2)</f>
        <v>24.48</v>
      </c>
      <c r="T13" s="26" t="s">
        <v>72</v>
      </c>
      <c r="U13" s="27">
        <f>IF(R13&gt;R12,ROUND(R12*2-R13*2,0)/2,ROUND(R13*2-R12*2,0)/2)</f>
        <v>-2.5</v>
      </c>
      <c r="V13" s="27" t="str">
        <f>IF(R12&gt;R13,C12,C13)</f>
        <v>DET</v>
      </c>
      <c r="W13" s="28">
        <f>R12+R13</f>
        <v>46.911764705882348</v>
      </c>
      <c r="X13" s="66">
        <f>(ROUND(SUMIFS(S:S, C:C, Y12)*2,0)/2)-(ROUND(SUMIFS(S:S, C:C, X12)*2,0)/2)</f>
        <v>-2.5</v>
      </c>
      <c r="Y13" s="60" t="str">
        <f>"+"&amp;ABS(X13)</f>
        <v>+2.5</v>
      </c>
      <c r="Z13" s="34" t="e">
        <f>IFERROR(VLOOKUP(A13,#REF!,9,FALSE),VLOOKUP(A13,#REF!,7,FALSE))</f>
        <v>#REF!</v>
      </c>
      <c r="AA13" s="35" t="str">
        <f>IFERROR(VLOOKUP(A13,#REF!,4,FALSE)+VLOOKUP(A13,#REF!,5,FALSE),"")</f>
        <v/>
      </c>
      <c r="AB13" s="60" t="e">
        <f>VLOOKUP(VLOOKUP(A13,#REF!,6,FALSE),$B:$C,2,FALSE)</f>
        <v>#REF!</v>
      </c>
      <c r="AC13" s="37" t="e">
        <f>IF(AB13=V13,U13,-U13)</f>
        <v>#REF!</v>
      </c>
      <c r="AD13" s="36" t="e">
        <f>IFERROR(VLOOKUP(A13,#REF!,6,FALSE),VLOOKUP(A13,#REF!,5,FALSE))</f>
        <v>#REF!</v>
      </c>
      <c r="AE13" s="60" t="str">
        <f>IFERROR(VLOOKUP(A13,#REF!,8,FALSE),"")</f>
        <v/>
      </c>
      <c r="AF13" s="60" t="e">
        <f>IF(AC13-AD13&gt;0,"Underdog",IF(AC13-AD13=0,"Push","Favorite"))</f>
        <v>#REF!</v>
      </c>
      <c r="AG13" s="60" t="str">
        <f>IFERROR(IF(AE13-AD13&gt;0,"Underdog",IF(AE13-AD13=0,"Push","Favorite")),"")</f>
        <v/>
      </c>
      <c r="AI13" t="str">
        <f>IFERROR(VLOOKUP(VLOOKUP(A13,#REF!,10,FALSE),$B:$C,2,FALSE),"")</f>
        <v/>
      </c>
      <c r="AK13" t="str">
        <f>IFERROR(IF(OR(AND(W13-Z13&gt;0,AA13-Z13&gt;0),AND(W13-Z13&lt;0,AA13-Z13&lt;0)),1,-1),"")</f>
        <v/>
      </c>
      <c r="AM13" t="str">
        <f>IF(V13=AI13,1,IF(AI13="","",-1))</f>
        <v/>
      </c>
      <c r="AO13" t="str">
        <f>IFERROR(IF(AF13=AG13,1,IF(AG13="Push",0,-1)),"")</f>
        <v/>
      </c>
      <c r="AR13">
        <f t="shared" si="0"/>
        <v>20231104</v>
      </c>
    </row>
    <row r="14" spans="1:44" ht="15.75" thickBot="1" x14ac:dyDescent="0.3">
      <c r="B14" s="80" t="s">
        <v>24</v>
      </c>
      <c r="C14" s="80"/>
      <c r="D14" s="80"/>
      <c r="W14" s="1" t="e">
        <f>IF(X14=AB12,X14&amp;" "&amp;Y14,X14&amp;" +"&amp;Y14)</f>
        <v>#REF!</v>
      </c>
      <c r="X14" t="e">
        <f>IF(Y12=AB12,X12,IF(X13-AD12&gt;0,Y12,X12))</f>
        <v>#REF!</v>
      </c>
      <c r="Y14" t="e">
        <f>IF(X14=AB12,AD12,-1*AD12)</f>
        <v>#REF!</v>
      </c>
      <c r="AR14">
        <f t="shared" si="0"/>
        <v>0</v>
      </c>
    </row>
    <row r="15" spans="1:44" x14ac:dyDescent="0.25">
      <c r="A15">
        <v>20231105</v>
      </c>
      <c r="B15" s="29" t="s">
        <v>70</v>
      </c>
      <c r="C15" s="30" t="s">
        <v>112</v>
      </c>
      <c r="D15" s="31" t="s">
        <v>56</v>
      </c>
      <c r="E15" s="9">
        <f>VLOOKUP(B15,Sheet1!$B:$L,10,FALSE)/VLOOKUP(B15,Sheet1!$B:$L,11,FALSE)</f>
        <v>0.64715189873417722</v>
      </c>
      <c r="F15" s="10">
        <f>VLOOKUP(B15,Sheet1!$B:$P,15,FALSE)</f>
        <v>5.9</v>
      </c>
      <c r="G15" s="11">
        <f>VLOOKUP(B15,Sheet1!$B:$N,13,FALSE)/VLOOKUP(B15,Sheet1!$B:$L,2,FALSE)</f>
        <v>1.411764705882353</v>
      </c>
      <c r="H15" s="11">
        <f>VLOOKUP(B15,Sheet1!$B:$O,14,FALSE)/VLOOKUP(B15,Sheet1!$B:$L,2,FALSE)</f>
        <v>0.47058823529411764</v>
      </c>
      <c r="I15" s="11">
        <f>VLOOKUP(B15,Sheet1!$AE:$AJ,6,FALSE)</f>
        <v>5.5</v>
      </c>
      <c r="J15" s="11">
        <f>VLOOKUP(B15,Sheet1!$AE:$AK,7,FALSE)/VLOOKUP(B15,Sheet1!$AE:$AF,2,FALSE)</f>
        <v>1.2352941176470589</v>
      </c>
      <c r="K15" s="11">
        <f>VLOOKUP(B15,Sheet1!$AE:$AX,20,FALSE)</f>
        <v>4.0999999999999996</v>
      </c>
      <c r="L15" s="12">
        <f>E15*4+F15*2+G15*6.5-H15*3</f>
        <v>22.153313477289654</v>
      </c>
      <c r="M15" s="13">
        <f>I16*6-J16*3.5-K16</f>
        <v>24.294117647058826</v>
      </c>
      <c r="N15" s="14">
        <f>(L15+M15)/2</f>
        <v>23.223715562174242</v>
      </c>
      <c r="O15" s="11"/>
      <c r="P15" s="11">
        <f>VLOOKUP(B15,Sheet1!$B:$L,3,FALSE)/VLOOKUP(B15,Sheet1!$B:$L,2,FALSE)</f>
        <v>20.352941176470587</v>
      </c>
      <c r="Q15" s="11">
        <f>VLOOKUP(B16,Sheet1!$AE:$AG,3,FALSE)/VLOOKUP(B16,Sheet1!$AE:$AG,2,FALSE)</f>
        <v>20.588235294117649</v>
      </c>
      <c r="R15" s="14">
        <f>(P15+Q15)/2</f>
        <v>20.470588235294116</v>
      </c>
      <c r="S15" s="63">
        <f>ROUND((N15+P15+Q15)/3,2)</f>
        <v>21.39</v>
      </c>
      <c r="T15" s="16" t="s">
        <v>71</v>
      </c>
      <c r="U15" s="17">
        <f>IF(N16&gt;N15,ROUND(N15*2-N16*2,0)/2,ROUND(N16*2-N15*2,0)/2)</f>
        <v>-2</v>
      </c>
      <c r="V15" s="17" t="str">
        <f>IF(N15&gt;N16,C15,C16)</f>
        <v>GB</v>
      </c>
      <c r="W15" s="18">
        <f>N15+N16</f>
        <v>48.446445135931455</v>
      </c>
      <c r="X15" s="60" t="str">
        <f>IF(S15&gt;S16,C15,C16)</f>
        <v>GB</v>
      </c>
      <c r="Y15" s="60" t="str">
        <f>IF(X15=C15,C16,C15)</f>
        <v>LAC</v>
      </c>
      <c r="Z15" s="34" t="e">
        <f>IFERROR(VLOOKUP(A15,#REF!,9,FALSE),VLOOKUP(A15,#REF!,7,FALSE))</f>
        <v>#REF!</v>
      </c>
      <c r="AA15" s="35" t="str">
        <f>IFERROR(VLOOKUP(A15,#REF!,4,FALSE)+VLOOKUP(A15,#REF!,5,FALSE),"")</f>
        <v/>
      </c>
      <c r="AB15" s="60" t="e">
        <f>VLOOKUP(VLOOKUP(A15,#REF!,6,FALSE),$B:$C,2,FALSE)</f>
        <v>#REF!</v>
      </c>
      <c r="AC15" s="37" t="e">
        <f>IF(AB15=V15,U15,-U15)</f>
        <v>#REF!</v>
      </c>
      <c r="AD15" s="36" t="e">
        <f>IFERROR(VLOOKUP(A15,#REF!,6,FALSE),VLOOKUP(A15,#REF!,5,FALSE))</f>
        <v>#REF!</v>
      </c>
      <c r="AE15" s="60" t="str">
        <f>IFERROR(VLOOKUP(A15,#REF!,8,FALSE),"")</f>
        <v/>
      </c>
      <c r="AF15" s="60" t="e">
        <f>IF(AC15-AD15&gt;0,"Underdog",IF(AC15-AD15=0,"Push","Favorite"))</f>
        <v>#REF!</v>
      </c>
      <c r="AG15" s="60" t="str">
        <f>IFERROR(IF(AE15-AD15&gt;0,"Underdog",IF(AE15-AD15=0,"Push","Favorite")),"")</f>
        <v/>
      </c>
      <c r="AI15" t="str">
        <f>IFERROR(VLOOKUP(VLOOKUP(A15,#REF!,10,FALSE),$B:$C,2,FALSE),"")</f>
        <v/>
      </c>
      <c r="AK15" t="str">
        <f>IFERROR(IF(OR(AND(W15-Z15&gt;0,AA15-Z15&gt;0),AND(W15-Z15&lt;0,AA15-Z15&lt;0)),1,-1),"")</f>
        <v/>
      </c>
      <c r="AM15" t="str">
        <f>IF(V15=AI15,1,IF(AI15="","",-1))</f>
        <v/>
      </c>
      <c r="AO15" t="str">
        <f>IFERROR(IF(AF15=AG15,1,IF(AG15="Push",0,-1)),"")</f>
        <v/>
      </c>
      <c r="AR15">
        <f t="shared" si="0"/>
        <v>20231105</v>
      </c>
    </row>
    <row r="16" spans="1:44" ht="15.75" thickBot="1" x14ac:dyDescent="0.3">
      <c r="A16">
        <v>20231105</v>
      </c>
      <c r="B16" s="32" t="s">
        <v>23</v>
      </c>
      <c r="C16" s="33" t="s">
        <v>104</v>
      </c>
      <c r="D16" s="33" t="s">
        <v>58</v>
      </c>
      <c r="E16" s="19">
        <f>VLOOKUP(B16,Sheet1!$B:$L,10,FALSE)/VLOOKUP(B16,Sheet1!$B:$L,11,FALSE)</f>
        <v>0.64371772805507743</v>
      </c>
      <c r="F16" s="20">
        <f>VLOOKUP(B16,Sheet1!$B:$P,15,FALSE)</f>
        <v>6.5</v>
      </c>
      <c r="G16" s="21">
        <f>VLOOKUP(B16,Sheet1!$B:$N,13,FALSE)/VLOOKUP(B16,Sheet1!$B:$L,2,FALSE)</f>
        <v>1.8823529411764706</v>
      </c>
      <c r="H16" s="21">
        <f>VLOOKUP(B16,Sheet1!$B:$O,14,FALSE)/VLOOKUP(B16,Sheet1!$B:$L,2,FALSE)</f>
        <v>0.6470588235294118</v>
      </c>
      <c r="I16" s="21">
        <f>VLOOKUP(B16,Sheet1!$AE:$AJ,6,FALSE)</f>
        <v>5.4</v>
      </c>
      <c r="J16" s="21">
        <f>VLOOKUP(B16,Sheet1!$AE:$AK,7,FALSE)/VLOOKUP(B16,Sheet1!$AE:$AF,2,FALSE)</f>
        <v>1.0588235294117647</v>
      </c>
      <c r="K16" s="21">
        <f>VLOOKUP(B16,Sheet1!$AE:$AX,20,FALSE)</f>
        <v>4.4000000000000004</v>
      </c>
      <c r="L16" s="22">
        <f>E16*4+F16*2+G16*6.5-H16*3</f>
        <v>25.868988559279131</v>
      </c>
      <c r="M16" s="23">
        <f>I15*6-J15*3.5-K15</f>
        <v>24.576470588235296</v>
      </c>
      <c r="N16" s="24">
        <f>(L16+M16)/2</f>
        <v>25.222729573757213</v>
      </c>
      <c r="O16" s="21"/>
      <c r="P16" s="21">
        <f>VLOOKUP(B16,Sheet1!$B:$L,3,FALSE)/VLOOKUP(B16,Sheet1!$B:$L,2,FALSE)</f>
        <v>22.529411764705884</v>
      </c>
      <c r="Q16" s="21">
        <f>VLOOKUP(B15,Sheet1!$AE:$AG,3,FALSE)/VLOOKUP(B15,Sheet1!$AE:$AG,2,FALSE)</f>
        <v>23.411764705882351</v>
      </c>
      <c r="R16" s="24">
        <f>(P16+Q16)/2</f>
        <v>22.970588235294116</v>
      </c>
      <c r="S16" s="64">
        <f>ROUND((N16+P16+Q16)/3,2)</f>
        <v>23.72</v>
      </c>
      <c r="T16" s="26" t="s">
        <v>72</v>
      </c>
      <c r="U16" s="27">
        <f>IF(R16&gt;R15,ROUND(R15*2-R16*2,0)/2,ROUND(R16*2-R15*2,0)/2)</f>
        <v>-2.5</v>
      </c>
      <c r="V16" s="27" t="str">
        <f>IF(R15&gt;R16,C15,C16)</f>
        <v>GB</v>
      </c>
      <c r="W16" s="28">
        <f>R15+R16</f>
        <v>43.441176470588232</v>
      </c>
      <c r="X16" s="66">
        <f>(ROUND(SUMIFS(S:S, C:C, Y15)*2,0)/2)-(ROUND(SUMIFS(S:S, C:C, X15)*2,0)/2)</f>
        <v>-2</v>
      </c>
      <c r="Y16" s="60" t="str">
        <f>"+"&amp;ABS(X16)</f>
        <v>+2</v>
      </c>
      <c r="Z16" s="34" t="e">
        <f>IFERROR(VLOOKUP(A16,#REF!,9,FALSE),VLOOKUP(A16,#REF!,7,FALSE))</f>
        <v>#REF!</v>
      </c>
      <c r="AA16" s="35" t="str">
        <f>IFERROR(VLOOKUP(A16,#REF!,4,FALSE)+VLOOKUP(A16,#REF!,5,FALSE),"")</f>
        <v/>
      </c>
      <c r="AB16" s="60" t="e">
        <f>VLOOKUP(VLOOKUP(A16,#REF!,6,FALSE),$B:$C,2,FALSE)</f>
        <v>#REF!</v>
      </c>
      <c r="AC16" s="37" t="e">
        <f>IF(AB16=V16,U16,-U16)</f>
        <v>#REF!</v>
      </c>
      <c r="AD16" s="36" t="e">
        <f>IFERROR(VLOOKUP(A16,#REF!,6,FALSE),VLOOKUP(A16,#REF!,5,FALSE))</f>
        <v>#REF!</v>
      </c>
      <c r="AE16" s="60" t="str">
        <f>IFERROR(VLOOKUP(A16,#REF!,8,FALSE),"")</f>
        <v/>
      </c>
      <c r="AF16" s="60" t="e">
        <f>IF(AC16-AD16&gt;0,"Underdog",IF(AC16-AD16=0,"Push","Favorite"))</f>
        <v>#REF!</v>
      </c>
      <c r="AG16" s="60" t="str">
        <f>IFERROR(IF(AE16-AD16&gt;0,"Underdog",IF(AE16-AD16=0,"Push","Favorite")),"")</f>
        <v/>
      </c>
      <c r="AI16" t="str">
        <f>IFERROR(VLOOKUP(VLOOKUP(A16,#REF!,10,FALSE),$B:$C,2,FALSE),"")</f>
        <v/>
      </c>
      <c r="AK16" t="str">
        <f>IFERROR(IF(OR(AND(W16-Z16&gt;0,AA16-Z16&gt;0),AND(W16-Z16&lt;0,AA16-Z16&lt;0)),1,-1),"")</f>
        <v/>
      </c>
      <c r="AM16" t="str">
        <f>IF(V16=AI16,1,IF(AI16="","",-1))</f>
        <v/>
      </c>
      <c r="AO16" t="str">
        <f>IFERROR(IF(AF16=AG16,1,IF(AG16="Push",0,-1)),"")</f>
        <v/>
      </c>
      <c r="AR16">
        <f t="shared" si="0"/>
        <v>20231105</v>
      </c>
    </row>
    <row r="17" spans="1:44" ht="15.75" thickBot="1" x14ac:dyDescent="0.3">
      <c r="B17" s="80" t="s">
        <v>24</v>
      </c>
      <c r="C17" s="80"/>
      <c r="D17" s="80"/>
      <c r="W17" s="1" t="e">
        <f>IF(X17=AB15,X17&amp;" "&amp;Y17,X17&amp;" +"&amp;Y17)</f>
        <v>#REF!</v>
      </c>
      <c r="X17" t="e">
        <f>IF(Y15=AB15,X15,IF(X16-AD15&gt;0,Y15,X15))</f>
        <v>#REF!</v>
      </c>
      <c r="Y17" t="e">
        <f>IF(X17=AB15,AD15,-1*AD15)</f>
        <v>#REF!</v>
      </c>
      <c r="AR17">
        <f t="shared" si="0"/>
        <v>0</v>
      </c>
    </row>
    <row r="18" spans="1:44" x14ac:dyDescent="0.25">
      <c r="A18">
        <v>20231106</v>
      </c>
      <c r="B18" s="29" t="s">
        <v>41</v>
      </c>
      <c r="C18" s="30" t="s">
        <v>95</v>
      </c>
      <c r="D18" s="31" t="s">
        <v>56</v>
      </c>
      <c r="E18" s="9">
        <f>VLOOKUP(B18,Sheet1!$B:$L,10,FALSE)/VLOOKUP(B18,Sheet1!$B:$L,11,FALSE)</f>
        <v>0.63963963963963966</v>
      </c>
      <c r="F18" s="10">
        <f>VLOOKUP(B18,Sheet1!$B:$P,15,FALSE)</f>
        <v>5.3</v>
      </c>
      <c r="G18" s="11">
        <f>VLOOKUP(B18,Sheet1!$B:$N,13,FALSE)/VLOOKUP(B18,Sheet1!$B:$L,2,FALSE)</f>
        <v>1.0588235294117647</v>
      </c>
      <c r="H18" s="11">
        <f>VLOOKUP(B18,Sheet1!$B:$O,14,FALSE)/VLOOKUP(B18,Sheet1!$B:$L,2,FALSE)</f>
        <v>0.70588235294117652</v>
      </c>
      <c r="I18" s="11">
        <f>VLOOKUP(B18,Sheet1!$AE:$AJ,6,FALSE)</f>
        <v>5.7</v>
      </c>
      <c r="J18" s="11">
        <f>VLOOKUP(B18,Sheet1!$AE:$AK,7,FALSE)/VLOOKUP(B18,Sheet1!$AE:$AF,2,FALSE)</f>
        <v>1</v>
      </c>
      <c r="K18" s="11">
        <f>VLOOKUP(B18,Sheet1!$AE:$AX,20,FALSE)</f>
        <v>4.7</v>
      </c>
      <c r="L18" s="12">
        <f>E18*4+F18*2+G18*6.5-H18*3</f>
        <v>17.923264440911503</v>
      </c>
      <c r="M18" s="13">
        <f>I19*6-J19*3.5-K19</f>
        <v>22.758823529411767</v>
      </c>
      <c r="N18" s="14">
        <f>(L18+M18)/2</f>
        <v>20.341043985161633</v>
      </c>
      <c r="O18" s="11"/>
      <c r="P18" s="11">
        <f>VLOOKUP(B18,Sheet1!$B:$L,3,FALSE)/VLOOKUP(B18,Sheet1!$B:$L,2,FALSE)</f>
        <v>19.411764705882351</v>
      </c>
      <c r="Q18" s="11">
        <f>VLOOKUP(B19,Sheet1!$AE:$AG,3,FALSE)/VLOOKUP(B19,Sheet1!$AE:$AG,2,FALSE)</f>
        <v>20.764705882352942</v>
      </c>
      <c r="R18" s="14">
        <f>(P18+Q18)/2</f>
        <v>20.088235294117645</v>
      </c>
      <c r="S18" s="63">
        <f>ROUND((N18+P18+Q18)/3,2)</f>
        <v>20.170000000000002</v>
      </c>
      <c r="T18" s="16" t="s">
        <v>71</v>
      </c>
      <c r="U18" s="17">
        <f>IF(N19&gt;N18,ROUND(N18*2-N19*2,0)/2,ROUND(N19*2-N18*2,0)/2)</f>
        <v>-5</v>
      </c>
      <c r="V18" s="17" t="str">
        <f>IF(N18&gt;N19,C18,C19)</f>
        <v>HOU</v>
      </c>
      <c r="W18" s="18">
        <f>N18+N19</f>
        <v>45.553683094859565</v>
      </c>
      <c r="X18" s="60" t="str">
        <f>IF(S18&gt;S19,C18,C19)</f>
        <v>HOU</v>
      </c>
      <c r="Y18" s="60" t="str">
        <f>IF(X18=C18,C19,C18)</f>
        <v>ARI</v>
      </c>
      <c r="Z18" s="34" t="e">
        <f>IFERROR(VLOOKUP(A18,#REF!,9,FALSE),VLOOKUP(A18,#REF!,7,FALSE))</f>
        <v>#REF!</v>
      </c>
      <c r="AA18" s="35" t="str">
        <f>IFERROR(VLOOKUP(A18,#REF!,4,FALSE)+VLOOKUP(A18,#REF!,5,FALSE),"")</f>
        <v/>
      </c>
      <c r="AB18" s="60" t="e">
        <f>VLOOKUP(VLOOKUP(A18,#REF!,6,FALSE),$B:$C,2,FALSE)</f>
        <v>#REF!</v>
      </c>
      <c r="AC18" s="37" t="e">
        <f>IF(AB18=V18,U18,-U18)</f>
        <v>#REF!</v>
      </c>
      <c r="AD18" s="36" t="e">
        <f>IFERROR(VLOOKUP(A18,#REF!,6,FALSE),VLOOKUP(A18,#REF!,5,FALSE))</f>
        <v>#REF!</v>
      </c>
      <c r="AE18" s="60" t="str">
        <f>IFERROR(VLOOKUP(A18,#REF!,8,FALSE),"")</f>
        <v/>
      </c>
      <c r="AF18" s="60" t="e">
        <f>IF(AC18-AD18&gt;0,"Underdog",IF(AC18-AD18=0,"Push","Favorite"))</f>
        <v>#REF!</v>
      </c>
      <c r="AG18" s="60" t="str">
        <f>IFERROR(IF(AE18-AD18&gt;0,"Underdog",IF(AE18-AD18=0,"Push","Favorite")),"")</f>
        <v/>
      </c>
      <c r="AI18" t="str">
        <f>IFERROR(VLOOKUP(VLOOKUP(A18,#REF!,10,FALSE),$B:$C,2,FALSE),"")</f>
        <v/>
      </c>
      <c r="AK18" t="str">
        <f>IFERROR(IF(OR(AND(W18-Z18&gt;0,AA18-Z18&gt;0),AND(W18-Z18&lt;0,AA18-Z18&lt;0)),1,-1),"")</f>
        <v/>
      </c>
      <c r="AM18" t="str">
        <f>IF(V18=AI18,1,IF(AI18="","",-1))</f>
        <v/>
      </c>
      <c r="AO18" t="str">
        <f>IFERROR(IF(AF18=AG18,1,IF(AG18="Push",0,-1)),"")</f>
        <v/>
      </c>
      <c r="AR18">
        <f t="shared" si="0"/>
        <v>20231106</v>
      </c>
    </row>
    <row r="19" spans="1:44" ht="15.75" thickBot="1" x14ac:dyDescent="0.3">
      <c r="A19">
        <v>20231106</v>
      </c>
      <c r="B19" s="32" t="s">
        <v>35</v>
      </c>
      <c r="C19" s="33" t="s">
        <v>97</v>
      </c>
      <c r="D19" s="33" t="s">
        <v>58</v>
      </c>
      <c r="E19" s="19">
        <f>VLOOKUP(B19,Sheet1!$B:$L,10,FALSE)/VLOOKUP(B19,Sheet1!$B:$L,11,FALSE)</f>
        <v>0.6283783783783784</v>
      </c>
      <c r="F19" s="20">
        <f>VLOOKUP(B19,Sheet1!$B:$P,15,FALSE)</f>
        <v>6.5</v>
      </c>
      <c r="G19" s="21">
        <f>VLOOKUP(B19,Sheet1!$B:$N,13,FALSE)/VLOOKUP(B19,Sheet1!$B:$L,2,FALSE)</f>
        <v>1.588235294117647</v>
      </c>
      <c r="H19" s="21">
        <f>VLOOKUP(B19,Sheet1!$B:$O,14,FALSE)/VLOOKUP(B19,Sheet1!$B:$L,2,FALSE)</f>
        <v>0.47058823529411764</v>
      </c>
      <c r="I19" s="21">
        <f>VLOOKUP(B19,Sheet1!$AE:$AJ,6,FALSE)</f>
        <v>5.2</v>
      </c>
      <c r="J19" s="21">
        <f>VLOOKUP(B19,Sheet1!$AE:$AK,7,FALSE)/VLOOKUP(B19,Sheet1!$AE:$AF,2,FALSE)</f>
        <v>1.411764705882353</v>
      </c>
      <c r="K19" s="21">
        <f>VLOOKUP(B19,Sheet1!$AE:$AX,20,FALSE)</f>
        <v>3.5</v>
      </c>
      <c r="L19" s="22">
        <f>E19*4+F19*2+G19*6.5-H19*3</f>
        <v>24.425278219395867</v>
      </c>
      <c r="M19" s="23">
        <f>I18*6-J18*3.5-K18</f>
        <v>26.000000000000004</v>
      </c>
      <c r="N19" s="24">
        <f>(L19+M19)/2</f>
        <v>25.212639109697935</v>
      </c>
      <c r="O19" s="21"/>
      <c r="P19" s="21">
        <f>VLOOKUP(B19,Sheet1!$B:$L,3,FALSE)/VLOOKUP(B19,Sheet1!$B:$L,2,FALSE)</f>
        <v>22.176470588235293</v>
      </c>
      <c r="Q19" s="21">
        <f>VLOOKUP(B18,Sheet1!$AE:$AG,3,FALSE)/VLOOKUP(B18,Sheet1!$AE:$AG,2,FALSE)</f>
        <v>26.764705882352942</v>
      </c>
      <c r="R19" s="24">
        <f>(P19+Q19)/2</f>
        <v>24.470588235294116</v>
      </c>
      <c r="S19" s="64">
        <f>ROUND((N19+P19+Q19)/3,2)</f>
        <v>24.72</v>
      </c>
      <c r="T19" s="26" t="s">
        <v>72</v>
      </c>
      <c r="U19" s="27">
        <f>IF(R19&gt;R18,ROUND(R18*2-R19*2,0)/2,ROUND(R19*2-R18*2,0)/2)</f>
        <v>-4.5</v>
      </c>
      <c r="V19" s="27" t="str">
        <f>IF(R18&gt;R19,C18,C19)</f>
        <v>HOU</v>
      </c>
      <c r="W19" s="28">
        <f>R18+R19</f>
        <v>44.558823529411761</v>
      </c>
      <c r="X19" s="66">
        <f>(ROUND(SUMIFS(S:S, C:C, Y18)*2,0)/2)-(ROUND(SUMIFS(S:S, C:C, X18)*2,0)/2)</f>
        <v>-4.5</v>
      </c>
      <c r="Y19" s="60" t="str">
        <f>"+"&amp;ABS(X19)</f>
        <v>+4.5</v>
      </c>
      <c r="Z19" s="34" t="e">
        <f>IFERROR(VLOOKUP(A19,#REF!,9,FALSE),VLOOKUP(A19,#REF!,7,FALSE))</f>
        <v>#REF!</v>
      </c>
      <c r="AA19" s="35" t="str">
        <f>IFERROR(VLOOKUP(A19,#REF!,4,FALSE)+VLOOKUP(A19,#REF!,5,FALSE),"")</f>
        <v/>
      </c>
      <c r="AB19" s="60" t="e">
        <f>VLOOKUP(VLOOKUP(A19,#REF!,6,FALSE),$B:$C,2,FALSE)</f>
        <v>#REF!</v>
      </c>
      <c r="AC19" s="37" t="e">
        <f>IF(AB19=V19,U19,-U19)</f>
        <v>#REF!</v>
      </c>
      <c r="AD19" s="36" t="e">
        <f>IFERROR(VLOOKUP(A19,#REF!,6,FALSE),VLOOKUP(A19,#REF!,5,FALSE))</f>
        <v>#REF!</v>
      </c>
      <c r="AE19" s="60" t="str">
        <f>IFERROR(VLOOKUP(A19,#REF!,8,FALSE),"")</f>
        <v/>
      </c>
      <c r="AF19" s="60" t="e">
        <f>IF(AC19-AD19&gt;0,"Underdog",IF(AC19-AD19=0,"Push","Favorite"))</f>
        <v>#REF!</v>
      </c>
      <c r="AG19" s="60" t="str">
        <f>IFERROR(IF(AE19-AD19&gt;0,"Underdog",IF(AE19-AD19=0,"Push","Favorite")),"")</f>
        <v/>
      </c>
      <c r="AI19" t="str">
        <f>IFERROR(VLOOKUP(VLOOKUP(A19,#REF!,10,FALSE),$B:$C,2,FALSE),"")</f>
        <v/>
      </c>
      <c r="AK19" t="str">
        <f>IFERROR(IF(OR(AND(W19-Z19&gt;0,AA19-Z19&gt;0),AND(W19-Z19&lt;0,AA19-Z19&lt;0)),1,-1),"")</f>
        <v/>
      </c>
      <c r="AM19" t="str">
        <f>IF(V19=AI19,1,IF(AI19="","",-1))</f>
        <v/>
      </c>
      <c r="AO19" t="str">
        <f>IFERROR(IF(AF19=AG19,1,IF(AG19="Push",0,-1)),"")</f>
        <v/>
      </c>
      <c r="AR19">
        <f t="shared" si="0"/>
        <v>20231106</v>
      </c>
    </row>
    <row r="20" spans="1:44" ht="15.75" thickBot="1" x14ac:dyDescent="0.3">
      <c r="B20" s="80" t="s">
        <v>24</v>
      </c>
      <c r="C20" s="80"/>
      <c r="D20" s="80"/>
      <c r="W20" s="1" t="e">
        <f>IF(X20=AB18,X20&amp;" "&amp;Y20,X20&amp;" +"&amp;Y20)</f>
        <v>#REF!</v>
      </c>
      <c r="X20" t="e">
        <f>IF(Y18=AB18,X18,IF(X19-AD18&gt;0,Y18,X18))</f>
        <v>#REF!</v>
      </c>
      <c r="Y20" t="e">
        <f>IF(X20=AB18,AD18,-1*AD18)</f>
        <v>#REF!</v>
      </c>
      <c r="AR20">
        <f t="shared" si="0"/>
        <v>0</v>
      </c>
    </row>
    <row r="21" spans="1:44" x14ac:dyDescent="0.25">
      <c r="A21">
        <v>20231107</v>
      </c>
      <c r="B21" s="29" t="s">
        <v>37</v>
      </c>
      <c r="C21" s="30" t="s">
        <v>89</v>
      </c>
      <c r="D21" s="31" t="s">
        <v>56</v>
      </c>
      <c r="E21" s="9">
        <f>VLOOKUP(B21,Sheet1!$B:$L,10,FALSE)/VLOOKUP(B21,Sheet1!$B:$L,11,FALSE)</f>
        <v>0.61538461538461542</v>
      </c>
      <c r="F21" s="10">
        <f>VLOOKUP(B21,Sheet1!$B:$P,15,FALSE)</f>
        <v>5.5</v>
      </c>
      <c r="G21" s="11">
        <f>VLOOKUP(B21,Sheet1!$B:$N,13,FALSE)/VLOOKUP(B21,Sheet1!$B:$L,2,FALSE)</f>
        <v>0.82352941176470584</v>
      </c>
      <c r="H21" s="11">
        <f>VLOOKUP(B21,Sheet1!$B:$O,14,FALSE)/VLOOKUP(B21,Sheet1!$B:$L,2,FALSE)</f>
        <v>0.6470588235294118</v>
      </c>
      <c r="I21" s="11">
        <f>VLOOKUP(B21,Sheet1!$AE:$AJ,6,FALSE)</f>
        <v>5.2</v>
      </c>
      <c r="J21" s="11">
        <f>VLOOKUP(B21,Sheet1!$AE:$AK,7,FALSE)/VLOOKUP(B21,Sheet1!$AE:$AF,2,FALSE)</f>
        <v>0.82352941176470584</v>
      </c>
      <c r="K21" s="11">
        <f>VLOOKUP(B21,Sheet1!$AE:$AX,20,FALSE)</f>
        <v>3.8</v>
      </c>
      <c r="L21" s="12">
        <f>E21*4+F21*2+G21*6.5-H21*3</f>
        <v>16.873303167420815</v>
      </c>
      <c r="M21" s="13">
        <f>I22*6-J22*3.5-K22</f>
        <v>22.641176470588242</v>
      </c>
      <c r="N21" s="14">
        <f>(L21+M21)/2</f>
        <v>19.757239819004528</v>
      </c>
      <c r="O21" s="11"/>
      <c r="P21" s="11">
        <f>VLOOKUP(B21,Sheet1!$B:$L,3,FALSE)/VLOOKUP(B21,Sheet1!$B:$L,2,FALSE)</f>
        <v>17.941176470588236</v>
      </c>
      <c r="Q21" s="11">
        <f>VLOOKUP(B22,Sheet1!$AE:$AG,3,FALSE)/VLOOKUP(B22,Sheet1!$AE:$AG,2,FALSE)</f>
        <v>21.823529411764707</v>
      </c>
      <c r="R21" s="14">
        <f>(P21+Q21)/2</f>
        <v>19.882352941176471</v>
      </c>
      <c r="S21" s="63">
        <f>ROUND((N21+P21+Q21)/3,2)</f>
        <v>19.84</v>
      </c>
      <c r="T21" s="16" t="s">
        <v>71</v>
      </c>
      <c r="U21" s="17">
        <f>IF(N22&gt;N21,ROUND(N21*2-N22*2,0)/2,ROUND(N22*2-N21*2,0)/2)</f>
        <v>-3</v>
      </c>
      <c r="V21" s="17" t="str">
        <f>IF(N21&gt;N22,C21,C22)</f>
        <v>JAX</v>
      </c>
      <c r="W21" s="18">
        <f>N21+N22</f>
        <v>42.51568384177493</v>
      </c>
      <c r="X21" s="60" t="str">
        <f>IF(S21&gt;S22,C21,C22)</f>
        <v>JAX</v>
      </c>
      <c r="Y21" s="60" t="str">
        <f>IF(X21=C21,C22,C21)</f>
        <v>TEN</v>
      </c>
      <c r="Z21" s="34" t="e">
        <f>IFERROR(VLOOKUP(A21,#REF!,9,FALSE),VLOOKUP(A21,#REF!,7,FALSE))</f>
        <v>#REF!</v>
      </c>
      <c r="AA21" s="35" t="str">
        <f>IFERROR(VLOOKUP(A21,#REF!,4,FALSE)+VLOOKUP(A21,#REF!,5,FALSE),"")</f>
        <v/>
      </c>
      <c r="AB21" s="60" t="e">
        <f>VLOOKUP(VLOOKUP(A21,#REF!,6,FALSE),$B:$C,2,FALSE)</f>
        <v>#REF!</v>
      </c>
      <c r="AC21" s="37" t="e">
        <f>IF(AB21=V21,U21,-U21)</f>
        <v>#REF!</v>
      </c>
      <c r="AD21" s="36" t="e">
        <f>IFERROR(VLOOKUP(A21,#REF!,6,FALSE),VLOOKUP(A21,#REF!,5,FALSE))</f>
        <v>#REF!</v>
      </c>
      <c r="AE21" s="60" t="str">
        <f>IFERROR(VLOOKUP(A21,#REF!,8,FALSE),"")</f>
        <v/>
      </c>
      <c r="AF21" s="60" t="e">
        <f>IF(AC21-AD21&gt;0,"Underdog",IF(AC21-AD21=0,"Push","Favorite"))</f>
        <v>#REF!</v>
      </c>
      <c r="AG21" s="60" t="str">
        <f>IFERROR(IF(AE21-AD21&gt;0,"Underdog",IF(AE21-AD21=0,"Push","Favorite")),"")</f>
        <v/>
      </c>
      <c r="AI21" t="str">
        <f>IFERROR(VLOOKUP(VLOOKUP(A21,#REF!,10,FALSE),$B:$C,2,FALSE),"")</f>
        <v/>
      </c>
      <c r="AK21" t="str">
        <f>IFERROR(IF(OR(AND(W21-Z21&gt;0,AA21-Z21&gt;0),AND(W21-Z21&lt;0,AA21-Z21&lt;0)),1,-1),"")</f>
        <v/>
      </c>
      <c r="AM21" t="str">
        <f>IF(V21=AI21,1,IF(AI21="","",-1))</f>
        <v/>
      </c>
      <c r="AO21" t="str">
        <f>IFERROR(IF(AF21=AG21,1,IF(AG21="Push",0,-1)),"")</f>
        <v/>
      </c>
      <c r="AR21">
        <f t="shared" si="0"/>
        <v>20231107</v>
      </c>
    </row>
    <row r="22" spans="1:44" ht="15.75" thickBot="1" x14ac:dyDescent="0.3">
      <c r="A22">
        <v>20231107</v>
      </c>
      <c r="B22" s="32" t="s">
        <v>25</v>
      </c>
      <c r="C22" s="33" t="s">
        <v>116</v>
      </c>
      <c r="D22" s="33" t="s">
        <v>58</v>
      </c>
      <c r="E22" s="19">
        <f>VLOOKUP(B22,Sheet1!$B:$L,10,FALSE)/VLOOKUP(B22,Sheet1!$B:$L,11,FALSE)</f>
        <v>0.6645161290322581</v>
      </c>
      <c r="F22" s="20">
        <f>VLOOKUP(B22,Sheet1!$B:$P,15,FALSE)</f>
        <v>6.2</v>
      </c>
      <c r="G22" s="21">
        <f>VLOOKUP(B22,Sheet1!$B:$N,13,FALSE)/VLOOKUP(B22,Sheet1!$B:$L,2,FALSE)</f>
        <v>1.2941176470588236</v>
      </c>
      <c r="H22" s="21">
        <f>VLOOKUP(B22,Sheet1!$B:$O,14,FALSE)/VLOOKUP(B22,Sheet1!$B:$L,2,FALSE)</f>
        <v>0.82352941176470584</v>
      </c>
      <c r="I22" s="21">
        <f>VLOOKUP(B22,Sheet1!$AE:$AJ,6,FALSE)</f>
        <v>5.4</v>
      </c>
      <c r="J22" s="21">
        <f>VLOOKUP(B22,Sheet1!$AE:$AK,7,FALSE)/VLOOKUP(B22,Sheet1!$AE:$AF,2,FALSE)</f>
        <v>1.588235294117647</v>
      </c>
      <c r="K22" s="21">
        <f>VLOOKUP(B22,Sheet1!$AE:$AX,20,FALSE)</f>
        <v>4.2</v>
      </c>
      <c r="L22" s="22">
        <f>E22*4+F22*2+G22*6.5-H22*3</f>
        <v>20.999240986717268</v>
      </c>
      <c r="M22" s="23">
        <f>I21*6-J21*3.5-K21</f>
        <v>24.517647058823531</v>
      </c>
      <c r="N22" s="24">
        <f>(L22+M22)/2</f>
        <v>22.758444022770398</v>
      </c>
      <c r="O22" s="21"/>
      <c r="P22" s="21">
        <f>VLOOKUP(B22,Sheet1!$B:$L,3,FALSE)/VLOOKUP(B22,Sheet1!$B:$L,2,FALSE)</f>
        <v>22.176470588235293</v>
      </c>
      <c r="Q22" s="21">
        <f>VLOOKUP(B21,Sheet1!$AE:$AG,3,FALSE)/VLOOKUP(B21,Sheet1!$AE:$AG,2,FALSE)</f>
        <v>21.588235294117649</v>
      </c>
      <c r="R22" s="24">
        <f>(P22+Q22)/2</f>
        <v>21.882352941176471</v>
      </c>
      <c r="S22" s="64">
        <f>ROUND((N22+P22+Q22)/3,2)</f>
        <v>22.17</v>
      </c>
      <c r="T22" s="26" t="s">
        <v>72</v>
      </c>
      <c r="U22" s="27">
        <f>IF(R22&gt;R21,ROUND(R21*2-R22*2,0)/2,ROUND(R22*2-R21*2,0)/2)</f>
        <v>-2</v>
      </c>
      <c r="V22" s="27" t="str">
        <f>IF(R21&gt;R22,C21,C22)</f>
        <v>JAX</v>
      </c>
      <c r="W22" s="28">
        <f>R21+R22</f>
        <v>41.764705882352942</v>
      </c>
      <c r="X22" s="66">
        <f>(ROUND(SUMIFS(S:S, C:C, Y21)*2,0)/2)-(ROUND(SUMIFS(S:S, C:C, X21)*2,0)/2)</f>
        <v>-2</v>
      </c>
      <c r="Y22" s="60" t="str">
        <f>"+"&amp;ABS(X22)</f>
        <v>+2</v>
      </c>
      <c r="Z22" s="34" t="e">
        <f>IFERROR(VLOOKUP(A22,#REF!,9,FALSE),VLOOKUP(A22,#REF!,7,FALSE))</f>
        <v>#REF!</v>
      </c>
      <c r="AA22" s="35" t="str">
        <f>IFERROR(VLOOKUP(A22,#REF!,4,FALSE)+VLOOKUP(A22,#REF!,5,FALSE),"")</f>
        <v/>
      </c>
      <c r="AB22" s="60" t="e">
        <f>VLOOKUP(VLOOKUP(A22,#REF!,6,FALSE),$B:$C,2,FALSE)</f>
        <v>#REF!</v>
      </c>
      <c r="AC22" s="37" t="e">
        <f>IF(AB22=V22,U22,-U22)</f>
        <v>#REF!</v>
      </c>
      <c r="AD22" s="36" t="e">
        <f>IFERROR(VLOOKUP(A22,#REF!,6,FALSE),VLOOKUP(A22,#REF!,5,FALSE))</f>
        <v>#REF!</v>
      </c>
      <c r="AE22" s="60" t="str">
        <f>IFERROR(VLOOKUP(A22,#REF!,8,FALSE),"")</f>
        <v/>
      </c>
      <c r="AF22" s="60" t="e">
        <f>IF(AC22-AD22&gt;0,"Underdog",IF(AC22-AD22=0,"Push","Favorite"))</f>
        <v>#REF!</v>
      </c>
      <c r="AG22" s="60" t="str">
        <f>IFERROR(IF(AE22-AD22&gt;0,"Underdog",IF(AE22-AD22=0,"Push","Favorite")),"")</f>
        <v/>
      </c>
      <c r="AI22" t="str">
        <f>IFERROR(VLOOKUP(VLOOKUP(A22,#REF!,10,FALSE),$B:$C,2,FALSE),"")</f>
        <v/>
      </c>
      <c r="AK22" t="str">
        <f>IFERROR(IF(OR(AND(W22-Z22&gt;0,AA22-Z22&gt;0),AND(W22-Z22&lt;0,AA22-Z22&lt;0)),1,-1),"")</f>
        <v/>
      </c>
      <c r="AM22" t="str">
        <f>IF(V22=AI22,1,IF(AI22="","",-1))</f>
        <v/>
      </c>
      <c r="AO22" t="str">
        <f>IFERROR(IF(AF22=AG22,1,IF(AG22="Push",0,-1)),"")</f>
        <v/>
      </c>
      <c r="AR22">
        <f t="shared" si="0"/>
        <v>20231107</v>
      </c>
    </row>
    <row r="23" spans="1:44" ht="15.75" thickBot="1" x14ac:dyDescent="0.3">
      <c r="B23" s="80" t="s">
        <v>24</v>
      </c>
      <c r="C23" s="80"/>
      <c r="D23" s="80"/>
      <c r="W23" s="1" t="e">
        <f>IF(X23=AB21,X23&amp;" "&amp;Y23,X23&amp;" +"&amp;Y23)</f>
        <v>#REF!</v>
      </c>
      <c r="X23" t="e">
        <f>IF(Y21=AB21,X21,IF(X22-AD21&gt;0,Y21,X21))</f>
        <v>#REF!</v>
      </c>
      <c r="Y23" t="e">
        <f>IF(X23=AB21,AD21,-1*AD21)</f>
        <v>#REF!</v>
      </c>
      <c r="AR23">
        <f t="shared" si="0"/>
        <v>0</v>
      </c>
    </row>
    <row r="24" spans="1:44" x14ac:dyDescent="0.25">
      <c r="A24">
        <v>20231108</v>
      </c>
      <c r="B24" s="29" t="s">
        <v>40</v>
      </c>
      <c r="C24" s="30" t="s">
        <v>109</v>
      </c>
      <c r="D24" s="31" t="s">
        <v>56</v>
      </c>
      <c r="E24" s="9">
        <f>VLOOKUP(B24,Sheet1!$B:$L,10,FALSE)/VLOOKUP(B24,Sheet1!$B:$L,11,FALSE)</f>
        <v>0.62477558348294437</v>
      </c>
      <c r="F24" s="10">
        <f>VLOOKUP(B24,Sheet1!$B:$P,15,FALSE)</f>
        <v>5.7</v>
      </c>
      <c r="G24" s="11">
        <f>VLOOKUP(B24,Sheet1!$B:$N,13,FALSE)/VLOOKUP(B24,Sheet1!$B:$L,2,FALSE)</f>
        <v>1.1764705882352942</v>
      </c>
      <c r="H24" s="11">
        <f>VLOOKUP(B24,Sheet1!$B:$O,14,FALSE)/VLOOKUP(B24,Sheet1!$B:$L,2,FALSE)</f>
        <v>1.0588235294117647</v>
      </c>
      <c r="I24" s="11">
        <f>VLOOKUP(B24,Sheet1!$AE:$AJ,6,FALSE)</f>
        <v>5.2</v>
      </c>
      <c r="J24" s="11">
        <f>VLOOKUP(B24,Sheet1!$AE:$AK,7,FALSE)/VLOOKUP(B24,Sheet1!$AE:$AF,2,FALSE)</f>
        <v>1.2941176470588236</v>
      </c>
      <c r="K24" s="11">
        <f>VLOOKUP(B24,Sheet1!$AE:$AX,20,FALSE)</f>
        <v>4.2</v>
      </c>
      <c r="L24" s="12">
        <f>E24*4+F24*2+G24*6.5-H24*3</f>
        <v>18.369690569225895</v>
      </c>
      <c r="M24" s="13">
        <f>I25*6-J25*3.5-K25</f>
        <v>21.241176470588233</v>
      </c>
      <c r="N24" s="14">
        <f>(L24+M24)/2</f>
        <v>19.805433519907062</v>
      </c>
      <c r="O24" s="11"/>
      <c r="P24" s="11">
        <f>VLOOKUP(B24,Sheet1!$B:$L,3,FALSE)/VLOOKUP(B24,Sheet1!$B:$L,2,FALSE)</f>
        <v>19.529411764705884</v>
      </c>
      <c r="Q24" s="11">
        <f>VLOOKUP(B25,Sheet1!$AE:$AG,3,FALSE)/VLOOKUP(B25,Sheet1!$AE:$AG,2,FALSE)</f>
        <v>23</v>
      </c>
      <c r="R24" s="14">
        <f>(P24+Q24)/2</f>
        <v>21.264705882352942</v>
      </c>
      <c r="S24" s="63">
        <f>ROUND((N24+P24+Q24)/3,2)</f>
        <v>20.78</v>
      </c>
      <c r="T24" s="16" t="s">
        <v>71</v>
      </c>
      <c r="U24" s="17">
        <f>IF(N25&gt;N24,ROUND(N24*2-N25*2,0)/2,ROUND(N25*2-N24*2,0)/2)</f>
        <v>-5</v>
      </c>
      <c r="V24" s="17" t="str">
        <f>IF(N24&gt;N25,C24,C25)</f>
        <v>MIA</v>
      </c>
      <c r="W24" s="18">
        <f>N24+N25</f>
        <v>44.441184922941773</v>
      </c>
      <c r="X24" s="60" t="str">
        <f>IF(S24&gt;S25,C24,C25)</f>
        <v>MIA</v>
      </c>
      <c r="Y24" s="60" t="str">
        <f>IF(X24=C24,C25,C24)</f>
        <v>LV</v>
      </c>
      <c r="Z24" s="34" t="e">
        <f>IFERROR(VLOOKUP(A24,#REF!,9,FALSE),VLOOKUP(A24,#REF!,7,FALSE))</f>
        <v>#REF!</v>
      </c>
      <c r="AA24" s="35" t="str">
        <f>IFERROR(VLOOKUP(A24,#REF!,4,FALSE)+VLOOKUP(A24,#REF!,5,FALSE),"")</f>
        <v/>
      </c>
      <c r="AB24" s="60" t="e">
        <f>VLOOKUP(VLOOKUP(A24,#REF!,6,FALSE),$B:$C,2,FALSE)</f>
        <v>#REF!</v>
      </c>
      <c r="AC24" s="37" t="e">
        <f>IF(AB24=V24,U24,-U24)</f>
        <v>#REF!</v>
      </c>
      <c r="AD24" s="36" t="e">
        <f>IFERROR(VLOOKUP(A24,#REF!,6,FALSE),VLOOKUP(A24,#REF!,5,FALSE))</f>
        <v>#REF!</v>
      </c>
      <c r="AE24" s="60" t="str">
        <f>IFERROR(VLOOKUP(A24,#REF!,8,FALSE),"")</f>
        <v/>
      </c>
      <c r="AF24" s="60" t="e">
        <f>IF(AC24-AD24&gt;0,"Underdog",IF(AC24-AD24=0,"Push","Favorite"))</f>
        <v>#REF!</v>
      </c>
      <c r="AG24" s="60" t="str">
        <f>IFERROR(IF(AE24-AD24&gt;0,"Underdog",IF(AE24-AD24=0,"Push","Favorite")),"")</f>
        <v/>
      </c>
      <c r="AI24" t="str">
        <f>IFERROR(VLOOKUP(VLOOKUP(A24,#REF!,10,FALSE),$B:$C,2,FALSE),"")</f>
        <v/>
      </c>
      <c r="AK24" t="str">
        <f>IFERROR(IF(OR(AND(W24-Z24&gt;0,AA24-Z24&gt;0),AND(W24-Z24&lt;0,AA24-Z24&lt;0)),1,-1),"")</f>
        <v/>
      </c>
      <c r="AM24" t="str">
        <f>IF(V24=AI24,1,IF(AI24="","",-1))</f>
        <v/>
      </c>
      <c r="AO24" t="str">
        <f>IFERROR(IF(AF24=AG24,1,IF(AG24="Push",0,-1)),"")</f>
        <v/>
      </c>
      <c r="AR24">
        <f t="shared" si="0"/>
        <v>20231108</v>
      </c>
    </row>
    <row r="25" spans="1:44" ht="15.75" thickBot="1" x14ac:dyDescent="0.3">
      <c r="A25">
        <v>20231108</v>
      </c>
      <c r="B25" s="32" t="s">
        <v>26</v>
      </c>
      <c r="C25" s="33" t="s">
        <v>93</v>
      </c>
      <c r="D25" s="33" t="s">
        <v>58</v>
      </c>
      <c r="E25" s="19">
        <f>VLOOKUP(B25,Sheet1!$B:$L,10,FALSE)/VLOOKUP(B25,Sheet1!$B:$L,11,FALSE)</f>
        <v>0.69434628975265023</v>
      </c>
      <c r="F25" s="20">
        <f>VLOOKUP(B25,Sheet1!$B:$P,15,FALSE)</f>
        <v>7.6</v>
      </c>
      <c r="G25" s="21">
        <f>VLOOKUP(B25,Sheet1!$B:$N,13,FALSE)/VLOOKUP(B25,Sheet1!$B:$L,2,FALSE)</f>
        <v>1.7647058823529411</v>
      </c>
      <c r="H25" s="21">
        <f>VLOOKUP(B25,Sheet1!$B:$O,14,FALSE)/VLOOKUP(B25,Sheet1!$B:$L,2,FALSE)</f>
        <v>0.88235294117647056</v>
      </c>
      <c r="I25" s="21">
        <f>VLOOKUP(B25,Sheet1!$AE:$AJ,6,FALSE)</f>
        <v>5.0999999999999996</v>
      </c>
      <c r="J25" s="21">
        <f>VLOOKUP(B25,Sheet1!$AE:$AK,7,FALSE)/VLOOKUP(B25,Sheet1!$AE:$AF,2,FALSE)</f>
        <v>1.588235294117647</v>
      </c>
      <c r="K25" s="21">
        <f>VLOOKUP(B25,Sheet1!$AE:$AX,20,FALSE)</f>
        <v>3.8</v>
      </c>
      <c r="L25" s="22">
        <f>E25*4+F25*2+G25*6.5-H25*3</f>
        <v>26.800914570775305</v>
      </c>
      <c r="M25" s="23">
        <f>I24*6-J24*3.5-K24</f>
        <v>22.47058823529412</v>
      </c>
      <c r="N25" s="24">
        <f>(L25+M25)/2</f>
        <v>24.63575140303471</v>
      </c>
      <c r="O25" s="21"/>
      <c r="P25" s="21">
        <f>VLOOKUP(B25,Sheet1!$B:$L,3,FALSE)/VLOOKUP(B25,Sheet1!$B:$L,2,FALSE)</f>
        <v>29.176470588235293</v>
      </c>
      <c r="Q25" s="21">
        <f>VLOOKUP(B24,Sheet1!$AE:$AG,3,FALSE)/VLOOKUP(B24,Sheet1!$AE:$AG,2,FALSE)</f>
        <v>19.470588235294116</v>
      </c>
      <c r="R25" s="24">
        <f>(P25+Q25)/2</f>
        <v>24.323529411764703</v>
      </c>
      <c r="S25" s="64">
        <f>ROUND((N25+P25+Q25)/3,2)</f>
        <v>24.43</v>
      </c>
      <c r="T25" s="26" t="s">
        <v>72</v>
      </c>
      <c r="U25" s="27">
        <f>IF(R25&gt;R24,ROUND(R24*2-R25*2,0)/2,ROUND(R25*2-R24*2,0)/2)</f>
        <v>-3</v>
      </c>
      <c r="V25" s="27" t="str">
        <f>IF(R24&gt;R25,C24,C25)</f>
        <v>MIA</v>
      </c>
      <c r="W25" s="28">
        <f>R24+R25</f>
        <v>45.588235294117645</v>
      </c>
      <c r="X25" s="66">
        <f>(ROUND(SUMIFS(S:S, C:C, Y24)*2,0)/2)-(ROUND(SUMIFS(S:S, C:C, X24)*2,0)/2)</f>
        <v>-3.5</v>
      </c>
      <c r="Y25" s="60" t="str">
        <f>"+"&amp;ABS(X25)</f>
        <v>+3.5</v>
      </c>
      <c r="Z25" s="34" t="e">
        <f>IFERROR(VLOOKUP(A25,#REF!,9,FALSE),VLOOKUP(A25,#REF!,7,FALSE))</f>
        <v>#REF!</v>
      </c>
      <c r="AA25" s="35" t="str">
        <f>IFERROR(VLOOKUP(A25,#REF!,4,FALSE)+VLOOKUP(A25,#REF!,5,FALSE),"")</f>
        <v/>
      </c>
      <c r="AB25" s="60" t="e">
        <f>VLOOKUP(VLOOKUP(A25,#REF!,6,FALSE),$B:$C,2,FALSE)</f>
        <v>#REF!</v>
      </c>
      <c r="AC25" s="37" t="e">
        <f>IF(AB25=V25,U25,-U25)</f>
        <v>#REF!</v>
      </c>
      <c r="AD25" s="36" t="e">
        <f>IFERROR(VLOOKUP(A25,#REF!,6,FALSE),VLOOKUP(A25,#REF!,5,FALSE))</f>
        <v>#REF!</v>
      </c>
      <c r="AE25" s="60" t="str">
        <f>IFERROR(VLOOKUP(A25,#REF!,8,FALSE),"")</f>
        <v/>
      </c>
      <c r="AF25" s="60" t="e">
        <f>IF(AC25-AD25&gt;0,"Underdog",IF(AC25-AD25=0,"Push","Favorite"))</f>
        <v>#REF!</v>
      </c>
      <c r="AG25" s="60" t="str">
        <f>IFERROR(IF(AE25-AD25&gt;0,"Underdog",IF(AE25-AD25=0,"Push","Favorite")),"")</f>
        <v/>
      </c>
      <c r="AI25" t="str">
        <f>IFERROR(VLOOKUP(VLOOKUP(A25,#REF!,10,FALSE),$B:$C,2,FALSE),"")</f>
        <v/>
      </c>
      <c r="AK25" t="str">
        <f>IFERROR(IF(OR(AND(W25-Z25&gt;0,AA25-Z25&gt;0),AND(W25-Z25&lt;0,AA25-Z25&lt;0)),1,-1),"")</f>
        <v/>
      </c>
      <c r="AM25" t="str">
        <f>IF(V25=AI25,1,IF(AI25="","",-1))</f>
        <v/>
      </c>
      <c r="AO25" t="str">
        <f>IFERROR(IF(AF25=AG25,1,IF(AG25="Push",0,-1)),"")</f>
        <v/>
      </c>
      <c r="AR25">
        <f t="shared" si="0"/>
        <v>20231108</v>
      </c>
    </row>
    <row r="26" spans="1:44" ht="15.75" thickBot="1" x14ac:dyDescent="0.3">
      <c r="B26" s="80" t="s">
        <v>24</v>
      </c>
      <c r="C26" s="80"/>
      <c r="D26" s="80"/>
      <c r="W26" s="1" t="e">
        <f>IF(X26=AB24,X26&amp;" "&amp;Y26,X26&amp;" +"&amp;Y26)</f>
        <v>#REF!</v>
      </c>
      <c r="X26" t="e">
        <f>IF(Y24=AB24,X24,IF(X25-AD24&gt;0,Y24,X24))</f>
        <v>#REF!</v>
      </c>
      <c r="Y26" t="e">
        <f>IF(X26=AB24,AD24,-1*AD24)</f>
        <v>#REF!</v>
      </c>
      <c r="AR26">
        <f t="shared" si="0"/>
        <v>0</v>
      </c>
    </row>
    <row r="27" spans="1:44" x14ac:dyDescent="0.25">
      <c r="A27">
        <v>20231109</v>
      </c>
      <c r="B27" s="29" t="s">
        <v>46</v>
      </c>
      <c r="C27" s="30" t="s">
        <v>108</v>
      </c>
      <c r="D27" s="31" t="s">
        <v>56</v>
      </c>
      <c r="E27" s="9">
        <f>VLOOKUP(B27,Sheet1!$B:$L,10,FALSE)/VLOOKUP(B27,Sheet1!$B:$L,11,FALSE)</f>
        <v>0.65250965250965254</v>
      </c>
      <c r="F27" s="10">
        <f>VLOOKUP(B27,Sheet1!$B:$P,15,FALSE)</f>
        <v>4.8</v>
      </c>
      <c r="G27" s="11">
        <f>VLOOKUP(B27,Sheet1!$B:$N,13,FALSE)/VLOOKUP(B27,Sheet1!$B:$L,2,FALSE)</f>
        <v>0.88235294117647056</v>
      </c>
      <c r="H27" s="11">
        <f>VLOOKUP(B27,Sheet1!$B:$O,14,FALSE)/VLOOKUP(B27,Sheet1!$B:$L,2,FALSE)</f>
        <v>0.70588235294117652</v>
      </c>
      <c r="I27" s="11">
        <f>VLOOKUP(B27,Sheet1!$AE:$AJ,6,FALSE)</f>
        <v>5.6</v>
      </c>
      <c r="J27" s="11">
        <f>VLOOKUP(B27,Sheet1!$AE:$AK,7,FALSE)/VLOOKUP(B27,Sheet1!$AE:$AF,2,FALSE)</f>
        <v>1.8235294117647058</v>
      </c>
      <c r="K27" s="11">
        <f>VLOOKUP(B27,Sheet1!$AE:$AX,20,FALSE)</f>
        <v>4.7</v>
      </c>
      <c r="L27" s="12">
        <f>E27*4+F27*2+G27*6.5-H27*3</f>
        <v>15.827685668862138</v>
      </c>
      <c r="M27" s="13">
        <f>I28*6-J28*3.5-K28</f>
        <v>27.194117647058828</v>
      </c>
      <c r="N27" s="14">
        <f>(L27+M27)/2</f>
        <v>21.510901657960481</v>
      </c>
      <c r="O27" s="11"/>
      <c r="P27" s="11">
        <f>VLOOKUP(B27,Sheet1!$B:$L,3,FALSE)/VLOOKUP(B27,Sheet1!$B:$L,2,FALSE)</f>
        <v>15.647058823529411</v>
      </c>
      <c r="Q27" s="11">
        <f>VLOOKUP(B28,Sheet1!$AE:$AG,3,FALSE)/VLOOKUP(B28,Sheet1!$AE:$AG,2,FALSE)</f>
        <v>30.470588235294116</v>
      </c>
      <c r="R27" s="14">
        <f>(P27+Q27)/2</f>
        <v>23.058823529411764</v>
      </c>
      <c r="S27" s="63">
        <f>ROUND((N27+P27+Q27)/3,2)</f>
        <v>22.54</v>
      </c>
      <c r="T27" s="16" t="s">
        <v>71</v>
      </c>
      <c r="U27" s="17">
        <f>IF(N28&gt;N27,ROUND(N27*2-N28*2,0)/2,ROUND(N28*2-N27*2,0)/2)</f>
        <v>-1</v>
      </c>
      <c r="V27" s="17" t="str">
        <f>IF(N27&gt;N28,C27,C28)</f>
        <v>NYG</v>
      </c>
      <c r="W27" s="18">
        <f>N27+N28</f>
        <v>42.084893518855779</v>
      </c>
      <c r="X27" s="60" t="str">
        <f>IF(S27&gt;S28,C27,C28)</f>
        <v>NYG</v>
      </c>
      <c r="Y27" s="60" t="str">
        <f>IF(X27=C27,C28,C27)</f>
        <v>WAS</v>
      </c>
      <c r="Z27" s="34" t="e">
        <f>IFERROR(VLOOKUP(A27,#REF!,9,FALSE),VLOOKUP(A27,#REF!,7,FALSE))</f>
        <v>#REF!</v>
      </c>
      <c r="AA27" s="35" t="str">
        <f>IFERROR(VLOOKUP(A27,#REF!,4,FALSE)+VLOOKUP(A27,#REF!,5,FALSE),"")</f>
        <v/>
      </c>
      <c r="AB27" s="60" t="e">
        <f>VLOOKUP(VLOOKUP(A27,#REF!,6,FALSE),$B:$C,2,FALSE)</f>
        <v>#REF!</v>
      </c>
      <c r="AC27" s="37" t="e">
        <f>IF(AB27=V27,U27,-U27)</f>
        <v>#REF!</v>
      </c>
      <c r="AD27" s="36" t="e">
        <f>IFERROR(VLOOKUP(A27,#REF!,6,FALSE),VLOOKUP(A27,#REF!,5,FALSE))</f>
        <v>#REF!</v>
      </c>
      <c r="AE27" s="60" t="str">
        <f>IFERROR(VLOOKUP(A27,#REF!,8,FALSE),"")</f>
        <v/>
      </c>
      <c r="AF27" s="60" t="e">
        <f>IF(AC27-AD27&gt;0,"Underdog",IF(AC27-AD27=0,"Push","Favorite"))</f>
        <v>#REF!</v>
      </c>
      <c r="AG27" s="60" t="str">
        <f>IFERROR(IF(AE27-AD27&gt;0,"Underdog",IF(AE27-AD27=0,"Push","Favorite")),"")</f>
        <v/>
      </c>
      <c r="AI27" t="str">
        <f>IFERROR(VLOOKUP(VLOOKUP(A27,#REF!,10,FALSE),$B:$C,2,FALSE),"")</f>
        <v/>
      </c>
      <c r="AK27" t="str">
        <f>IFERROR(IF(OR(AND(W27-Z27&gt;0,AA27-Z27&gt;0),AND(W27-Z27&lt;0,AA27-Z27&lt;0)),1,-1),"")</f>
        <v/>
      </c>
      <c r="AM27" t="str">
        <f>IF(V27=AI27,1,IF(AI27="","",-1))</f>
        <v/>
      </c>
      <c r="AO27" t="str">
        <f>IFERROR(IF(AF27=AG27,1,IF(AG27="Push",0,-1)),"")</f>
        <v/>
      </c>
      <c r="AR27">
        <f t="shared" si="0"/>
        <v>20231109</v>
      </c>
    </row>
    <row r="28" spans="1:44" ht="15.75" thickBot="1" x14ac:dyDescent="0.3">
      <c r="A28">
        <v>20231109</v>
      </c>
      <c r="B28" s="32" t="s">
        <v>38</v>
      </c>
      <c r="C28" s="33" t="s">
        <v>99</v>
      </c>
      <c r="D28" s="33" t="s">
        <v>58</v>
      </c>
      <c r="E28" s="19">
        <f>VLOOKUP(B28,Sheet1!$B:$L,10,FALSE)/VLOOKUP(B28,Sheet1!$B:$L,11,FALSE)</f>
        <v>0.63993710691823902</v>
      </c>
      <c r="F28" s="20">
        <f>VLOOKUP(B28,Sheet1!$B:$P,15,FALSE)</f>
        <v>5.3</v>
      </c>
      <c r="G28" s="21">
        <f>VLOOKUP(B28,Sheet1!$B:$N,13,FALSE)/VLOOKUP(B28,Sheet1!$B:$L,2,FALSE)</f>
        <v>1.411764705882353</v>
      </c>
      <c r="H28" s="21">
        <f>VLOOKUP(B28,Sheet1!$B:$O,14,FALSE)/VLOOKUP(B28,Sheet1!$B:$L,2,FALSE)</f>
        <v>1.2352941176470589</v>
      </c>
      <c r="I28" s="21">
        <f>VLOOKUP(B28,Sheet1!$AE:$AJ,6,FALSE)</f>
        <v>5.9</v>
      </c>
      <c r="J28" s="21">
        <f>VLOOKUP(B28,Sheet1!$AE:$AK,7,FALSE)/VLOOKUP(B28,Sheet1!$AE:$AF,2,FALSE)</f>
        <v>1.0588235294117647</v>
      </c>
      <c r="K28" s="21">
        <f>VLOOKUP(B28,Sheet1!$AE:$AX,20,FALSE)</f>
        <v>4.5</v>
      </c>
      <c r="L28" s="22">
        <f>E28*4+F28*2+G28*6.5-H28*3</f>
        <v>18.630336662967071</v>
      </c>
      <c r="M28" s="23">
        <f>I27*6-J27*3.5-K27</f>
        <v>22.517647058823524</v>
      </c>
      <c r="N28" s="24">
        <f>(L28+M28)/2</f>
        <v>20.573991860895298</v>
      </c>
      <c r="O28" s="21"/>
      <c r="P28" s="21">
        <f>VLOOKUP(B28,Sheet1!$B:$L,3,FALSE)/VLOOKUP(B28,Sheet1!$B:$L,2,FALSE)</f>
        <v>19.352941176470587</v>
      </c>
      <c r="Q28" s="21">
        <f>VLOOKUP(B27,Sheet1!$AE:$AG,3,FALSE)/VLOOKUP(B27,Sheet1!$AE:$AG,2,FALSE)</f>
        <v>23.941176470588236</v>
      </c>
      <c r="R28" s="24">
        <f>(P28+Q28)/2</f>
        <v>21.647058823529413</v>
      </c>
      <c r="S28" s="64">
        <f>ROUND((N28+P28+Q28)/3,2)</f>
        <v>21.29</v>
      </c>
      <c r="T28" s="26" t="s">
        <v>72</v>
      </c>
      <c r="U28" s="27">
        <f>IF(R28&gt;R27,ROUND(R27*2-R28*2,0)/2,ROUND(R28*2-R27*2,0)/2)</f>
        <v>-1.5</v>
      </c>
      <c r="V28" s="27" t="str">
        <f>IF(R27&gt;R28,C27,C28)</f>
        <v>NYG</v>
      </c>
      <c r="W28" s="28">
        <f>R27+R28</f>
        <v>44.705882352941174</v>
      </c>
      <c r="X28" s="66">
        <f>(ROUND(SUMIFS(S:S, C:C, Y27)*2,0)/2)-(ROUND(SUMIFS(S:S, C:C, X27)*2,0)/2)</f>
        <v>-21</v>
      </c>
      <c r="Y28" s="60" t="str">
        <f>"+"&amp;ABS(X28)</f>
        <v>+21</v>
      </c>
      <c r="Z28" s="34" t="e">
        <f>IFERROR(VLOOKUP(A28,#REF!,9,FALSE),VLOOKUP(A28,#REF!,7,FALSE))</f>
        <v>#REF!</v>
      </c>
      <c r="AA28" s="35" t="str">
        <f>IFERROR(VLOOKUP(A28,#REF!,4,FALSE)+VLOOKUP(A28,#REF!,5,FALSE),"")</f>
        <v/>
      </c>
      <c r="AB28" s="60" t="e">
        <f>VLOOKUP(VLOOKUP(A28,#REF!,6,FALSE),$B:$C,2,FALSE)</f>
        <v>#REF!</v>
      </c>
      <c r="AC28" s="37" t="e">
        <f>IF(AB28=V28,U28,-U28)</f>
        <v>#REF!</v>
      </c>
      <c r="AD28" s="36" t="e">
        <f>IFERROR(VLOOKUP(A28,#REF!,6,FALSE),VLOOKUP(A28,#REF!,5,FALSE))</f>
        <v>#REF!</v>
      </c>
      <c r="AE28" s="60" t="str">
        <f>IFERROR(VLOOKUP(A28,#REF!,8,FALSE),"")</f>
        <v/>
      </c>
      <c r="AF28" s="60" t="e">
        <f>IF(AC28-AD28&gt;0,"Underdog",IF(AC28-AD28=0,"Push","Favorite"))</f>
        <v>#REF!</v>
      </c>
      <c r="AG28" s="60" t="str">
        <f>IFERROR(IF(AE28-AD28&gt;0,"Underdog",IF(AE28-AD28=0,"Push","Favorite")),"")</f>
        <v/>
      </c>
      <c r="AI28" t="str">
        <f>IFERROR(VLOOKUP(VLOOKUP(A28,#REF!,10,FALSE),$B:$C,2,FALSE),"")</f>
        <v/>
      </c>
      <c r="AK28" t="str">
        <f>IFERROR(IF(OR(AND(W28-Z28&gt;0,AA28-Z28&gt;0),AND(W28-Z28&lt;0,AA28-Z28&lt;0)),1,-1),"")</f>
        <v/>
      </c>
      <c r="AM28" t="str">
        <f>IF(V28=AI28,1,IF(AI28="","",-1))</f>
        <v/>
      </c>
      <c r="AO28" t="str">
        <f>IFERROR(IF(AF28=AG28,1,IF(AG28="Push",0,-1)),"")</f>
        <v/>
      </c>
      <c r="AR28">
        <f t="shared" si="0"/>
        <v>20231109</v>
      </c>
    </row>
    <row r="29" spans="1:44" ht="15.75" thickBot="1" x14ac:dyDescent="0.3">
      <c r="B29" s="80" t="s">
        <v>24</v>
      </c>
      <c r="C29" s="80"/>
      <c r="D29" s="80"/>
      <c r="W29" s="1" t="e">
        <f>IF(X29=AB27,X29&amp;" "&amp;Y29,X29&amp;" +"&amp;Y29)</f>
        <v>#REF!</v>
      </c>
      <c r="X29" t="e">
        <f>IF(Y27=AB27,X27,IF(X28-AD27&gt;0,Y27,X27))</f>
        <v>#REF!</v>
      </c>
      <c r="Y29" t="e">
        <f>IF(X29=AB27,AD27,-1*AD27)</f>
        <v>#REF!</v>
      </c>
      <c r="AR29">
        <f t="shared" si="0"/>
        <v>0</v>
      </c>
    </row>
    <row r="30" spans="1:44" x14ac:dyDescent="0.25">
      <c r="A30">
        <v>20231110</v>
      </c>
      <c r="B30" s="32" t="s">
        <v>43</v>
      </c>
      <c r="C30" s="33" t="s">
        <v>103</v>
      </c>
      <c r="D30" s="31" t="s">
        <v>56</v>
      </c>
      <c r="E30" s="9">
        <f>VLOOKUP(B30,Sheet1!$B:$L,10,FALSE)/VLOOKUP(B30,Sheet1!$B:$L,11,FALSE)</f>
        <v>0.66299212598425195</v>
      </c>
      <c r="F30" s="10">
        <f>VLOOKUP(B30,Sheet1!$B:$P,15,FALSE)</f>
        <v>6.3</v>
      </c>
      <c r="G30" s="11">
        <f>VLOOKUP(B30,Sheet1!$B:$N,13,FALSE)/VLOOKUP(B30,Sheet1!$B:$L,2,FALSE)</f>
        <v>1.6470588235294117</v>
      </c>
      <c r="H30" s="11">
        <f>VLOOKUP(B30,Sheet1!$B:$O,14,FALSE)/VLOOKUP(B30,Sheet1!$B:$L,2,FALSE)</f>
        <v>1</v>
      </c>
      <c r="I30" s="11">
        <f>VLOOKUP(B30,Sheet1!$AE:$AJ,6,FALSE)</f>
        <v>4.7</v>
      </c>
      <c r="J30" s="11">
        <f>VLOOKUP(B30,Sheet1!$AE:$AK,7,FALSE)/VLOOKUP(B30,Sheet1!$AE:$AF,2,FALSE)</f>
        <v>1</v>
      </c>
      <c r="K30" s="11">
        <f>VLOOKUP(B30,Sheet1!$AE:$AX,20,FALSE)</f>
        <v>4.5</v>
      </c>
      <c r="L30" s="12">
        <f>E30*4+F30*2+G30*6.5-H30*3</f>
        <v>22.957850856878181</v>
      </c>
      <c r="M30" s="13">
        <f>I31*6-J31*3.5-K31</f>
        <v>20.135294117647057</v>
      </c>
      <c r="N30" s="14">
        <f>(L30+M30)/2</f>
        <v>21.546572487262619</v>
      </c>
      <c r="O30" s="11"/>
      <c r="P30" s="11">
        <f>VLOOKUP(B30,Sheet1!$B:$L,3,FALSE)/VLOOKUP(B30,Sheet1!$B:$L,2,FALSE)</f>
        <v>21.823529411764707</v>
      </c>
      <c r="Q30" s="11">
        <f>VLOOKUP(B31,Sheet1!$AE:$AG,3,FALSE)/VLOOKUP(B31,Sheet1!$AE:$AG,2,FALSE)</f>
        <v>17.529411764705884</v>
      </c>
      <c r="R30" s="14">
        <f>(P30+Q30)/2</f>
        <v>19.676470588235297</v>
      </c>
      <c r="S30" s="63">
        <f>ROUND((N30+P30+Q30)/3,2)</f>
        <v>20.3</v>
      </c>
      <c r="T30" s="16" t="s">
        <v>71</v>
      </c>
      <c r="U30" s="17">
        <f>IF(N31&gt;N30,ROUND(N30*2-N31*2,0)/2,ROUND(N31*2-N30*2,0)/2)</f>
        <v>-3.5</v>
      </c>
      <c r="V30" s="17" t="str">
        <f>IF(N30&gt;N31,C30,C31)</f>
        <v>SF</v>
      </c>
      <c r="W30" s="18">
        <f>N30+N31</f>
        <v>46.665207925144493</v>
      </c>
      <c r="X30" s="60" t="str">
        <f>IF(S30&gt;S31,C30,C31)</f>
        <v>SF</v>
      </c>
      <c r="Y30" s="60" t="str">
        <f>IF(X30=C30,C31,C30)</f>
        <v>KC</v>
      </c>
      <c r="Z30" s="34" t="e">
        <f>IFERROR(VLOOKUP(A30,#REF!,9,FALSE),VLOOKUP(A30,#REF!,7,FALSE))</f>
        <v>#REF!</v>
      </c>
      <c r="AA30" s="35" t="str">
        <f>IFERROR(VLOOKUP(A30,#REF!,4,FALSE)+VLOOKUP(A30,#REF!,5,FALSE),"")</f>
        <v/>
      </c>
      <c r="AB30" s="60" t="e">
        <f>VLOOKUP(VLOOKUP(A30,#REF!,6,FALSE),$B:$C,2,FALSE)</f>
        <v>#REF!</v>
      </c>
      <c r="AC30" s="37" t="e">
        <f>IF(AB30=V30,U30,-U30)</f>
        <v>#REF!</v>
      </c>
      <c r="AD30" s="36" t="e">
        <f>IFERROR(VLOOKUP(A30,#REF!,6,FALSE),VLOOKUP(A30,#REF!,5,FALSE))</f>
        <v>#REF!</v>
      </c>
      <c r="AE30" s="60" t="str">
        <f>IFERROR(VLOOKUP(A30,#REF!,8,FALSE),"")</f>
        <v/>
      </c>
      <c r="AF30" s="60" t="e">
        <f>IF(AC30-AD30&gt;0,"Underdog",IF(AC30-AD30=0,"Push","Favorite"))</f>
        <v>#REF!</v>
      </c>
      <c r="AG30" s="60" t="str">
        <f>IFERROR(IF(AE30-AD30&gt;0,"Underdog",IF(AE30-AD30=0,"Push","Favorite")),"")</f>
        <v/>
      </c>
      <c r="AI30" t="str">
        <f>IFERROR(VLOOKUP(VLOOKUP(A30,#REF!,10,FALSE),$B:$C,2,FALSE),"")</f>
        <v/>
      </c>
      <c r="AK30" t="str">
        <f>IFERROR(IF(OR(AND(W30-Z30&gt;0,AA30-Z30&gt;0),AND(W30-Z30&lt;0,AA30-Z30&lt;0)),1,-1),"")</f>
        <v/>
      </c>
      <c r="AM30" t="str">
        <f>IF(V30=AI30,1,IF(AI30="","",-1))</f>
        <v/>
      </c>
      <c r="AO30" t="str">
        <f>IFERROR(IF(AF30=AG30,1,IF(AG30="Push",0,-1)),"")</f>
        <v/>
      </c>
      <c r="AR30">
        <f t="shared" si="0"/>
        <v>20231110</v>
      </c>
    </row>
    <row r="31" spans="1:44" ht="15.75" thickBot="1" x14ac:dyDescent="0.3">
      <c r="A31">
        <v>20231110</v>
      </c>
      <c r="B31" s="77" t="s">
        <v>42</v>
      </c>
      <c r="C31" s="78" t="s">
        <v>115</v>
      </c>
      <c r="D31" s="78" t="s">
        <v>59</v>
      </c>
      <c r="E31" s="19">
        <f>VLOOKUP(B31,Sheet1!$B:$L,10,FALSE)/VLOOKUP(B31,Sheet1!$B:$L,11,FALSE)</f>
        <v>0.68431771894093685</v>
      </c>
      <c r="F31" s="20">
        <f>VLOOKUP(B31,Sheet1!$B:$P,15,FALSE)</f>
        <v>8.4</v>
      </c>
      <c r="G31" s="21">
        <f>VLOOKUP(B31,Sheet1!$B:$N,13,FALSE)/VLOOKUP(B31,Sheet1!$B:$L,2,FALSE)</f>
        <v>1.9411764705882353</v>
      </c>
      <c r="H31" s="21">
        <f>VLOOKUP(B31,Sheet1!$B:$O,14,FALSE)/VLOOKUP(B31,Sheet1!$B:$L,2,FALSE)</f>
        <v>0.70588235294117652</v>
      </c>
      <c r="I31" s="21">
        <f>VLOOKUP(B31,Sheet1!$AE:$AJ,6,FALSE)</f>
        <v>5</v>
      </c>
      <c r="J31" s="21">
        <f>VLOOKUP(B31,Sheet1!$AE:$AK,7,FALSE)/VLOOKUP(B31,Sheet1!$AE:$AF,2,FALSE)</f>
        <v>1.6470588235294117</v>
      </c>
      <c r="K31" s="21">
        <f>VLOOKUP(B31,Sheet1!$AE:$AX,20,FALSE)</f>
        <v>4.0999999999999996</v>
      </c>
      <c r="L31" s="22">
        <f>E31*4+F31*2+G31*6.5-H31*3</f>
        <v>30.037270875763745</v>
      </c>
      <c r="M31" s="23">
        <f>I30*6-J30*3.5-K30</f>
        <v>20.200000000000003</v>
      </c>
      <c r="N31" s="24">
        <f>(L31+M31)/2</f>
        <v>25.118635437881874</v>
      </c>
      <c r="O31" s="21"/>
      <c r="P31" s="21">
        <f>VLOOKUP(B31,Sheet1!$B:$L,3,FALSE)/VLOOKUP(B31,Sheet1!$B:$L,2,FALSE)</f>
        <v>28.882352941176471</v>
      </c>
      <c r="Q31" s="21">
        <f>VLOOKUP(B30,Sheet1!$AE:$AG,3,FALSE)/VLOOKUP(B30,Sheet1!$AE:$AG,2,FALSE)</f>
        <v>17.294117647058822</v>
      </c>
      <c r="R31" s="24">
        <f>(P31+Q31)/2</f>
        <v>23.088235294117645</v>
      </c>
      <c r="S31" s="64">
        <f>ROUND((N31+P31+Q31)/3,2)</f>
        <v>23.77</v>
      </c>
      <c r="T31" s="26" t="s">
        <v>72</v>
      </c>
      <c r="U31" s="27">
        <f>IF(R31&gt;R30,ROUND(R30*2-R31*2,0)/2,ROUND(R31*2-R30*2,0)/2)</f>
        <v>-3.5</v>
      </c>
      <c r="V31" s="27" t="str">
        <f>IF(R30&gt;R31,C30,C31)</f>
        <v>SF</v>
      </c>
      <c r="W31" s="28">
        <f>R30+R31</f>
        <v>42.764705882352942</v>
      </c>
      <c r="X31" s="66">
        <f>(ROUND(SUMIFS(S:S, C:C, Y30)*2,0)/2)-(ROUND(SUMIFS(S:S, C:C, X30)*2,0)/2)</f>
        <v>-3.5</v>
      </c>
      <c r="Y31" s="60" t="str">
        <f>"+"&amp;ABS(X31)</f>
        <v>+3.5</v>
      </c>
      <c r="Z31" s="34" t="e">
        <f>IFERROR(VLOOKUP(A31,#REF!,9,FALSE),VLOOKUP(A31,#REF!,7,FALSE))</f>
        <v>#REF!</v>
      </c>
      <c r="AA31" s="35" t="str">
        <f>IFERROR(VLOOKUP(A31,#REF!,4,FALSE)+VLOOKUP(A31,#REF!,5,FALSE),"")</f>
        <v/>
      </c>
      <c r="AB31" s="60" t="e">
        <f>VLOOKUP(VLOOKUP(A31,#REF!,6,FALSE),$B:$C,2,FALSE)</f>
        <v>#REF!</v>
      </c>
      <c r="AC31" s="37" t="e">
        <f>IF(AB31=V31,U31,-U31)</f>
        <v>#REF!</v>
      </c>
      <c r="AD31" s="36" t="e">
        <f>IFERROR(VLOOKUP(A31,#REF!,6,FALSE),VLOOKUP(A31,#REF!,5,FALSE))</f>
        <v>#REF!</v>
      </c>
      <c r="AE31" s="60" t="str">
        <f>IFERROR(VLOOKUP(A31,#REF!,8,FALSE),"")</f>
        <v/>
      </c>
      <c r="AF31" s="60" t="e">
        <f>IF(AC31-AD31&gt;0,"Underdog",IF(AC31-AD31=0,"Push","Favorite"))</f>
        <v>#REF!</v>
      </c>
      <c r="AG31" s="60" t="str">
        <f>IFERROR(IF(AE31-AD31&gt;0,"Underdog",IF(AE31-AD31=0,"Push","Favorite")),"")</f>
        <v/>
      </c>
      <c r="AI31" t="str">
        <f>IFERROR(VLOOKUP(VLOOKUP(A31,#REF!,10,FALSE),$B:$C,2,FALSE),"")</f>
        <v/>
      </c>
      <c r="AK31" t="str">
        <f>IFERROR(IF(OR(AND(W31-Z31&gt;0,AA31-Z31&gt;0),AND(W31-Z31&lt;0,AA31-Z31&lt;0)),1,-1),"")</f>
        <v/>
      </c>
      <c r="AM31" t="str">
        <f>IF(V31=AI31,1,IF(AI31="","",-1))</f>
        <v/>
      </c>
      <c r="AO31" t="str">
        <f>IFERROR(IF(AF31=AG31,1,IF(AG31="Push",0,-1)),"")</f>
        <v/>
      </c>
      <c r="AR31">
        <f t="shared" si="0"/>
        <v>20231110</v>
      </c>
    </row>
    <row r="32" spans="1:44" ht="15.75" thickBot="1" x14ac:dyDescent="0.3">
      <c r="B32" s="80" t="s">
        <v>24</v>
      </c>
      <c r="C32" s="80"/>
      <c r="D32" s="80"/>
      <c r="W32" s="1" t="e">
        <f>IF(X32=AB30,X32&amp;" "&amp;Y32,X32&amp;" +"&amp;Y32)</f>
        <v>#REF!</v>
      </c>
      <c r="X32" t="e">
        <f>IF(Y30=AB30,X30,IF(X31-AD30&gt;0,Y30,X30))</f>
        <v>#REF!</v>
      </c>
      <c r="Y32" t="e">
        <f>IF(X32=AB30,AD30,-1*AD30)</f>
        <v>#REF!</v>
      </c>
      <c r="AR32">
        <f t="shared" si="0"/>
        <v>0</v>
      </c>
    </row>
    <row r="33" spans="1:44" x14ac:dyDescent="0.25">
      <c r="A33">
        <v>20231111</v>
      </c>
      <c r="B33" s="29" t="s">
        <v>44</v>
      </c>
      <c r="C33" s="30" t="s">
        <v>113</v>
      </c>
      <c r="D33" s="31" t="s">
        <v>56</v>
      </c>
      <c r="E33" s="9">
        <f>VLOOKUP(B33,Sheet1!$B:$L,10,FALSE)/VLOOKUP(B33,Sheet1!$B:$L,11,FALSE)</f>
        <v>0.59234608985024961</v>
      </c>
      <c r="F33" s="10">
        <f>VLOOKUP(B33,Sheet1!$B:$P,15,FALSE)</f>
        <v>4.4000000000000004</v>
      </c>
      <c r="G33" s="11">
        <f>VLOOKUP(B33,Sheet1!$B:$N,13,FALSE)/VLOOKUP(B33,Sheet1!$B:$L,2,FALSE)</f>
        <v>0.6470588235294118</v>
      </c>
      <c r="H33" s="11">
        <f>VLOOKUP(B33,Sheet1!$B:$O,14,FALSE)/VLOOKUP(B33,Sheet1!$B:$L,2,FALSE)</f>
        <v>0.88235294117647056</v>
      </c>
      <c r="I33" s="11">
        <f>VLOOKUP(B33,Sheet1!$AE:$AJ,6,FALSE)</f>
        <v>4.5999999999999996</v>
      </c>
      <c r="J33" s="11">
        <f>VLOOKUP(B33,Sheet1!$AE:$AK,7,FALSE)/VLOOKUP(B33,Sheet1!$AE:$AF,2,FALSE)</f>
        <v>1.588235294117647</v>
      </c>
      <c r="K33" s="11">
        <f>VLOOKUP(B33,Sheet1!$AE:$AX,20,FALSE)</f>
        <v>4.0999999999999996</v>
      </c>
      <c r="L33" s="12">
        <f>E33*4+F33*2+G33*6.5-H33*3</f>
        <v>12.728207888812763</v>
      </c>
      <c r="M33" s="13">
        <f>I34*6-J34*3.5-K34</f>
        <v>19.823529411764703</v>
      </c>
      <c r="N33" s="14">
        <f>(L33+M33)/2</f>
        <v>16.275868650288732</v>
      </c>
      <c r="O33" s="11"/>
      <c r="P33" s="11">
        <f>VLOOKUP(B33,Sheet1!$B:$L,3,FALSE)/VLOOKUP(B33,Sheet1!$B:$L,2,FALSE)</f>
        <v>15.764705882352942</v>
      </c>
      <c r="Q33" s="11">
        <f>VLOOKUP(B34,Sheet1!$AE:$AG,3,FALSE)/VLOOKUP(B34,Sheet1!$AE:$AG,2,FALSE)</f>
        <v>18.294117647058822</v>
      </c>
      <c r="R33" s="14">
        <f>(P33+Q33)/2</f>
        <v>17.029411764705884</v>
      </c>
      <c r="S33" s="63">
        <f>ROUND((N33+P33+Q33)/3,2)</f>
        <v>16.78</v>
      </c>
      <c r="T33" s="16" t="s">
        <v>71</v>
      </c>
      <c r="U33" s="17">
        <f>IF(N34&gt;N33,ROUND(N33*2-N34*2,0)/2,ROUND(N34*2-N33*2,0)/2)</f>
        <v>-5</v>
      </c>
      <c r="V33" s="17" t="str">
        <f>IF(N33&gt;N34,C33,C34)</f>
        <v>BUF</v>
      </c>
      <c r="W33" s="18">
        <f>N33+N34</f>
        <v>37.432218340423859</v>
      </c>
      <c r="X33" s="60" t="str">
        <f>IF(S33&gt;S34,C33,C34)</f>
        <v>BUF</v>
      </c>
      <c r="Y33" s="60" t="str">
        <f>IF(X33=C33,C34,C33)</f>
        <v>NYJ</v>
      </c>
      <c r="Z33" s="34" t="e">
        <f>IFERROR(VLOOKUP(A33,#REF!,9,FALSE),VLOOKUP(A33,#REF!,7,FALSE))</f>
        <v>#REF!</v>
      </c>
      <c r="AA33" s="35" t="str">
        <f>IFERROR(VLOOKUP(A33,#REF!,4,FALSE)+VLOOKUP(A33,#REF!,5,FALSE),"")</f>
        <v/>
      </c>
      <c r="AB33" s="60" t="e">
        <f>VLOOKUP(VLOOKUP(A33,#REF!,6,FALSE),$B:$C,2,FALSE)</f>
        <v>#REF!</v>
      </c>
      <c r="AC33" s="37" t="e">
        <f>IF(AB33=V33,U33,-U33)</f>
        <v>#REF!</v>
      </c>
      <c r="AD33" s="36" t="e">
        <f>IFERROR(VLOOKUP(A33,#REF!,6,FALSE),VLOOKUP(A33,#REF!,5,FALSE))</f>
        <v>#REF!</v>
      </c>
      <c r="AE33" s="60" t="str">
        <f>IFERROR(VLOOKUP(A33,#REF!,8,FALSE),"")</f>
        <v/>
      </c>
      <c r="AF33" s="60" t="e">
        <f>IF(AC33-AD33&gt;0,"Underdog",IF(AC33-AD33=0,"Push","Favorite"))</f>
        <v>#REF!</v>
      </c>
      <c r="AG33" s="60" t="str">
        <f>IFERROR(IF(AE33-AD33&gt;0,"Underdog",IF(AE33-AD33=0,"Push","Favorite")),"")</f>
        <v/>
      </c>
      <c r="AI33" t="str">
        <f>IFERROR(VLOOKUP(VLOOKUP(A33,#REF!,10,FALSE),$B:$C,2,FALSE),"")</f>
        <v/>
      </c>
      <c r="AK33" t="str">
        <f>IFERROR(IF(OR(AND(W33-Z33&gt;0,AA33-Z33&gt;0),AND(W33-Z33&lt;0,AA33-Z33&lt;0)),1,-1),"")</f>
        <v/>
      </c>
      <c r="AM33" t="str">
        <f>IF(V33=AI33,1,IF(AI33="","",-1))</f>
        <v/>
      </c>
      <c r="AO33" t="str">
        <f>IFERROR(IF(AF33=AG33,1,IF(AG33="Push",0,-1)),"")</f>
        <v/>
      </c>
      <c r="AR33">
        <f t="shared" si="0"/>
        <v>20231111</v>
      </c>
    </row>
    <row r="34" spans="1:44" ht="15.75" thickBot="1" x14ac:dyDescent="0.3">
      <c r="A34">
        <v>20231111</v>
      </c>
      <c r="B34" s="32" t="s">
        <v>27</v>
      </c>
      <c r="C34" s="33" t="s">
        <v>110</v>
      </c>
      <c r="D34" s="33" t="s">
        <v>60</v>
      </c>
      <c r="E34" s="19">
        <f>VLOOKUP(B34,Sheet1!$B:$L,10,FALSE)/VLOOKUP(B34,Sheet1!$B:$L,11,FALSE)</f>
        <v>0.66493955094991364</v>
      </c>
      <c r="F34" s="20">
        <f>VLOOKUP(B34,Sheet1!$B:$P,15,FALSE)</f>
        <v>6.9</v>
      </c>
      <c r="G34" s="21">
        <f>VLOOKUP(B34,Sheet1!$B:$N,13,FALSE)/VLOOKUP(B34,Sheet1!$B:$L,2,FALSE)</f>
        <v>1.7058823529411764</v>
      </c>
      <c r="H34" s="21">
        <f>VLOOKUP(B34,Sheet1!$B:$O,14,FALSE)/VLOOKUP(B34,Sheet1!$B:$L,2,FALSE)</f>
        <v>1.0588235294117647</v>
      </c>
      <c r="I34" s="21">
        <f>VLOOKUP(B34,Sheet1!$AE:$AJ,6,FALSE)</f>
        <v>5.0999999999999996</v>
      </c>
      <c r="J34" s="21">
        <f>VLOOKUP(B34,Sheet1!$AE:$AK,7,FALSE)/VLOOKUP(B34,Sheet1!$AE:$AF,2,FALSE)</f>
        <v>1.7647058823529411</v>
      </c>
      <c r="K34" s="21">
        <f>VLOOKUP(B34,Sheet1!$AE:$AX,20,FALSE)</f>
        <v>4.5999999999999996</v>
      </c>
      <c r="L34" s="22">
        <f>E34*4+F34*2+G34*6.5-H34*3</f>
        <v>24.37152290968201</v>
      </c>
      <c r="M34" s="23">
        <f>I33*6-J33*3.5-K33</f>
        <v>17.941176470588232</v>
      </c>
      <c r="N34" s="24">
        <f>(L34+M34)/2</f>
        <v>21.156349690135123</v>
      </c>
      <c r="O34" s="21"/>
      <c r="P34" s="21">
        <f>VLOOKUP(B34,Sheet1!$B:$L,3,FALSE)/VLOOKUP(B34,Sheet1!$B:$L,2,FALSE)</f>
        <v>26.529411764705884</v>
      </c>
      <c r="Q34" s="21">
        <f>VLOOKUP(B33,Sheet1!$AE:$AG,3,FALSE)/VLOOKUP(B33,Sheet1!$AE:$AG,2,FALSE)</f>
        <v>20.882352941176471</v>
      </c>
      <c r="R34" s="24">
        <f>(P34+Q34)/2</f>
        <v>23.705882352941178</v>
      </c>
      <c r="S34" s="64">
        <f>ROUND((N34+P34+Q34)/3,2)</f>
        <v>22.86</v>
      </c>
      <c r="T34" s="26" t="s">
        <v>72</v>
      </c>
      <c r="U34" s="27">
        <f>IF(R34&gt;R33,ROUND(R33*2-R34*2,0)/2,ROUND(R34*2-R33*2,0)/2)</f>
        <v>-6.5</v>
      </c>
      <c r="V34" s="27" t="str">
        <f>IF(R33&gt;R34,C33,C34)</f>
        <v>BUF</v>
      </c>
      <c r="W34" s="28">
        <f>R33+R34</f>
        <v>40.735294117647058</v>
      </c>
      <c r="X34" s="66">
        <f>(ROUND(SUMIFS(S:S, C:C, Y33)*2,0)/2)-(ROUND(SUMIFS(S:S, C:C, X33)*2,0)/2)</f>
        <v>-6</v>
      </c>
      <c r="Y34" s="60" t="str">
        <f>"+"&amp;ABS(X34)</f>
        <v>+6</v>
      </c>
      <c r="Z34" s="34" t="e">
        <f>IFERROR(VLOOKUP(A34,#REF!,9,FALSE),VLOOKUP(A34,#REF!,7,FALSE))</f>
        <v>#REF!</v>
      </c>
      <c r="AA34" s="35" t="str">
        <f>IFERROR(VLOOKUP(A34,#REF!,4,FALSE)+VLOOKUP(A34,#REF!,5,FALSE),"")</f>
        <v/>
      </c>
      <c r="AB34" s="60" t="e">
        <f>VLOOKUP(VLOOKUP(A34,#REF!,6,FALSE),$B:$C,2,FALSE)</f>
        <v>#REF!</v>
      </c>
      <c r="AC34" s="37" t="e">
        <f>IF(AB34=V34,U34,-U34)</f>
        <v>#REF!</v>
      </c>
      <c r="AD34" s="36" t="e">
        <f>IFERROR(VLOOKUP(A34,#REF!,6,FALSE),VLOOKUP(A34,#REF!,5,FALSE))</f>
        <v>#REF!</v>
      </c>
      <c r="AE34" s="60" t="str">
        <f>IFERROR(VLOOKUP(A34,#REF!,8,FALSE),"")</f>
        <v/>
      </c>
      <c r="AF34" s="60" t="e">
        <f>IF(AC34-AD34&gt;0,"Underdog",IF(AC34-AD34=0,"Push","Favorite"))</f>
        <v>#REF!</v>
      </c>
      <c r="AG34" s="60" t="str">
        <f>IFERROR(IF(AE34-AD34&gt;0,"Underdog",IF(AE34-AD34=0,"Push","Favorite")),"")</f>
        <v/>
      </c>
      <c r="AI34" t="str">
        <f>IFERROR(VLOOKUP(VLOOKUP(A34,#REF!,10,FALSE),$B:$C,2,FALSE),"")</f>
        <v/>
      </c>
      <c r="AK34" t="str">
        <f>IFERROR(IF(OR(AND(W34-Z34&gt;0,AA34-Z34&gt;0),AND(W34-Z34&lt;0,AA34-Z34&lt;0)),1,-1),"")</f>
        <v/>
      </c>
      <c r="AM34" t="str">
        <f>IF(V34=AI34,1,IF(AI34="","",-1))</f>
        <v/>
      </c>
      <c r="AO34" t="str">
        <f>IFERROR(IF(AF34=AG34,1,IF(AG34="Push",0,-1)),"")</f>
        <v/>
      </c>
      <c r="AR34">
        <f t="shared" si="0"/>
        <v>20231111</v>
      </c>
    </row>
    <row r="35" spans="1:44" ht="15.75" thickBot="1" x14ac:dyDescent="0.3">
      <c r="B35" s="80" t="s">
        <v>24</v>
      </c>
      <c r="C35" s="80"/>
      <c r="D35" s="80"/>
      <c r="W35" s="1" t="e">
        <f>IF(X35=AB33,X35&amp;" "&amp;Y35,X35&amp;" +"&amp;Y35)</f>
        <v>#REF!</v>
      </c>
      <c r="X35" t="e">
        <f>IF(Y33=AB33,X33,IF(X34-AD33&gt;0,Y33,X33))</f>
        <v>#REF!</v>
      </c>
      <c r="Y35" t="e">
        <f>IF(X35=AB33,AD33,-1*AD33)</f>
        <v>#REF!</v>
      </c>
      <c r="AR35">
        <f t="shared" si="0"/>
        <v>0</v>
      </c>
    </row>
    <row r="36" spans="1:44" x14ac:dyDescent="0.25">
      <c r="A36">
        <v>20231112</v>
      </c>
      <c r="B36" s="29" t="s">
        <v>67</v>
      </c>
      <c r="C36" s="30" t="s">
        <v>100</v>
      </c>
      <c r="D36" s="31" t="s">
        <v>56</v>
      </c>
      <c r="E36" s="9">
        <f>VLOOKUP(B36,Sheet1!$B:$L,10,FALSE)/VLOOKUP(B36,Sheet1!$B:$L,11,FALSE)</f>
        <v>0.64521739130434785</v>
      </c>
      <c r="F36" s="10">
        <f>VLOOKUP(B36,Sheet1!$B:$P,15,FALSE)</f>
        <v>6.4</v>
      </c>
      <c r="G36" s="11">
        <f>VLOOKUP(B36,Sheet1!$B:$N,13,FALSE)/VLOOKUP(B36,Sheet1!$B:$L,2,FALSE)</f>
        <v>1.3529411764705883</v>
      </c>
      <c r="H36" s="11">
        <f>VLOOKUP(B36,Sheet1!$B:$O,14,FALSE)/VLOOKUP(B36,Sheet1!$B:$L,2,FALSE)</f>
        <v>0.70588235294117652</v>
      </c>
      <c r="I36" s="11">
        <f>VLOOKUP(B36,Sheet1!$AE:$AJ,6,FALSE)</f>
        <v>5.5</v>
      </c>
      <c r="J36" s="11">
        <f>VLOOKUP(B36,Sheet1!$AE:$AK,7,FALSE)/VLOOKUP(B36,Sheet1!$AE:$AF,2,FALSE)</f>
        <v>1.1176470588235294</v>
      </c>
      <c r="K36" s="11">
        <f>VLOOKUP(B36,Sheet1!$AE:$AX,20,FALSE)</f>
        <v>4.5999999999999996</v>
      </c>
      <c r="L36" s="12">
        <f>E36*4+F36*2+G36*6.5-H36*3</f>
        <v>22.057340153452685</v>
      </c>
      <c r="M36" s="13">
        <f>I37*6-J37*3.5-K37</f>
        <v>24.511764705882353</v>
      </c>
      <c r="N36" s="14">
        <f>(L36+M36)/2</f>
        <v>23.284552429667521</v>
      </c>
      <c r="O36" s="11"/>
      <c r="P36" s="11">
        <f>VLOOKUP(B36,Sheet1!$B:$L,3,FALSE)/VLOOKUP(B36,Sheet1!$B:$L,2,FALSE)</f>
        <v>21.411764705882351</v>
      </c>
      <c r="Q36" s="11">
        <f>VLOOKUP(B37,Sheet1!$AE:$AG,3,FALSE)/VLOOKUP(B37,Sheet1!$AE:$AG,2,FALSE)</f>
        <v>22.176470588235293</v>
      </c>
      <c r="R36" s="14">
        <f>(P36+Q36)/2</f>
        <v>21.794117647058822</v>
      </c>
      <c r="S36" s="63">
        <f>ROUND((N36+P36+Q36)/3,2)</f>
        <v>22.29</v>
      </c>
      <c r="T36" s="16" t="s">
        <v>71</v>
      </c>
      <c r="U36" s="17">
        <f>IF(N37&gt;N36,ROUND(N36*2-N37*2,0)/2,ROUND(N37*2-N36*2,0)/2)</f>
        <v>-0.5</v>
      </c>
      <c r="V36" s="17" t="str">
        <f>IF(N36&gt;N37,C36,C37)</f>
        <v>LAR</v>
      </c>
      <c r="W36" s="18">
        <f>N36+N37</f>
        <v>47.190621443894138</v>
      </c>
      <c r="X36" s="60" t="str">
        <f>IF(S36&gt;S37,C36,C37)</f>
        <v>LAR</v>
      </c>
      <c r="Y36" s="60" t="str">
        <f>IF(X36=C36,C37,C36)</f>
        <v>SEA</v>
      </c>
      <c r="Z36" s="34" t="e">
        <f>IFERROR(VLOOKUP(A36,#REF!,9,FALSE),VLOOKUP(A36,#REF!,7,FALSE))</f>
        <v>#REF!</v>
      </c>
      <c r="AA36" s="35" t="str">
        <f>IFERROR(VLOOKUP(A36,#REF!,4,FALSE)+VLOOKUP(A36,#REF!,5,FALSE),"")</f>
        <v/>
      </c>
      <c r="AB36" s="60" t="e">
        <f>VLOOKUP(VLOOKUP(A36,#REF!,6,FALSE),$B:$C,2,FALSE)</f>
        <v>#REF!</v>
      </c>
      <c r="AC36" s="37" t="e">
        <f>IF(AB36=V36,U36,-U36)</f>
        <v>#REF!</v>
      </c>
      <c r="AD36" s="36" t="e">
        <f>IFERROR(VLOOKUP(A36,#REF!,6,FALSE),VLOOKUP(A36,#REF!,5,FALSE))</f>
        <v>#REF!</v>
      </c>
      <c r="AE36" s="60" t="str">
        <f>IFERROR(VLOOKUP(A36,#REF!,8,FALSE),"")</f>
        <v/>
      </c>
      <c r="AF36" s="60" t="e">
        <f>IF(AC36-AD36&gt;0,"Underdog",IF(AC36-AD36=0,"Push","Favorite"))</f>
        <v>#REF!</v>
      </c>
      <c r="AG36" s="60" t="str">
        <f>IFERROR(IF(AE36-AD36&gt;0,"Underdog",IF(AE36-AD36=0,"Push","Favorite")),"")</f>
        <v/>
      </c>
      <c r="AI36" t="str">
        <f>IFERROR(VLOOKUP(VLOOKUP(A36,#REF!,10,FALSE),$B:$C,2,FALSE),"")</f>
        <v/>
      </c>
      <c r="AK36" t="str">
        <f>IFERROR(IF(OR(AND(W36-Z36&gt;0,AA36-Z36&gt;0),AND(W36-Z36&lt;0,AA36-Z36&lt;0)),1,-1),"")</f>
        <v/>
      </c>
      <c r="AM36" t="str">
        <f>IF(V36=AI36,1,IF(AI36="","",-1))</f>
        <v/>
      </c>
      <c r="AO36" t="str">
        <f>IFERROR(IF(AF36=AG36,1,IF(AG36="Push",0,-1)),"")</f>
        <v/>
      </c>
      <c r="AR36">
        <f t="shared" si="0"/>
        <v>20231112</v>
      </c>
    </row>
    <row r="37" spans="1:44" ht="15.75" thickBot="1" x14ac:dyDescent="0.3">
      <c r="A37">
        <v>20231112</v>
      </c>
      <c r="B37" s="32" t="s">
        <v>33</v>
      </c>
      <c r="C37" s="33" t="s">
        <v>105</v>
      </c>
      <c r="D37" s="33" t="s">
        <v>60</v>
      </c>
      <c r="E37" s="19">
        <f>VLOOKUP(B37,Sheet1!$B:$L,10,FALSE)/VLOOKUP(B37,Sheet1!$B:$L,11,FALSE)</f>
        <v>0.61921097770154376</v>
      </c>
      <c r="F37" s="20">
        <f>VLOOKUP(B37,Sheet1!$B:$P,15,FALSE)</f>
        <v>6.6</v>
      </c>
      <c r="G37" s="21">
        <f>VLOOKUP(B37,Sheet1!$B:$N,13,FALSE)/VLOOKUP(B37,Sheet1!$B:$L,2,FALSE)</f>
        <v>1.5294117647058822</v>
      </c>
      <c r="H37" s="21">
        <f>VLOOKUP(B37,Sheet1!$B:$O,14,FALSE)/VLOOKUP(B37,Sheet1!$B:$L,2,FALSE)</f>
        <v>0.76470588235294112</v>
      </c>
      <c r="I37" s="21">
        <f>VLOOKUP(B37,Sheet1!$AE:$AJ,6,FALSE)</f>
        <v>5.3</v>
      </c>
      <c r="J37" s="21">
        <f>VLOOKUP(B37,Sheet1!$AE:$AK,7,FALSE)/VLOOKUP(B37,Sheet1!$AE:$AF,2,FALSE)</f>
        <v>0.88235294117647056</v>
      </c>
      <c r="K37" s="21">
        <f>VLOOKUP(B37,Sheet1!$AE:$AX,20,FALSE)</f>
        <v>4.2</v>
      </c>
      <c r="L37" s="22">
        <f>E37*4+F37*2+G37*6.5-H37*3</f>
        <v>23.323902734335586</v>
      </c>
      <c r="M37" s="23">
        <f>I36*6-J36*3.5-K36</f>
        <v>24.488235294117644</v>
      </c>
      <c r="N37" s="24">
        <f>(L37+M37)/2</f>
        <v>23.906069014226617</v>
      </c>
      <c r="O37" s="21"/>
      <c r="P37" s="21">
        <f>VLOOKUP(B37,Sheet1!$B:$L,3,FALSE)/VLOOKUP(B37,Sheet1!$B:$L,2,FALSE)</f>
        <v>23.764705882352942</v>
      </c>
      <c r="Q37" s="21">
        <f>VLOOKUP(B36,Sheet1!$AE:$AG,3,FALSE)/VLOOKUP(B36,Sheet1!$AE:$AG,2,FALSE)</f>
        <v>23.647058823529413</v>
      </c>
      <c r="R37" s="24">
        <f>(P37+Q37)/2</f>
        <v>23.705882352941178</v>
      </c>
      <c r="S37" s="64">
        <f>ROUND((N37+P37+Q37)/3,2)</f>
        <v>23.77</v>
      </c>
      <c r="T37" s="26" t="s">
        <v>72</v>
      </c>
      <c r="U37" s="27">
        <f>IF(R37&gt;R36,ROUND(R36*2-R37*2,0)/2,ROUND(R37*2-R36*2,0)/2)</f>
        <v>-2</v>
      </c>
      <c r="V37" s="27" t="str">
        <f>IF(R36&gt;R37,C36,C37)</f>
        <v>LAR</v>
      </c>
      <c r="W37" s="28">
        <f>R36+R37</f>
        <v>45.5</v>
      </c>
      <c r="X37" s="66">
        <f>(ROUND(SUMIFS(S:S, C:C, Y36)*2,0)/2)-(ROUND(SUMIFS(S:S, C:C, X36)*2,0)/2)</f>
        <v>-1.5</v>
      </c>
      <c r="Y37" s="60" t="str">
        <f>"+"&amp;ABS(X37)</f>
        <v>+1.5</v>
      </c>
      <c r="Z37" s="34" t="e">
        <f>IFERROR(VLOOKUP(A37,#REF!,9,FALSE),VLOOKUP(A37,#REF!,7,FALSE))</f>
        <v>#REF!</v>
      </c>
      <c r="AA37" s="35" t="str">
        <f>IFERROR(VLOOKUP(A37,#REF!,4,FALSE)+VLOOKUP(A37,#REF!,5,FALSE),"")</f>
        <v/>
      </c>
      <c r="AB37" s="60" t="e">
        <f>VLOOKUP(VLOOKUP(A37,#REF!,6,FALSE),$B:$C,2,FALSE)</f>
        <v>#REF!</v>
      </c>
      <c r="AC37" s="37" t="e">
        <f>IF(AB37=V37,U37,-U37)</f>
        <v>#REF!</v>
      </c>
      <c r="AD37" s="36" t="e">
        <f>IFERROR(VLOOKUP(A37,#REF!,6,FALSE),VLOOKUP(A37,#REF!,5,FALSE))</f>
        <v>#REF!</v>
      </c>
      <c r="AE37" s="60" t="str">
        <f>IFERROR(VLOOKUP(A37,#REF!,8,FALSE),"")</f>
        <v/>
      </c>
      <c r="AF37" s="60" t="e">
        <f>IF(AC37-AD37&gt;0,"Underdog",IF(AC37-AD37=0,"Push","Favorite"))</f>
        <v>#REF!</v>
      </c>
      <c r="AG37" s="60" t="str">
        <f>IFERROR(IF(AE37-AD37&gt;0,"Underdog",IF(AE37-AD37=0,"Push","Favorite")),"")</f>
        <v/>
      </c>
      <c r="AI37" t="str">
        <f>IFERROR(VLOOKUP(VLOOKUP(A37,#REF!,10,FALSE),$B:$C,2,FALSE),"")</f>
        <v/>
      </c>
      <c r="AK37" t="str">
        <f>IFERROR(IF(OR(AND(W37-Z37&gt;0,AA37-Z37&gt;0),AND(W37-Z37&lt;0,AA37-Z37&lt;0)),1,-1),"")</f>
        <v/>
      </c>
      <c r="AM37" t="str">
        <f>IF(V37=AI37,1,IF(AI37="","",-1))</f>
        <v/>
      </c>
      <c r="AO37" t="str">
        <f>IFERROR(IF(AF37=AG37,1,IF(AG37="Push",0,-1)),"")</f>
        <v/>
      </c>
      <c r="AR37">
        <f t="shared" si="0"/>
        <v>20231112</v>
      </c>
    </row>
    <row r="38" spans="1:44" ht="15.75" thickBot="1" x14ac:dyDescent="0.3">
      <c r="B38" s="80" t="s">
        <v>24</v>
      </c>
      <c r="C38" s="80"/>
      <c r="D38" s="80"/>
      <c r="W38" s="1" t="e">
        <f>IF(X38=AB36,X38&amp;" "&amp;Y38,X38&amp;" +"&amp;Y38)</f>
        <v>#REF!</v>
      </c>
      <c r="X38" t="e">
        <f>IF(Y36=AB36,X36,IF(X37-AD36&gt;0,Y36,X36))</f>
        <v>#REF!</v>
      </c>
      <c r="Y38" t="e">
        <f>IF(X38=AB36,AD36,-1*AD36)</f>
        <v>#REF!</v>
      </c>
      <c r="AR38">
        <f t="shared" si="0"/>
        <v>0</v>
      </c>
    </row>
    <row r="39" spans="1:44" x14ac:dyDescent="0.25">
      <c r="A39">
        <v>20231113</v>
      </c>
      <c r="B39" s="29" t="s">
        <v>28</v>
      </c>
      <c r="C39" s="30" t="s">
        <v>94</v>
      </c>
      <c r="D39" s="31" t="s">
        <v>56</v>
      </c>
      <c r="E39" s="9">
        <f>VLOOKUP(B39,Sheet1!$B:$L,10,FALSE)/VLOOKUP(B39,Sheet1!$B:$L,11,FALSE)</f>
        <v>0.67194928684627575</v>
      </c>
      <c r="F39" s="10">
        <f>VLOOKUP(B39,Sheet1!$B:$P,15,FALSE)</f>
        <v>6.4</v>
      </c>
      <c r="G39" s="11">
        <f>VLOOKUP(B39,Sheet1!$B:$N,13,FALSE)/VLOOKUP(B39,Sheet1!$B:$L,2,FALSE)</f>
        <v>1.7647058823529411</v>
      </c>
      <c r="H39" s="11">
        <f>VLOOKUP(B39,Sheet1!$B:$O,14,FALSE)/VLOOKUP(B39,Sheet1!$B:$L,2,FALSE)</f>
        <v>1.1176470588235294</v>
      </c>
      <c r="I39" s="11">
        <f>VLOOKUP(B39,Sheet1!$AE:$AJ,6,FALSE)</f>
        <v>5.2</v>
      </c>
      <c r="J39" s="11">
        <f>VLOOKUP(B39,Sheet1!$AE:$AK,7,FALSE)/VLOOKUP(B39,Sheet1!$AE:$AF,2,FALSE)</f>
        <v>1.2941176470588236</v>
      </c>
      <c r="K39" s="11">
        <f>VLOOKUP(B39,Sheet1!$AE:$AX,20,FALSE)</f>
        <v>3.8</v>
      </c>
      <c r="L39" s="12">
        <f>E39*4+F39*2+G39*6.5-H39*3</f>
        <v>23.605444206208634</v>
      </c>
      <c r="M39" s="13">
        <f>I40*6-J40*3.5-K40</f>
        <v>24.44705882352941</v>
      </c>
      <c r="N39" s="14">
        <f>(L39+M39)/2</f>
        <v>24.026251514869024</v>
      </c>
      <c r="O39" s="11"/>
      <c r="P39" s="11">
        <f>VLOOKUP(B39,Sheet1!$B:$L,3,FALSE)/VLOOKUP(B39,Sheet1!$B:$L,2,FALSE)</f>
        <v>20.235294117647058</v>
      </c>
      <c r="Q39" s="11">
        <f>VLOOKUP(B40,Sheet1!$AE:$AG,3,FALSE)/VLOOKUP(B40,Sheet1!$AE:$AG,2,FALSE)</f>
        <v>24.294117647058822</v>
      </c>
      <c r="R39" s="14">
        <f>(P39+Q39)/2</f>
        <v>22.264705882352942</v>
      </c>
      <c r="S39" s="63">
        <f>ROUND((N39+P39+Q39)/3,2)</f>
        <v>22.85</v>
      </c>
      <c r="T39" s="16" t="s">
        <v>71</v>
      </c>
      <c r="U39" s="17">
        <f>IF(N40&gt;N39,ROUND(N39*2-N40*2,0)/2,ROUND(N40*2-N39*2,0)/2)</f>
        <v>-1</v>
      </c>
      <c r="V39" s="17" t="str">
        <f>IF(N39&gt;N40,C39,C40)</f>
        <v>MIN</v>
      </c>
      <c r="W39" s="18">
        <f>N39+N40</f>
        <v>47.134209317873264</v>
      </c>
      <c r="X39" s="60" t="str">
        <f>IF(S39&gt;S40,C39,C40)</f>
        <v>MIN</v>
      </c>
      <c r="Y39" s="60" t="str">
        <f>IF(X39=C39,C40,C39)</f>
        <v>DEN</v>
      </c>
      <c r="Z39" s="34" t="e">
        <f>IFERROR(VLOOKUP(A39,#REF!,9,FALSE),VLOOKUP(A39,#REF!,7,FALSE))</f>
        <v>#REF!</v>
      </c>
      <c r="AA39" s="35" t="str">
        <f>IFERROR(VLOOKUP(A39,#REF!,4,FALSE)+VLOOKUP(A39,#REF!,5,FALSE),"")</f>
        <v/>
      </c>
      <c r="AB39" s="60" t="e">
        <f>VLOOKUP(VLOOKUP(A39,#REF!,6,FALSE),$B:$C,2,FALSE)</f>
        <v>#REF!</v>
      </c>
      <c r="AC39" s="37" t="e">
        <f>IF(AB39=V39,U39,-U39)</f>
        <v>#REF!</v>
      </c>
      <c r="AD39" s="36" t="e">
        <f>IFERROR(VLOOKUP(A39,#REF!,6,FALSE),VLOOKUP(A39,#REF!,5,FALSE))</f>
        <v>#REF!</v>
      </c>
      <c r="AE39" s="60" t="str">
        <f>IFERROR(VLOOKUP(A39,#REF!,8,FALSE),"")</f>
        <v/>
      </c>
      <c r="AF39" s="60" t="e">
        <f>IF(AC39-AD39&gt;0,"Underdog",IF(AC39-AD39=0,"Push","Favorite"))</f>
        <v>#REF!</v>
      </c>
      <c r="AG39" s="60" t="str">
        <f>IFERROR(IF(AE39-AD39&gt;0,"Underdog",IF(AE39-AD39=0,"Push","Favorite")),"")</f>
        <v/>
      </c>
      <c r="AI39" t="str">
        <f>IFERROR(VLOOKUP(VLOOKUP(A39,#REF!,10,FALSE),$B:$C,2,FALSE),"")</f>
        <v/>
      </c>
      <c r="AK39" t="str">
        <f>IFERROR(IF(OR(AND(W39-Z39&gt;0,AA39-Z39&gt;0),AND(W39-Z39&lt;0,AA39-Z39&lt;0)),1,-1),"")</f>
        <v/>
      </c>
      <c r="AM39" t="str">
        <f>IF(V39=AI39,1,IF(AI39="","",-1))</f>
        <v/>
      </c>
      <c r="AO39" t="str">
        <f>IFERROR(IF(AF39=AG39,1,IF(AG39="Push",0,-1)),"")</f>
        <v/>
      </c>
      <c r="AR39">
        <f t="shared" si="0"/>
        <v>20231113</v>
      </c>
    </row>
    <row r="40" spans="1:44" ht="15.75" thickBot="1" x14ac:dyDescent="0.3">
      <c r="A40">
        <v>20231113</v>
      </c>
      <c r="B40" s="32" t="s">
        <v>30</v>
      </c>
      <c r="C40" s="33" t="s">
        <v>118</v>
      </c>
      <c r="D40" s="33" t="s">
        <v>61</v>
      </c>
      <c r="E40" s="19">
        <f>VLOOKUP(B40,Sheet1!$B:$L,10,FALSE)/VLOOKUP(B40,Sheet1!$B:$L,11,FALSE)</f>
        <v>0.65692007797270957</v>
      </c>
      <c r="F40" s="20">
        <f>VLOOKUP(B40,Sheet1!$B:$P,15,FALSE)</f>
        <v>5.8</v>
      </c>
      <c r="G40" s="21">
        <f>VLOOKUP(B40,Sheet1!$B:$N,13,FALSE)/VLOOKUP(B40,Sheet1!$B:$L,2,FALSE)</f>
        <v>1.6470588235294117</v>
      </c>
      <c r="H40" s="21">
        <f>VLOOKUP(B40,Sheet1!$B:$O,14,FALSE)/VLOOKUP(B40,Sheet1!$B:$L,2,FALSE)</f>
        <v>0.52941176470588236</v>
      </c>
      <c r="I40" s="21">
        <f>VLOOKUP(B40,Sheet1!$AE:$AJ,6,FALSE)</f>
        <v>5.8</v>
      </c>
      <c r="J40" s="21">
        <f>VLOOKUP(B40,Sheet1!$AE:$AK,7,FALSE)/VLOOKUP(B40,Sheet1!$AE:$AF,2,FALSE)</f>
        <v>1.5294117647058822</v>
      </c>
      <c r="K40" s="21">
        <f>VLOOKUP(B40,Sheet1!$AE:$AX,20,FALSE)</f>
        <v>5</v>
      </c>
      <c r="L40" s="22">
        <f>E40*4+F40*2+G40*6.5-H40*3</f>
        <v>23.345327370714365</v>
      </c>
      <c r="M40" s="23">
        <f>I39*6-J39*3.5-K39</f>
        <v>22.870588235294118</v>
      </c>
      <c r="N40" s="24">
        <f>(L40+M40)/2</f>
        <v>23.10795780300424</v>
      </c>
      <c r="O40" s="21"/>
      <c r="P40" s="21">
        <f>VLOOKUP(B40,Sheet1!$B:$L,3,FALSE)/VLOOKUP(B40,Sheet1!$B:$L,2,FALSE)</f>
        <v>21</v>
      </c>
      <c r="Q40" s="21">
        <f>VLOOKUP(B39,Sheet1!$AE:$AG,3,FALSE)/VLOOKUP(B39,Sheet1!$AE:$AG,2,FALSE)</f>
        <v>21.294117647058822</v>
      </c>
      <c r="R40" s="24">
        <f>(P40+Q40)/2</f>
        <v>21.147058823529413</v>
      </c>
      <c r="S40" s="64">
        <f>ROUND((N40+P40+Q40)/3,2)</f>
        <v>21.8</v>
      </c>
      <c r="T40" s="26" t="s">
        <v>72</v>
      </c>
      <c r="U40" s="27">
        <f>IF(R40&gt;R39,ROUND(R39*2-R40*2,0)/2,ROUND(R40*2-R39*2,0)/2)</f>
        <v>-1</v>
      </c>
      <c r="V40" s="27" t="str">
        <f>IF(R39&gt;R40,C39,C40)</f>
        <v>MIN</v>
      </c>
      <c r="W40" s="28">
        <f>R39+R40</f>
        <v>43.411764705882355</v>
      </c>
      <c r="X40" s="66">
        <f>(ROUND(SUMIFS(S:S, C:C, Y39)*2,0)/2)-(ROUND(SUMIFS(S:S, C:C, X39)*2,0)/2)</f>
        <v>-1</v>
      </c>
      <c r="Y40" s="60" t="str">
        <f>"+"&amp;ABS(X40)</f>
        <v>+1</v>
      </c>
      <c r="Z40" s="34" t="e">
        <f>IFERROR(VLOOKUP(A40,#REF!,9,FALSE),VLOOKUP(A40,#REF!,7,FALSE))</f>
        <v>#REF!</v>
      </c>
      <c r="AA40" s="35" t="str">
        <f>IFERROR(VLOOKUP(A40,#REF!,4,FALSE)+VLOOKUP(A40,#REF!,5,FALSE),"")</f>
        <v/>
      </c>
      <c r="AB40" s="60" t="e">
        <f>VLOOKUP(VLOOKUP(A40,#REF!,6,FALSE),$B:$C,2,FALSE)</f>
        <v>#REF!</v>
      </c>
      <c r="AC40" s="37" t="e">
        <f>IF(AB40=V40,U40,-U40)</f>
        <v>#REF!</v>
      </c>
      <c r="AD40" s="36" t="e">
        <f>IFERROR(VLOOKUP(A40,#REF!,6,FALSE),VLOOKUP(A40,#REF!,5,FALSE))</f>
        <v>#REF!</v>
      </c>
      <c r="AE40" s="60" t="str">
        <f>IFERROR(VLOOKUP(A40,#REF!,8,FALSE),"")</f>
        <v/>
      </c>
      <c r="AF40" s="60" t="e">
        <f>IF(AC40-AD40&gt;0,"Underdog",IF(AC40-AD40=0,"Push","Favorite"))</f>
        <v>#REF!</v>
      </c>
      <c r="AG40" s="60" t="str">
        <f>IFERROR(IF(AE40-AD40&gt;0,"Underdog",IF(AE40-AD40=0,"Push","Favorite")),"")</f>
        <v/>
      </c>
      <c r="AI40" t="str">
        <f>IFERROR(VLOOKUP(VLOOKUP(A40,#REF!,10,FALSE),$B:$C,2,FALSE),"")</f>
        <v/>
      </c>
      <c r="AK40" t="str">
        <f>IFERROR(IF(OR(AND(W40-Z40&gt;0,AA40-Z40&gt;0),AND(W40-Z40&lt;0,AA40-Z40&lt;0)),1,-1),"")</f>
        <v/>
      </c>
      <c r="AM40" t="str">
        <f>IF(V40=AI40,1,IF(AI40="","",-1))</f>
        <v/>
      </c>
      <c r="AO40" t="str">
        <f>IFERROR(IF(AF40=AG40,1,IF(AG40="Push",0,-1)),"")</f>
        <v/>
      </c>
      <c r="AR40">
        <f t="shared" si="0"/>
        <v>20231113</v>
      </c>
    </row>
    <row r="41" spans="1:44" ht="15.75" thickBot="1" x14ac:dyDescent="0.3">
      <c r="B41" s="80" t="s">
        <v>45</v>
      </c>
      <c r="C41" s="80"/>
      <c r="D41" s="80"/>
      <c r="W41" s="1" t="e">
        <f>IF(X41=AB39,X41&amp;" "&amp;Y41,X41&amp;" +"&amp;Y41)</f>
        <v>#REF!</v>
      </c>
      <c r="X41" t="e">
        <f>IF(Y39=AB39,X39,IF(X40-AD39&gt;0,Y39,X39))</f>
        <v>#REF!</v>
      </c>
      <c r="Y41" t="e">
        <f>IF(X41=AB39,AD39,-1*AD39)</f>
        <v>#REF!</v>
      </c>
      <c r="AR41">
        <f t="shared" si="0"/>
        <v>0</v>
      </c>
    </row>
    <row r="42" spans="1:44" x14ac:dyDescent="0.25">
      <c r="A42">
        <v>20231114</v>
      </c>
      <c r="B42" s="29" t="s">
        <v>39</v>
      </c>
      <c r="C42" s="30" t="s">
        <v>107</v>
      </c>
      <c r="D42" s="31" t="s">
        <v>56</v>
      </c>
      <c r="E42" s="9">
        <f>VLOOKUP(B42,Sheet1!$B:$L,10,FALSE)/VLOOKUP(B42,Sheet1!$B:$L,11,FALSE)</f>
        <v>0.65541740674955595</v>
      </c>
      <c r="F42" s="10">
        <f>VLOOKUP(B42,Sheet1!$B:$P,15,FALSE)</f>
        <v>6.4</v>
      </c>
      <c r="G42" s="11">
        <f>VLOOKUP(B42,Sheet1!$B:$N,13,FALSE)/VLOOKUP(B42,Sheet1!$B:$L,2,FALSE)</f>
        <v>1.411764705882353</v>
      </c>
      <c r="H42" s="11">
        <f>VLOOKUP(B42,Sheet1!$B:$O,14,FALSE)/VLOOKUP(B42,Sheet1!$B:$L,2,FALSE)</f>
        <v>0.94117647058823528</v>
      </c>
      <c r="I42" s="11">
        <f>VLOOKUP(B42,Sheet1!$AE:$AJ,6,FALSE)</f>
        <v>5.5</v>
      </c>
      <c r="J42" s="11">
        <f>VLOOKUP(B42,Sheet1!$AE:$AK,7,FALSE)/VLOOKUP(B42,Sheet1!$AE:$AF,2,FALSE)</f>
        <v>1.0588235294117647</v>
      </c>
      <c r="K42" s="11">
        <f>VLOOKUP(B42,Sheet1!$AE:$AX,20,FALSE)</f>
        <v>4.3</v>
      </c>
      <c r="L42" s="12">
        <f>E42*4+F42*2+G42*6.5-H42*3</f>
        <v>21.774610803468814</v>
      </c>
      <c r="M42" s="13">
        <f>I43*6-J43*3.5-K43</f>
        <v>23.247058823529418</v>
      </c>
      <c r="N42" s="14">
        <f>(L42+M42)/2</f>
        <v>22.510834813499116</v>
      </c>
      <c r="O42" s="11"/>
      <c r="P42" s="11">
        <f>VLOOKUP(B42,Sheet1!$B:$L,3,FALSE)/VLOOKUP(B42,Sheet1!$B:$L,2,FALSE)</f>
        <v>25.470588235294116</v>
      </c>
      <c r="Q42" s="11">
        <f>VLOOKUP(B43,Sheet1!$AE:$AG,3,FALSE)/VLOOKUP(B43,Sheet1!$AE:$AG,2,FALSE)</f>
        <v>19.117647058823529</v>
      </c>
      <c r="R42" s="14">
        <f>(P42+Q42)/2</f>
        <v>22.294117647058822</v>
      </c>
      <c r="S42" s="63">
        <f>ROUND((N42+P42+Q42)/3,2)</f>
        <v>22.37</v>
      </c>
      <c r="T42" s="16" t="s">
        <v>71</v>
      </c>
      <c r="U42" s="17">
        <f>IF(N43&gt;N42,ROUND(N42*2-N43*2,0)/2,ROUND(N43*2-N42*2,0)/2)</f>
        <v>-2</v>
      </c>
      <c r="V42" s="17" t="str">
        <f>IF(N42&gt;N43,C42,C43)</f>
        <v>TB</v>
      </c>
      <c r="W42" s="18">
        <f>N42+N43</f>
        <v>47.060172013167715</v>
      </c>
      <c r="X42" s="60" t="str">
        <f>IF(S42&gt;S43,C42,C43)</f>
        <v>TB</v>
      </c>
      <c r="Y42" s="60" t="str">
        <f>IF(X42=C42,C43,C42)</f>
        <v>PHI</v>
      </c>
      <c r="Z42" s="34" t="e">
        <f>IFERROR(VLOOKUP(A42,#REF!,9,FALSE),VLOOKUP(A42,#REF!,7,FALSE))</f>
        <v>#REF!</v>
      </c>
      <c r="AA42" s="35" t="str">
        <f>IFERROR(VLOOKUP(A42,#REF!,4,FALSE)+VLOOKUP(A42,#REF!,5,FALSE),"")</f>
        <v/>
      </c>
      <c r="AB42" s="60" t="e">
        <f>VLOOKUP(VLOOKUP(A42,#REF!,6,FALSE),$B:$C,2,FALSE)</f>
        <v>#REF!</v>
      </c>
      <c r="AC42" s="37" t="e">
        <f>IF(AB42=V42,U42,-U42)</f>
        <v>#REF!</v>
      </c>
      <c r="AD42" s="36" t="e">
        <f>IFERROR(VLOOKUP(A42,#REF!,6,FALSE),VLOOKUP(A42,#REF!,5,FALSE))</f>
        <v>#REF!</v>
      </c>
      <c r="AE42" s="60" t="str">
        <f>IFERROR(VLOOKUP(A42,#REF!,8,FALSE),"")</f>
        <v/>
      </c>
      <c r="AF42" s="60" t="e">
        <f>IF(AC42-AD42&gt;0,"Underdog",IF(AC42-AD42=0,"Push","Favorite"))</f>
        <v>#REF!</v>
      </c>
      <c r="AG42" s="60" t="str">
        <f>IFERROR(IF(AE42-AD42&gt;0,"Underdog",IF(AE42-AD42=0,"Push","Favorite")),"")</f>
        <v/>
      </c>
      <c r="AI42" t="str">
        <f>IFERROR(VLOOKUP(VLOOKUP(A42,#REF!,10,FALSE),$B:$C,2,FALSE),"")</f>
        <v/>
      </c>
      <c r="AK42" t="str">
        <f>IFERROR(IF(OR(AND(W42-Z42&gt;0,AA42-Z42&gt;0),AND(W42-Z42&lt;0,AA42-Z42&lt;0)),1,-1),"")</f>
        <v/>
      </c>
      <c r="AM42" t="str">
        <f>IF(V42=AI42,1,IF(AI42="","",-1))</f>
        <v/>
      </c>
      <c r="AO42" t="str">
        <f>IFERROR(IF(AF42=AG42,1,IF(AG42="Push",0,-1)),"")</f>
        <v/>
      </c>
      <c r="AR42">
        <f t="shared" si="0"/>
        <v>20231114</v>
      </c>
    </row>
    <row r="43" spans="1:44" ht="15.75" thickBot="1" x14ac:dyDescent="0.3">
      <c r="A43">
        <v>20231114</v>
      </c>
      <c r="B43" s="32" t="s">
        <v>69</v>
      </c>
      <c r="C43" s="33" t="s">
        <v>106</v>
      </c>
      <c r="D43" s="33" t="s">
        <v>57</v>
      </c>
      <c r="E43" s="19">
        <f>VLOOKUP(B43,Sheet1!$B:$L,10,FALSE)/VLOOKUP(B43,Sheet1!$B:$L,11,FALSE)</f>
        <v>0.64084507042253525</v>
      </c>
      <c r="F43" s="20">
        <f>VLOOKUP(B43,Sheet1!$B:$P,15,FALSE)</f>
        <v>6.3</v>
      </c>
      <c r="G43" s="21">
        <f>VLOOKUP(B43,Sheet1!$B:$N,13,FALSE)/VLOOKUP(B43,Sheet1!$B:$L,2,FALSE)</f>
        <v>1.6470588235294117</v>
      </c>
      <c r="H43" s="21">
        <f>VLOOKUP(B43,Sheet1!$B:$O,14,FALSE)/VLOOKUP(B43,Sheet1!$B:$L,2,FALSE)</f>
        <v>0.58823529411764708</v>
      </c>
      <c r="I43" s="21">
        <f>VLOOKUP(B43,Sheet1!$AE:$AJ,6,FALSE)</f>
        <v>5.4</v>
      </c>
      <c r="J43" s="21">
        <f>VLOOKUP(B43,Sheet1!$AE:$AK,7,FALSE)/VLOOKUP(B43,Sheet1!$AE:$AF,2,FALSE)</f>
        <v>1.5294117647058822</v>
      </c>
      <c r="K43" s="21">
        <f>VLOOKUP(B43,Sheet1!$AE:$AX,20,FALSE)</f>
        <v>3.8</v>
      </c>
      <c r="L43" s="22">
        <f>E43*4+F43*2+G43*6.5-H43*3</f>
        <v>24.104556752278377</v>
      </c>
      <c r="M43" s="23">
        <f>I42*6-J42*3.5-K42</f>
        <v>24.994117647058822</v>
      </c>
      <c r="N43" s="24">
        <f>(L43+M43)/2</f>
        <v>24.549337199668599</v>
      </c>
      <c r="O43" s="21"/>
      <c r="P43" s="21">
        <f>VLOOKUP(B43,Sheet1!$B:$L,3,FALSE)/VLOOKUP(B43,Sheet1!$B:$L,2,FALSE)</f>
        <v>20.470588235294116</v>
      </c>
      <c r="Q43" s="21">
        <f>VLOOKUP(B42,Sheet1!$AE:$AG,3,FALSE)/VLOOKUP(B42,Sheet1!$AE:$AG,2,FALSE)</f>
        <v>25.176470588235293</v>
      </c>
      <c r="R43" s="24">
        <f>(P43+Q43)/2</f>
        <v>22.823529411764703</v>
      </c>
      <c r="S43" s="64">
        <f>ROUND((N43+P43+Q43)/3,2)</f>
        <v>23.4</v>
      </c>
      <c r="T43" s="26" t="s">
        <v>72</v>
      </c>
      <c r="U43" s="27">
        <f>IF(R43&gt;R42,ROUND(R42*2-R43*2,0)/2,ROUND(R43*2-R42*2,0)/2)</f>
        <v>-0.5</v>
      </c>
      <c r="V43" s="27" t="str">
        <f>IF(R42&gt;R43,C42,C43)</f>
        <v>TB</v>
      </c>
      <c r="W43" s="28">
        <f>R42+R43</f>
        <v>45.117647058823522</v>
      </c>
      <c r="X43" s="66">
        <f>(ROUND(SUMIFS(S:S, C:C, Y42)*2,0)/2)-(ROUND(SUMIFS(S:S, C:C, X42)*2,0)/2)</f>
        <v>-1</v>
      </c>
      <c r="Y43" s="60" t="str">
        <f>"+"&amp;ABS(X43)</f>
        <v>+1</v>
      </c>
      <c r="Z43" s="34" t="e">
        <f>IFERROR(VLOOKUP(A43,#REF!,9,FALSE),VLOOKUP(A43,#REF!,7,FALSE))</f>
        <v>#REF!</v>
      </c>
      <c r="AA43" s="35" t="str">
        <f>IFERROR(VLOOKUP(A43,#REF!,4,FALSE)+VLOOKUP(A43,#REF!,5,FALSE),"")</f>
        <v/>
      </c>
      <c r="AB43" s="60" t="e">
        <f>VLOOKUP(VLOOKUP(A43,#REF!,6,FALSE),$B:$C,2,FALSE)</f>
        <v>#REF!</v>
      </c>
      <c r="AC43" s="37" t="e">
        <f>IF(AB43=V43,U43,-U43)</f>
        <v>#REF!</v>
      </c>
      <c r="AD43" s="36" t="e">
        <f>IFERROR(VLOOKUP(A43,#REF!,6,FALSE),VLOOKUP(A43,#REF!,5,FALSE))</f>
        <v>#REF!</v>
      </c>
      <c r="AE43" s="60" t="str">
        <f>IFERROR(VLOOKUP(A43,#REF!,8,FALSE),"")</f>
        <v/>
      </c>
      <c r="AF43" s="60" t="e">
        <f>IF(AC43-AD43&gt;0,"Underdog",IF(AC43-AD43=0,"Push","Favorite"))</f>
        <v>#REF!</v>
      </c>
      <c r="AG43" s="60" t="str">
        <f>IFERROR(IF(AE43-AD43&gt;0,"Underdog",IF(AE43-AD43=0,"Push","Favorite")),"")</f>
        <v/>
      </c>
      <c r="AI43" t="str">
        <f>IFERROR(VLOOKUP(VLOOKUP(A43,#REF!,10,FALSE),$B:$C,2,FALSE),"")</f>
        <v/>
      </c>
      <c r="AK43" t="str">
        <f>IFERROR(IF(OR(AND(W43-Z43&gt;0,AA43-Z43&gt;0),AND(W43-Z43&lt;0,AA43-Z43&lt;0)),1,-1),"")</f>
        <v/>
      </c>
      <c r="AM43" t="str">
        <f>IF(V43=AI43,1,IF(AI43="","",-1))</f>
        <v/>
      </c>
      <c r="AO43" t="str">
        <f>IFERROR(IF(AF43=AG43,1,IF(AG43="Push",0,-1)),"")</f>
        <v/>
      </c>
      <c r="AR43">
        <f t="shared" si="0"/>
        <v>20231114</v>
      </c>
    </row>
    <row r="44" spans="1:44" ht="15.75" thickBot="1" x14ac:dyDescent="0.3">
      <c r="B44" s="65"/>
      <c r="C44" s="65"/>
      <c r="D44" s="65"/>
      <c r="W44" s="1" t="e">
        <f>IF(X44=AB42,X44&amp;" "&amp;Y44,X44&amp;" +"&amp;Y44)</f>
        <v>#REF!</v>
      </c>
      <c r="X44" t="e">
        <f>IF(Y42=AB42,X42,IF(X43-AD42&gt;0,Y42,X42))</f>
        <v>#REF!</v>
      </c>
      <c r="Y44" t="e">
        <f>IF(X44=AB42,AD42,-1*AD42)</f>
        <v>#REF!</v>
      </c>
    </row>
    <row r="45" spans="1:44" x14ac:dyDescent="0.25">
      <c r="B45" s="29"/>
      <c r="C45" s="30"/>
      <c r="D45" s="31"/>
      <c r="E45" s="9"/>
      <c r="F45" s="10"/>
      <c r="G45" s="11"/>
      <c r="H45" s="11"/>
      <c r="I45" s="11"/>
      <c r="J45" s="11"/>
      <c r="K45" s="11"/>
      <c r="L45" s="12"/>
      <c r="M45" s="13"/>
      <c r="N45" s="14"/>
      <c r="O45" s="11"/>
      <c r="P45" s="11"/>
      <c r="Q45" s="11"/>
      <c r="R45" s="14"/>
      <c r="S45" s="15"/>
      <c r="T45" s="16"/>
      <c r="U45" s="17"/>
      <c r="V45" s="17"/>
      <c r="W45" s="18"/>
      <c r="AD45" s="61"/>
    </row>
    <row r="46" spans="1:44" ht="15.75" thickBot="1" x14ac:dyDescent="0.3">
      <c r="B46" s="32"/>
      <c r="C46" s="33"/>
      <c r="D46" s="33"/>
      <c r="E46" s="19"/>
      <c r="F46" s="20"/>
      <c r="G46" s="21"/>
      <c r="H46" s="21"/>
      <c r="I46" s="21"/>
      <c r="J46" s="21"/>
      <c r="K46" s="21"/>
      <c r="L46" s="22"/>
      <c r="M46" s="23"/>
      <c r="N46" s="24"/>
      <c r="O46" s="21"/>
      <c r="P46" s="21"/>
      <c r="Q46" s="21"/>
      <c r="R46" s="24"/>
      <c r="S46" s="25"/>
      <c r="T46" s="26"/>
      <c r="U46" s="27"/>
      <c r="V46" s="27"/>
      <c r="W46" s="28"/>
    </row>
    <row r="47" spans="1:44" ht="15.75" thickBot="1" x14ac:dyDescent="0.3">
      <c r="B47" s="65"/>
      <c r="C47" s="65"/>
      <c r="D47" s="65"/>
      <c r="W47" s="1"/>
    </row>
    <row r="48" spans="1:44" x14ac:dyDescent="0.25">
      <c r="B48" s="29"/>
      <c r="C48" s="30"/>
      <c r="D48" s="31"/>
      <c r="E48" s="9"/>
      <c r="F48" s="10"/>
      <c r="G48" s="11"/>
      <c r="H48" s="11"/>
      <c r="I48" s="11"/>
      <c r="J48" s="11"/>
      <c r="K48" s="11"/>
      <c r="L48" s="12"/>
      <c r="M48" s="13"/>
      <c r="N48" s="14"/>
      <c r="O48" s="11"/>
      <c r="P48" s="11"/>
      <c r="Q48" s="11"/>
      <c r="R48" s="14"/>
      <c r="S48" s="15"/>
      <c r="T48" s="16"/>
      <c r="U48" s="17"/>
      <c r="V48" s="17"/>
      <c r="W48" s="18"/>
      <c r="AD48" s="61"/>
    </row>
    <row r="49" spans="2:42" ht="15.75" thickBot="1" x14ac:dyDescent="0.3">
      <c r="B49" s="32"/>
      <c r="C49" s="33"/>
      <c r="D49" s="33"/>
      <c r="E49" s="19"/>
      <c r="F49" s="20"/>
      <c r="G49" s="21"/>
      <c r="H49" s="21"/>
      <c r="I49" s="21"/>
      <c r="J49" s="21"/>
      <c r="K49" s="21"/>
      <c r="L49" s="22"/>
      <c r="M49" s="23"/>
      <c r="N49" s="24"/>
      <c r="O49" s="21"/>
      <c r="P49" s="21"/>
      <c r="Q49" s="21"/>
      <c r="R49" s="24"/>
      <c r="S49" s="25"/>
      <c r="T49" s="26"/>
      <c r="U49" s="27"/>
      <c r="V49" s="27"/>
      <c r="W49" s="28"/>
    </row>
    <row r="50" spans="2:42" ht="21" x14ac:dyDescent="0.25">
      <c r="B50" s="38"/>
      <c r="AI50" t="s">
        <v>84</v>
      </c>
      <c r="AJ50" t="s">
        <v>85</v>
      </c>
      <c r="AK50">
        <f>COUNTIFS(AK3:AK49,1,T3:T49,"model 1")</f>
        <v>0</v>
      </c>
      <c r="AM50">
        <f>COUNTIFS(AM3:AM49,1,T3:T49,"model 1")</f>
        <v>0</v>
      </c>
      <c r="AO50">
        <f>COUNTIFS(AO3:AO49,1,T3:T49,"model 1")</f>
        <v>0</v>
      </c>
      <c r="AP50">
        <f>SUM(AK50:AO50)</f>
        <v>0</v>
      </c>
    </row>
    <row r="51" spans="2:42" x14ac:dyDescent="0.25">
      <c r="B51" s="39"/>
      <c r="AJ51" t="s">
        <v>86</v>
      </c>
      <c r="AK51">
        <f>COUNTIFS(AK3:AK49,-1,T3:T49,"model 1")</f>
        <v>0</v>
      </c>
      <c r="AM51">
        <f>COUNTIFS(AM3:AM49,-1,T3:T49,"model 1")</f>
        <v>0</v>
      </c>
      <c r="AO51">
        <f>COUNTIFS(AO3:AO49,-1,T3:T49,"model 1")</f>
        <v>0</v>
      </c>
      <c r="AP51">
        <f>SUM(AK51:AO51)</f>
        <v>0</v>
      </c>
    </row>
    <row r="52" spans="2:42" x14ac:dyDescent="0.25">
      <c r="B52" s="40"/>
      <c r="AI52" t="s">
        <v>87</v>
      </c>
      <c r="AJ52" t="s">
        <v>85</v>
      </c>
      <c r="AK52">
        <f>COUNTIFS(AK3:AK49,1,T3:T49,"model 2")</f>
        <v>0</v>
      </c>
      <c r="AM52">
        <f>COUNTIFS(AM3:AM49,1,T3:T49,"model 2")</f>
        <v>0</v>
      </c>
      <c r="AO52">
        <f>COUNTIFS(AO3:AO49,1,T3:T49,"model 2")</f>
        <v>0</v>
      </c>
      <c r="AP52">
        <f>SUM(AK52:AO52)</f>
        <v>0</v>
      </c>
    </row>
    <row r="53" spans="2:42" x14ac:dyDescent="0.25">
      <c r="B53" s="39"/>
      <c r="AJ53" t="s">
        <v>86</v>
      </c>
      <c r="AK53">
        <f>COUNTIFS(AK3:AK49,-1,T3:T49,"model 2")</f>
        <v>0</v>
      </c>
      <c r="AM53">
        <f>COUNTIFS(AM3:AM49,-1,T3:T49,"model 2")</f>
        <v>0</v>
      </c>
      <c r="AO53">
        <f>COUNTIFS(AO3:AO49,-1,T3:T49,"model 2")</f>
        <v>0</v>
      </c>
      <c r="AP53">
        <f>SUM(AK53:AO53)</f>
        <v>0</v>
      </c>
    </row>
    <row r="54" spans="2:42" ht="15.75" x14ac:dyDescent="0.25">
      <c r="B54" s="41"/>
      <c r="AP54">
        <f>AP50+AP52</f>
        <v>0</v>
      </c>
    </row>
    <row r="55" spans="2:42" x14ac:dyDescent="0.25">
      <c r="B55" s="42"/>
      <c r="AP55">
        <f>AP51+AP53</f>
        <v>0</v>
      </c>
    </row>
    <row r="56" spans="2:42" x14ac:dyDescent="0.25">
      <c r="B56" s="43"/>
    </row>
    <row r="57" spans="2:42" x14ac:dyDescent="0.25">
      <c r="B57" s="42"/>
    </row>
    <row r="58" spans="2:42" x14ac:dyDescent="0.25">
      <c r="B58" s="43"/>
    </row>
    <row r="59" spans="2:42" x14ac:dyDescent="0.25">
      <c r="B59" s="42"/>
    </row>
    <row r="60" spans="2:42" x14ac:dyDescent="0.25">
      <c r="B60" s="43"/>
    </row>
    <row r="61" spans="2:42" x14ac:dyDescent="0.25">
      <c r="B61" s="42"/>
    </row>
    <row r="62" spans="2:42" x14ac:dyDescent="0.25">
      <c r="B62" s="43"/>
    </row>
    <row r="63" spans="2:42" x14ac:dyDescent="0.25">
      <c r="B63" s="42"/>
    </row>
    <row r="64" spans="2:42" x14ac:dyDescent="0.25">
      <c r="B64" s="43"/>
    </row>
    <row r="65" spans="2:2" x14ac:dyDescent="0.25">
      <c r="B65" s="42"/>
    </row>
    <row r="66" spans="2:2" x14ac:dyDescent="0.25">
      <c r="B66" s="43"/>
    </row>
    <row r="67" spans="2:2" x14ac:dyDescent="0.25">
      <c r="B67" s="42"/>
    </row>
    <row r="68" spans="2:2" x14ac:dyDescent="0.25">
      <c r="B68" s="43"/>
    </row>
    <row r="69" spans="2:2" x14ac:dyDescent="0.25">
      <c r="B69" s="42"/>
    </row>
    <row r="70" spans="2:2" x14ac:dyDescent="0.25">
      <c r="B70" s="43"/>
    </row>
    <row r="71" spans="2:2" x14ac:dyDescent="0.25">
      <c r="B71" s="42"/>
    </row>
    <row r="72" spans="2:2" ht="15.75" x14ac:dyDescent="0.25">
      <c r="B72" s="41"/>
    </row>
    <row r="73" spans="2:2" x14ac:dyDescent="0.25">
      <c r="B73" s="42"/>
    </row>
    <row r="74" spans="2:2" x14ac:dyDescent="0.25">
      <c r="B74" s="43"/>
    </row>
    <row r="75" spans="2:2" x14ac:dyDescent="0.25">
      <c r="B75" s="42"/>
    </row>
    <row r="76" spans="2:2" x14ac:dyDescent="0.25">
      <c r="B76" s="43"/>
    </row>
    <row r="77" spans="2:2" x14ac:dyDescent="0.25">
      <c r="B77" s="42"/>
    </row>
    <row r="78" spans="2:2" x14ac:dyDescent="0.25">
      <c r="B78" s="43"/>
    </row>
    <row r="79" spans="2:2" x14ac:dyDescent="0.25">
      <c r="B79" s="42"/>
    </row>
    <row r="80" spans="2:2" ht="15.75" x14ac:dyDescent="0.25">
      <c r="B80" s="41"/>
    </row>
    <row r="81" spans="2:2" x14ac:dyDescent="0.25">
      <c r="B81" s="42"/>
    </row>
    <row r="82" spans="2:2" x14ac:dyDescent="0.25">
      <c r="B82" s="43"/>
    </row>
    <row r="83" spans="2:2" x14ac:dyDescent="0.25">
      <c r="B83" s="42"/>
    </row>
    <row r="84" spans="2:2" x14ac:dyDescent="0.25">
      <c r="B84" s="43"/>
    </row>
    <row r="85" spans="2:2" x14ac:dyDescent="0.25">
      <c r="B85" s="42"/>
    </row>
    <row r="86" spans="2:2" x14ac:dyDescent="0.25">
      <c r="B86" s="43"/>
    </row>
    <row r="87" spans="2:2" x14ac:dyDescent="0.25">
      <c r="B87" s="42"/>
    </row>
    <row r="88" spans="2:2" ht="15.75" x14ac:dyDescent="0.25">
      <c r="B88" s="41"/>
    </row>
    <row r="89" spans="2:2" x14ac:dyDescent="0.25">
      <c r="B89" s="42"/>
    </row>
    <row r="90" spans="2:2" x14ac:dyDescent="0.25">
      <c r="B90" s="43"/>
    </row>
    <row r="91" spans="2:2" x14ac:dyDescent="0.25">
      <c r="B91" s="42"/>
    </row>
    <row r="92" spans="2:2" x14ac:dyDescent="0.25">
      <c r="B92" s="43"/>
    </row>
    <row r="93" spans="2:2" x14ac:dyDescent="0.25">
      <c r="B93" s="42"/>
    </row>
    <row r="94" spans="2:2" x14ac:dyDescent="0.25">
      <c r="B94" s="43"/>
    </row>
    <row r="95" spans="2:2" x14ac:dyDescent="0.25">
      <c r="B95" s="42"/>
    </row>
    <row r="96" spans="2:2" x14ac:dyDescent="0.25">
      <c r="B96" s="43"/>
    </row>
    <row r="97" spans="2:2" x14ac:dyDescent="0.25">
      <c r="B97" s="42"/>
    </row>
    <row r="98" spans="2:2" x14ac:dyDescent="0.25">
      <c r="B98" s="43"/>
    </row>
    <row r="99" spans="2:2" x14ac:dyDescent="0.25">
      <c r="B99" s="42"/>
    </row>
    <row r="100" spans="2:2" x14ac:dyDescent="0.25">
      <c r="B100" s="43"/>
    </row>
    <row r="101" spans="2:2" x14ac:dyDescent="0.25">
      <c r="B101" s="42"/>
    </row>
    <row r="102" spans="2:2" x14ac:dyDescent="0.25">
      <c r="B102" s="43"/>
    </row>
    <row r="103" spans="2:2" x14ac:dyDescent="0.25">
      <c r="B103" s="42"/>
    </row>
    <row r="104" spans="2:2" x14ac:dyDescent="0.25">
      <c r="B104" s="43"/>
    </row>
    <row r="105" spans="2:2" x14ac:dyDescent="0.25">
      <c r="B105" s="42"/>
    </row>
    <row r="106" spans="2:2" x14ac:dyDescent="0.25">
      <c r="B106" s="43"/>
    </row>
    <row r="107" spans="2:2" x14ac:dyDescent="0.25">
      <c r="B107" s="42"/>
    </row>
    <row r="108" spans="2:2" x14ac:dyDescent="0.25">
      <c r="B108" s="43"/>
    </row>
    <row r="109" spans="2:2" x14ac:dyDescent="0.25">
      <c r="B109" s="42"/>
    </row>
    <row r="110" spans="2:2" x14ac:dyDescent="0.25">
      <c r="B110" s="43"/>
    </row>
    <row r="111" spans="2:2" x14ac:dyDescent="0.25">
      <c r="B111" s="42"/>
    </row>
    <row r="112" spans="2:2" x14ac:dyDescent="0.25">
      <c r="B112" s="43"/>
    </row>
    <row r="113" spans="2:2" x14ac:dyDescent="0.25">
      <c r="B113" s="42"/>
    </row>
    <row r="114" spans="2:2" x14ac:dyDescent="0.25">
      <c r="B114" s="43"/>
    </row>
    <row r="115" spans="2:2" x14ac:dyDescent="0.25">
      <c r="B115" s="42"/>
    </row>
    <row r="116" spans="2:2" x14ac:dyDescent="0.25">
      <c r="B116" s="43"/>
    </row>
    <row r="117" spans="2:2" x14ac:dyDescent="0.25">
      <c r="B117" s="42"/>
    </row>
    <row r="118" spans="2:2" x14ac:dyDescent="0.25">
      <c r="B118" s="43"/>
    </row>
    <row r="119" spans="2:2" x14ac:dyDescent="0.25">
      <c r="B119" s="42"/>
    </row>
    <row r="120" spans="2:2" x14ac:dyDescent="0.25">
      <c r="B120" s="43"/>
    </row>
    <row r="121" spans="2:2" x14ac:dyDescent="0.25">
      <c r="B121" s="42"/>
    </row>
    <row r="122" spans="2:2" x14ac:dyDescent="0.25">
      <c r="B122" s="43"/>
    </row>
    <row r="123" spans="2:2" x14ac:dyDescent="0.25">
      <c r="B123" s="42"/>
    </row>
    <row r="124" spans="2:2" ht="15.75" x14ac:dyDescent="0.25">
      <c r="B124" s="41"/>
    </row>
    <row r="125" spans="2:2" x14ac:dyDescent="0.25">
      <c r="B125" s="42"/>
    </row>
    <row r="126" spans="2:2" x14ac:dyDescent="0.25">
      <c r="B126" s="43"/>
    </row>
    <row r="127" spans="2:2" x14ac:dyDescent="0.25">
      <c r="B127" s="42"/>
    </row>
    <row r="128" spans="2:2" x14ac:dyDescent="0.25">
      <c r="B128" s="43"/>
    </row>
    <row r="129" spans="2:2" x14ac:dyDescent="0.25">
      <c r="B129" s="42"/>
    </row>
    <row r="130" spans="2:2" x14ac:dyDescent="0.25">
      <c r="B130" s="42"/>
    </row>
    <row r="131" spans="2:2" x14ac:dyDescent="0.25">
      <c r="B131" s="43"/>
    </row>
    <row r="132" spans="2:2" x14ac:dyDescent="0.25">
      <c r="B132" s="42"/>
    </row>
    <row r="133" spans="2:2" x14ac:dyDescent="0.25">
      <c r="B133" s="43"/>
    </row>
    <row r="134" spans="2:2" x14ac:dyDescent="0.25">
      <c r="B134" s="42"/>
    </row>
    <row r="135" spans="2:2" x14ac:dyDescent="0.25">
      <c r="B135" s="43"/>
    </row>
    <row r="136" spans="2:2" x14ac:dyDescent="0.25">
      <c r="B136" s="42"/>
    </row>
    <row r="137" spans="2:2" x14ac:dyDescent="0.25">
      <c r="B137" s="43"/>
    </row>
    <row r="138" spans="2:2" x14ac:dyDescent="0.25">
      <c r="B138" s="42"/>
    </row>
    <row r="139" spans="2:2" x14ac:dyDescent="0.25">
      <c r="B139" s="43"/>
    </row>
    <row r="140" spans="2:2" x14ac:dyDescent="0.25">
      <c r="B140" s="42"/>
    </row>
    <row r="141" spans="2:2" x14ac:dyDescent="0.25">
      <c r="B141" s="43"/>
    </row>
    <row r="142" spans="2:2" x14ac:dyDescent="0.25">
      <c r="B142" s="42"/>
    </row>
    <row r="143" spans="2:2" x14ac:dyDescent="0.25">
      <c r="B143" s="43"/>
    </row>
    <row r="144" spans="2:2" x14ac:dyDescent="0.25">
      <c r="B144" s="42"/>
    </row>
    <row r="145" spans="2:2" x14ac:dyDescent="0.25">
      <c r="B145" s="43"/>
    </row>
    <row r="146" spans="2:2" x14ac:dyDescent="0.25">
      <c r="B146" s="42"/>
    </row>
    <row r="147" spans="2:2" x14ac:dyDescent="0.25">
      <c r="B147" s="43"/>
    </row>
    <row r="148" spans="2:2" x14ac:dyDescent="0.25">
      <c r="B148" s="42"/>
    </row>
    <row r="149" spans="2:2" x14ac:dyDescent="0.25">
      <c r="B149" s="43"/>
    </row>
    <row r="150" spans="2:2" x14ac:dyDescent="0.25">
      <c r="B150" s="42"/>
    </row>
    <row r="151" spans="2:2" x14ac:dyDescent="0.25">
      <c r="B151" s="43"/>
    </row>
    <row r="152" spans="2:2" x14ac:dyDescent="0.25">
      <c r="B152" s="42"/>
    </row>
    <row r="153" spans="2:2" x14ac:dyDescent="0.25">
      <c r="B153" s="43"/>
    </row>
    <row r="154" spans="2:2" x14ac:dyDescent="0.25">
      <c r="B154" s="42"/>
    </row>
    <row r="155" spans="2:2" x14ac:dyDescent="0.25">
      <c r="B155" s="43"/>
    </row>
    <row r="156" spans="2:2" x14ac:dyDescent="0.25">
      <c r="B156" s="42"/>
    </row>
    <row r="157" spans="2:2" x14ac:dyDescent="0.25">
      <c r="B157" s="43"/>
    </row>
    <row r="158" spans="2:2" x14ac:dyDescent="0.25">
      <c r="B158" s="42"/>
    </row>
    <row r="159" spans="2:2" x14ac:dyDescent="0.25">
      <c r="B159" s="43"/>
    </row>
    <row r="160" spans="2:2" x14ac:dyDescent="0.25">
      <c r="B160" s="42"/>
    </row>
    <row r="161" spans="2:2" ht="15.75" x14ac:dyDescent="0.25">
      <c r="B161" s="41"/>
    </row>
    <row r="162" spans="2:2" x14ac:dyDescent="0.25">
      <c r="B162" s="42"/>
    </row>
    <row r="163" spans="2:2" x14ac:dyDescent="0.25">
      <c r="B163" s="43"/>
    </row>
    <row r="164" spans="2:2" x14ac:dyDescent="0.25">
      <c r="B164" s="42"/>
    </row>
    <row r="165" spans="2:2" x14ac:dyDescent="0.25">
      <c r="B165" s="43"/>
    </row>
    <row r="166" spans="2:2" x14ac:dyDescent="0.25">
      <c r="B166" s="42"/>
    </row>
    <row r="167" spans="2:2" x14ac:dyDescent="0.25">
      <c r="B167" s="43"/>
    </row>
    <row r="168" spans="2:2" x14ac:dyDescent="0.25">
      <c r="B168" s="42"/>
    </row>
    <row r="169" spans="2:2" x14ac:dyDescent="0.25">
      <c r="B169" s="43"/>
    </row>
    <row r="170" spans="2:2" x14ac:dyDescent="0.25">
      <c r="B170" s="42"/>
    </row>
    <row r="171" spans="2:2" x14ac:dyDescent="0.25">
      <c r="B171" s="43"/>
    </row>
    <row r="172" spans="2:2" x14ac:dyDescent="0.25">
      <c r="B172" s="42"/>
    </row>
    <row r="173" spans="2:2" x14ac:dyDescent="0.25">
      <c r="B173" s="43"/>
    </row>
    <row r="174" spans="2:2" x14ac:dyDescent="0.25">
      <c r="B174" s="42"/>
    </row>
    <row r="175" spans="2:2" x14ac:dyDescent="0.25">
      <c r="B175" s="43"/>
    </row>
    <row r="176" spans="2:2" x14ac:dyDescent="0.25">
      <c r="B176" s="42"/>
    </row>
    <row r="177" spans="2:2" x14ac:dyDescent="0.25">
      <c r="B177" s="43"/>
    </row>
    <row r="178" spans="2:2" x14ac:dyDescent="0.25">
      <c r="B178" s="42"/>
    </row>
    <row r="179" spans="2:2" x14ac:dyDescent="0.25">
      <c r="B179" s="43"/>
    </row>
    <row r="180" spans="2:2" x14ac:dyDescent="0.25">
      <c r="B180" s="42"/>
    </row>
    <row r="181" spans="2:2" x14ac:dyDescent="0.25">
      <c r="B181" s="45"/>
    </row>
    <row r="182" spans="2:2" x14ac:dyDescent="0.25">
      <c r="B182" s="46"/>
    </row>
    <row r="183" spans="2:2" x14ac:dyDescent="0.25">
      <c r="B183" s="45"/>
    </row>
    <row r="184" spans="2:2" x14ac:dyDescent="0.25">
      <c r="B184" s="43"/>
    </row>
    <row r="185" spans="2:2" ht="21" x14ac:dyDescent="0.25">
      <c r="B185" s="38"/>
    </row>
    <row r="186" spans="2:2" x14ac:dyDescent="0.25">
      <c r="B186" s="47"/>
    </row>
    <row r="187" spans="2:2" x14ac:dyDescent="0.25">
      <c r="B187" s="45"/>
    </row>
    <row r="188" spans="2:2" x14ac:dyDescent="0.25">
      <c r="B188" s="45"/>
    </row>
    <row r="189" spans="2:2" x14ac:dyDescent="0.25">
      <c r="B189" s="46"/>
    </row>
    <row r="190" spans="2:2" x14ac:dyDescent="0.25">
      <c r="B190" s="46"/>
    </row>
    <row r="191" spans="2:2" ht="15.75" thickBot="1" x14ac:dyDescent="0.3">
      <c r="B191" s="44"/>
    </row>
    <row r="192" spans="2:2" x14ac:dyDescent="0.25">
      <c r="B192" s="48"/>
    </row>
    <row r="193" spans="2:2" x14ac:dyDescent="0.25">
      <c r="B193" s="46"/>
    </row>
    <row r="194" spans="2:2" x14ac:dyDescent="0.25">
      <c r="B194" s="46"/>
    </row>
    <row r="195" spans="2:2" x14ac:dyDescent="0.25">
      <c r="B195" s="46"/>
    </row>
    <row r="196" spans="2:2" x14ac:dyDescent="0.25">
      <c r="B196" s="46"/>
    </row>
    <row r="197" spans="2:2" x14ac:dyDescent="0.25">
      <c r="B197" s="46"/>
    </row>
    <row r="198" spans="2:2" x14ac:dyDescent="0.25">
      <c r="B198" s="46"/>
    </row>
    <row r="199" spans="2:2" x14ac:dyDescent="0.25">
      <c r="B199" s="46"/>
    </row>
    <row r="200" spans="2:2" ht="15.75" thickBot="1" x14ac:dyDescent="0.3">
      <c r="B200" s="46"/>
    </row>
    <row r="201" spans="2:2" x14ac:dyDescent="0.25">
      <c r="B201" s="48"/>
    </row>
    <row r="202" spans="2:2" x14ac:dyDescent="0.25">
      <c r="B202" s="44"/>
    </row>
    <row r="203" spans="2:2" ht="15.75" thickBot="1" x14ac:dyDescent="0.3">
      <c r="B203" s="44"/>
    </row>
    <row r="204" spans="2:2" x14ac:dyDescent="0.25">
      <c r="B204" s="48"/>
    </row>
    <row r="205" spans="2:2" ht="15.75" thickBot="1" x14ac:dyDescent="0.3">
      <c r="B205" s="44"/>
    </row>
    <row r="206" spans="2:2" x14ac:dyDescent="0.25">
      <c r="B206" s="48"/>
    </row>
    <row r="207" spans="2:2" ht="15.75" thickBot="1" x14ac:dyDescent="0.3">
      <c r="B207" s="44"/>
    </row>
    <row r="208" spans="2:2" x14ac:dyDescent="0.25">
      <c r="B208" s="48"/>
    </row>
    <row r="209" spans="2:2" ht="15.75" thickBot="1" x14ac:dyDescent="0.3">
      <c r="B209" s="44"/>
    </row>
    <row r="210" spans="2:2" x14ac:dyDescent="0.25">
      <c r="B210" s="48"/>
    </row>
    <row r="211" spans="2:2" x14ac:dyDescent="0.25">
      <c r="B211" s="49"/>
    </row>
    <row r="212" spans="2:2" x14ac:dyDescent="0.25">
      <c r="B212" s="49"/>
    </row>
    <row r="213" spans="2:2" ht="15.75" thickBot="1" x14ac:dyDescent="0.3">
      <c r="B213" s="49"/>
    </row>
    <row r="214" spans="2:2" x14ac:dyDescent="0.25">
      <c r="B214" s="48"/>
    </row>
    <row r="215" spans="2:2" ht="15.75" thickBot="1" x14ac:dyDescent="0.3">
      <c r="B215" s="44"/>
    </row>
    <row r="216" spans="2:2" x14ac:dyDescent="0.25">
      <c r="B216" s="48"/>
    </row>
    <row r="217" spans="2:2" ht="15.75" thickBot="1" x14ac:dyDescent="0.3">
      <c r="B217" s="44"/>
    </row>
    <row r="218" spans="2:2" x14ac:dyDescent="0.25">
      <c r="B218" s="48"/>
    </row>
    <row r="219" spans="2:2" x14ac:dyDescent="0.25">
      <c r="B219" s="46"/>
    </row>
    <row r="220" spans="2:2" ht="15.75" thickBot="1" x14ac:dyDescent="0.3">
      <c r="B220" s="46"/>
    </row>
    <row r="221" spans="2:2" x14ac:dyDescent="0.25">
      <c r="B221" s="48"/>
    </row>
    <row r="222" spans="2:2" ht="15.75" thickBot="1" x14ac:dyDescent="0.3">
      <c r="B222" s="44"/>
    </row>
    <row r="223" spans="2:2" x14ac:dyDescent="0.25">
      <c r="B223" s="48"/>
    </row>
    <row r="224" spans="2:2" ht="15.75" thickBot="1" x14ac:dyDescent="0.3">
      <c r="B224" s="44"/>
    </row>
    <row r="225" spans="2:2" x14ac:dyDescent="0.25">
      <c r="B225" s="48"/>
    </row>
    <row r="226" spans="2:2" ht="15.75" thickBot="1" x14ac:dyDescent="0.3">
      <c r="B226" s="44"/>
    </row>
    <row r="227" spans="2:2" x14ac:dyDescent="0.25">
      <c r="B227" s="48"/>
    </row>
    <row r="228" spans="2:2" ht="15.75" thickBot="1" x14ac:dyDescent="0.3">
      <c r="B228" s="44"/>
    </row>
    <row r="229" spans="2:2" x14ac:dyDescent="0.25">
      <c r="B229" s="48"/>
    </row>
    <row r="230" spans="2:2" ht="15.75" thickBot="1" x14ac:dyDescent="0.3">
      <c r="B230" s="44"/>
    </row>
    <row r="231" spans="2:2" x14ac:dyDescent="0.25">
      <c r="B231" s="48"/>
    </row>
    <row r="232" spans="2:2" ht="15.75" thickBot="1" x14ac:dyDescent="0.3">
      <c r="B232" s="44"/>
    </row>
    <row r="233" spans="2:2" x14ac:dyDescent="0.25">
      <c r="B233" s="48"/>
    </row>
    <row r="234" spans="2:2" ht="15.75" thickBot="1" x14ac:dyDescent="0.3">
      <c r="B234" s="44"/>
    </row>
    <row r="235" spans="2:2" x14ac:dyDescent="0.25">
      <c r="B235" s="48"/>
    </row>
    <row r="236" spans="2:2" ht="15.75" thickBot="1" x14ac:dyDescent="0.3">
      <c r="B236" s="46"/>
    </row>
    <row r="237" spans="2:2" x14ac:dyDescent="0.25">
      <c r="B237" s="48"/>
    </row>
    <row r="238" spans="2:2" ht="21" x14ac:dyDescent="0.25">
      <c r="B238" s="38"/>
    </row>
    <row r="239" spans="2:2" x14ac:dyDescent="0.25">
      <c r="B239" s="47"/>
    </row>
    <row r="240" spans="2:2" x14ac:dyDescent="0.25">
      <c r="B240" s="39"/>
    </row>
    <row r="241" spans="2:2" x14ac:dyDescent="0.25">
      <c r="B241" s="40"/>
    </row>
    <row r="242" spans="2:2" x14ac:dyDescent="0.25">
      <c r="B242" s="39"/>
    </row>
    <row r="243" spans="2:2" x14ac:dyDescent="0.25">
      <c r="B243" s="50"/>
    </row>
    <row r="244" spans="2:2" x14ac:dyDescent="0.25">
      <c r="B244" s="39"/>
    </row>
    <row r="245" spans="2:2" x14ac:dyDescent="0.25">
      <c r="B245" s="40"/>
    </row>
    <row r="246" spans="2:2" x14ac:dyDescent="0.25">
      <c r="B246" s="39"/>
    </row>
    <row r="247" spans="2:2" x14ac:dyDescent="0.25">
      <c r="B247" s="40"/>
    </row>
    <row r="248" spans="2:2" x14ac:dyDescent="0.25">
      <c r="B248" s="39"/>
    </row>
    <row r="249" spans="2:2" x14ac:dyDescent="0.25">
      <c r="B249" s="40"/>
    </row>
    <row r="250" spans="2:2" x14ac:dyDescent="0.25">
      <c r="B250" s="40"/>
    </row>
    <row r="251" spans="2:2" x14ac:dyDescent="0.25">
      <c r="B251" s="39"/>
    </row>
    <row r="252" spans="2:2" x14ac:dyDescent="0.25">
      <c r="B252" s="40"/>
    </row>
    <row r="253" spans="2:2" x14ac:dyDescent="0.25">
      <c r="B253" s="39"/>
    </row>
    <row r="254" spans="2:2" ht="21" x14ac:dyDescent="0.25">
      <c r="B254" s="38"/>
    </row>
    <row r="255" spans="2:2" x14ac:dyDescent="0.25">
      <c r="B255" s="45"/>
    </row>
    <row r="256" spans="2:2" x14ac:dyDescent="0.25">
      <c r="B256" s="45"/>
    </row>
    <row r="257" spans="2:2" x14ac:dyDescent="0.25">
      <c r="B257" s="45"/>
    </row>
    <row r="258" spans="2:2" x14ac:dyDescent="0.25">
      <c r="B258" s="45"/>
    </row>
    <row r="259" spans="2:2" x14ac:dyDescent="0.25">
      <c r="B259" s="45"/>
    </row>
    <row r="260" spans="2:2" x14ac:dyDescent="0.25">
      <c r="B260" s="45"/>
    </row>
    <row r="261" spans="2:2" x14ac:dyDescent="0.25">
      <c r="B261" s="39"/>
    </row>
    <row r="262" spans="2:2" x14ac:dyDescent="0.25">
      <c r="B262" s="40"/>
    </row>
    <row r="263" spans="2:2" x14ac:dyDescent="0.25">
      <c r="B263" s="39"/>
    </row>
    <row r="264" spans="2:2" x14ac:dyDescent="0.25">
      <c r="B264" s="40"/>
    </row>
    <row r="265" spans="2:2" ht="17.25" x14ac:dyDescent="0.25">
      <c r="B265" s="51"/>
    </row>
    <row r="266" spans="2:2" x14ac:dyDescent="0.25">
      <c r="B266" s="52"/>
    </row>
    <row r="267" spans="2:2" x14ac:dyDescent="0.25">
      <c r="B267" s="52"/>
    </row>
    <row r="268" spans="2:2" x14ac:dyDescent="0.25">
      <c r="B268" s="39"/>
    </row>
    <row r="269" spans="2:2" x14ac:dyDescent="0.25">
      <c r="B269" s="40"/>
    </row>
    <row r="270" spans="2:2" x14ac:dyDescent="0.25">
      <c r="B270" s="39"/>
    </row>
    <row r="271" spans="2:2" x14ac:dyDescent="0.25">
      <c r="B271" s="47"/>
    </row>
    <row r="272" spans="2:2" x14ac:dyDescent="0.25">
      <c r="B272" s="39"/>
    </row>
    <row r="273" spans="2:2" x14ac:dyDescent="0.25">
      <c r="B273" s="40"/>
    </row>
    <row r="274" spans="2:2" x14ac:dyDescent="0.25">
      <c r="B274" s="4"/>
    </row>
    <row r="275" spans="2:2" x14ac:dyDescent="0.25">
      <c r="B275" s="52"/>
    </row>
    <row r="276" spans="2:2" ht="17.25" x14ac:dyDescent="0.25">
      <c r="B276" s="54"/>
    </row>
    <row r="277" spans="2:2" x14ac:dyDescent="0.25">
      <c r="B277" s="52"/>
    </row>
    <row r="278" spans="2:2" ht="17.25" x14ac:dyDescent="0.25">
      <c r="B278" s="54"/>
    </row>
    <row r="279" spans="2:2" ht="17.25" x14ac:dyDescent="0.25">
      <c r="B279" s="53"/>
    </row>
    <row r="280" spans="2:2" ht="17.25" x14ac:dyDescent="0.25">
      <c r="B280" s="54"/>
    </row>
    <row r="281" spans="2:2" ht="17.25" x14ac:dyDescent="0.25">
      <c r="B281" s="53"/>
    </row>
    <row r="282" spans="2:2" ht="17.25" x14ac:dyDescent="0.25">
      <c r="B282" s="54"/>
    </row>
    <row r="283" spans="2:2" x14ac:dyDescent="0.25">
      <c r="B283" s="52"/>
    </row>
    <row r="284" spans="2:2" ht="17.25" x14ac:dyDescent="0.25">
      <c r="B284" s="54"/>
    </row>
    <row r="285" spans="2:2" x14ac:dyDescent="0.25">
      <c r="B285" s="52"/>
    </row>
    <row r="286" spans="2:2" ht="17.25" x14ac:dyDescent="0.25">
      <c r="B286" s="54"/>
    </row>
    <row r="287" spans="2:2" x14ac:dyDescent="0.25">
      <c r="B287" s="52"/>
    </row>
    <row r="288" spans="2:2" ht="17.25" x14ac:dyDescent="0.25">
      <c r="B288" s="54"/>
    </row>
    <row r="289" spans="2:2" x14ac:dyDescent="0.25">
      <c r="B289" s="52"/>
    </row>
    <row r="290" spans="2:2" ht="17.25" x14ac:dyDescent="0.25">
      <c r="B290" s="54"/>
    </row>
    <row r="291" spans="2:2" x14ac:dyDescent="0.25">
      <c r="B291" s="52"/>
    </row>
    <row r="292" spans="2:2" x14ac:dyDescent="0.25">
      <c r="B292" s="55"/>
    </row>
    <row r="293" spans="2:2" x14ac:dyDescent="0.25">
      <c r="B293" s="4"/>
    </row>
    <row r="294" spans="2:2" x14ac:dyDescent="0.25">
      <c r="B294" s="56"/>
    </row>
    <row r="295" spans="2:2" x14ac:dyDescent="0.25">
      <c r="B295" s="4"/>
    </row>
    <row r="296" spans="2:2" x14ac:dyDescent="0.25">
      <c r="B296" s="55"/>
    </row>
  </sheetData>
  <mergeCells count="14">
    <mergeCell ref="B17:D17"/>
    <mergeCell ref="B2:D2"/>
    <mergeCell ref="B5:D5"/>
    <mergeCell ref="B8:D8"/>
    <mergeCell ref="B11:D11"/>
    <mergeCell ref="B14:D14"/>
    <mergeCell ref="B38:D38"/>
    <mergeCell ref="B41:D41"/>
    <mergeCell ref="B20:D20"/>
    <mergeCell ref="B23:D23"/>
    <mergeCell ref="B26:D26"/>
    <mergeCell ref="B29:D29"/>
    <mergeCell ref="B32:D32"/>
    <mergeCell ref="B35:D35"/>
  </mergeCells>
  <hyperlinks>
    <hyperlink ref="B3" r:id="rId1" display="https://www.pro-football-reference.com/teams/cin/2023.htm" xr:uid="{6D61968D-2AC3-4178-ADCC-910AD30FC4F0}"/>
    <hyperlink ref="D3" r:id="rId2" display="https://www.pro-football-reference.com/boxscores/202311160rav.htm" xr:uid="{3158AE5C-6877-407B-A243-935700052160}"/>
    <hyperlink ref="B4" r:id="rId3" display="https://www.pro-football-reference.com/teams/rav/2023.htm" xr:uid="{BC670E5C-72B7-42B8-84B0-C14E80873149}"/>
    <hyperlink ref="B6" r:id="rId4" display="https://www.pro-football-reference.com/teams/dal/2023.htm" xr:uid="{A559EF05-7B04-4C3C-BA2D-FDD0F95A6D07}"/>
    <hyperlink ref="D6" r:id="rId5" display="https://www.pro-football-reference.com/boxscores/202311190car.htm" xr:uid="{89DB6879-67C9-4BE2-88E2-94E3A88720B3}"/>
    <hyperlink ref="B7" r:id="rId6" display="https://www.pro-football-reference.com/teams/car/2023.htm" xr:uid="{D4CB5ABA-A3BF-4B27-9CDE-1C80F5165436}"/>
    <hyperlink ref="B9" r:id="rId7" display="https://www.pro-football-reference.com/teams/pit/2023.htm" xr:uid="{1178EF0C-EF10-474C-8926-F7DD2A7DB005}"/>
    <hyperlink ref="D9" r:id="rId8" display="https://www.pro-football-reference.com/boxscores/202311190cle.htm" xr:uid="{AFC8D950-F0CE-423A-B1D3-B6C9254C2D5E}"/>
    <hyperlink ref="B10" r:id="rId9" display="https://www.pro-football-reference.com/teams/cle/2023.htm" xr:uid="{7DCF0A8A-122F-434C-9D65-1607E1EC5B0B}"/>
    <hyperlink ref="B12" r:id="rId10" display="https://www.pro-football-reference.com/teams/chi/2023.htm" xr:uid="{E6648767-153C-42CA-9EAB-7F69C175A4AF}"/>
    <hyperlink ref="D12" r:id="rId11" display="https://www.pro-football-reference.com/boxscores/202311190det.htm" xr:uid="{CE534EF4-291B-47B2-9E25-FA738D0CB29A}"/>
    <hyperlink ref="B13" r:id="rId12" display="https://www.pro-football-reference.com/teams/det/2023.htm" xr:uid="{42571884-C927-44A3-A9B4-A495CB30EA32}"/>
    <hyperlink ref="B15" r:id="rId13" display="https://www.pro-football-reference.com/teams/sdg/2023.htm" xr:uid="{26626749-677C-463C-9325-A1FF2EF838E9}"/>
    <hyperlink ref="D15" r:id="rId14" display="https://www.pro-football-reference.com/boxscores/202311190gnb.htm" xr:uid="{74D5F50E-B2B6-42D0-959E-4EE4AA96B221}"/>
    <hyperlink ref="B16" r:id="rId15" display="https://www.pro-football-reference.com/teams/gnb/2023.htm" xr:uid="{0A5AF9AA-83DA-4DFF-839E-D2F923D9E4CC}"/>
    <hyperlink ref="B18" r:id="rId16" display="https://www.pro-football-reference.com/teams/crd/2023.htm" xr:uid="{DAB90D2C-DC5D-4F6C-92A5-14BB21ED9FD0}"/>
    <hyperlink ref="D18" r:id="rId17" display="https://www.pro-football-reference.com/boxscores/202311190htx.htm" xr:uid="{A7DAE47A-1073-4D6E-ACD6-A05B90B7357F}"/>
    <hyperlink ref="B19" r:id="rId18" display="https://www.pro-football-reference.com/teams/htx/2023.htm" xr:uid="{24C53314-C0BD-41F0-BEAD-4F8C34F056C6}"/>
    <hyperlink ref="B21" r:id="rId19" display="https://www.pro-football-reference.com/teams/oti/2023.htm" xr:uid="{4FD90E66-D81F-4E11-98AF-88F34268C772}"/>
    <hyperlink ref="D21" r:id="rId20" display="https://www.pro-football-reference.com/boxscores/202311190jax.htm" xr:uid="{BB50AD90-0DD9-4BEC-B8DD-D80996E2EB22}"/>
    <hyperlink ref="B22" r:id="rId21" display="https://www.pro-football-reference.com/teams/jax/2023.htm" xr:uid="{1EEC752A-251F-4D87-854A-ACC8B2404A8B}"/>
    <hyperlink ref="B24" r:id="rId22" display="https://www.pro-football-reference.com/teams/rai/2023.htm" xr:uid="{F8E21240-8DD2-4DE5-A0D9-C4CEA42811DB}"/>
    <hyperlink ref="D24" r:id="rId23" display="https://www.pro-football-reference.com/boxscores/202311190mia.htm" xr:uid="{A8078CF1-E603-41A3-A910-02FA9E49A1AB}"/>
    <hyperlink ref="B25" r:id="rId24" display="https://www.pro-football-reference.com/teams/mia/2023.htm" xr:uid="{50BB1B4B-8B69-49FE-BD8D-4B527D24DE3B}"/>
    <hyperlink ref="B27" r:id="rId25" display="https://www.pro-football-reference.com/teams/nyg/2023.htm" xr:uid="{CB23E3A4-9A7D-4AA2-840F-8F9EBEF919C1}"/>
    <hyperlink ref="D27" r:id="rId26" display="https://www.pro-football-reference.com/boxscores/202311190was.htm" xr:uid="{0FC9DE3B-0630-445F-A842-55189EF56248}"/>
    <hyperlink ref="B28" r:id="rId27" display="https://www.pro-football-reference.com/teams/was/2023.htm" xr:uid="{3849AB32-8CE7-473B-8443-166899C9208E}"/>
    <hyperlink ref="D30" r:id="rId28" display="https://www.pro-football-reference.com/boxscores/202311190sfo.htm" xr:uid="{DB2409EF-0928-4B6F-993F-6F3097168C65}"/>
    <hyperlink ref="B31" r:id="rId29" display="https://www.pro-football-reference.com/teams/sfo/2023.htm" xr:uid="{2334B2C1-894D-4C45-9285-4DDA83ED18B3}"/>
    <hyperlink ref="B33" r:id="rId30" display="https://www.pro-football-reference.com/teams/nyj/2023.htm" xr:uid="{E4B2C310-69BC-4F4A-9EEB-841E0EC8330D}"/>
    <hyperlink ref="D33" r:id="rId31" display="https://www.pro-football-reference.com/boxscores/202311190buf.htm" xr:uid="{79F89BFB-C9A6-4659-9DCE-5521DEDC3257}"/>
    <hyperlink ref="B34" r:id="rId32" display="https://www.pro-football-reference.com/teams/buf/2023.htm" xr:uid="{59788FED-9028-48BF-973A-675EA28FC113}"/>
    <hyperlink ref="B36" r:id="rId33" display="https://www.pro-football-reference.com/teams/sea/2023.htm" xr:uid="{494CE147-2862-4F40-90E7-E7F1117CDA63}"/>
    <hyperlink ref="D36" r:id="rId34" display="https://www.pro-football-reference.com/boxscores/202311190ram.htm" xr:uid="{304D3F78-9F17-44D4-9360-AF7FBD108DD5}"/>
    <hyperlink ref="B37" r:id="rId35" display="https://www.pro-football-reference.com/teams/ram/2023.htm" xr:uid="{E1B3C9F0-3E6F-4E4F-96B2-D8B79FAEEFBA}"/>
    <hyperlink ref="B39" r:id="rId36" display="https://www.pro-football-reference.com/teams/min/2023.htm" xr:uid="{762F7023-8E24-4808-BBD6-7EB92FA8C371}"/>
    <hyperlink ref="D39" r:id="rId37" display="https://www.pro-football-reference.com/boxscores/202311190den.htm" xr:uid="{AB38A724-27FC-4999-ADCD-ACF4CE28E2C9}"/>
    <hyperlink ref="B40" r:id="rId38" display="https://www.pro-football-reference.com/teams/den/2023.htm" xr:uid="{F8B20B12-A4F5-49DA-86ED-2C0652B892D2}"/>
    <hyperlink ref="B42" r:id="rId39" display="https://www.pro-football-reference.com/teams/phi/2023.htm" xr:uid="{D298C0D7-0374-4E34-8226-4A1281CDCFF4}"/>
    <hyperlink ref="D42" r:id="rId40" display="https://www.pro-football-reference.com/boxscores/202311200kan.htm" xr:uid="{76633F78-C2DE-4395-A192-36982AC50878}"/>
    <hyperlink ref="B43" r:id="rId41" display="https://www.pro-football-reference.com/teams/kan/2023.htm" xr:uid="{6EC6927D-C5EE-444C-BE33-F900BEF0E472}"/>
    <hyperlink ref="B30" r:id="rId42" display="https://www.pro-football-reference.com/teams/kan/2023.htm" xr:uid="{4FA4DF17-5F11-4E9D-BDCB-BF876B60FF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4D78-AF68-4505-8F1E-B9549CDA4748}">
  <sheetPr>
    <pageSetUpPr fitToPage="1"/>
  </sheetPr>
  <dimension ref="B2:P31"/>
  <sheetViews>
    <sheetView showGridLines="0" view="pageBreakPreview" zoomScale="110" zoomScaleNormal="100" zoomScaleSheetLayoutView="110" workbookViewId="0">
      <selection activeCell="P5" sqref="P5"/>
    </sheetView>
  </sheetViews>
  <sheetFormatPr defaultRowHeight="15" x14ac:dyDescent="0.25"/>
  <cols>
    <col min="2" max="2" width="24.28515625" customWidth="1"/>
    <col min="4" max="4" width="10.140625" customWidth="1"/>
    <col min="6" max="6" width="24.28515625" customWidth="1"/>
    <col min="8" max="8" width="10.140625" customWidth="1"/>
    <col min="10" max="10" width="24.28515625" customWidth="1"/>
    <col min="12" max="12" width="10.140625" customWidth="1"/>
  </cols>
  <sheetData>
    <row r="2" spans="2:16" ht="33" customHeight="1" thickBot="1" x14ac:dyDescent="0.3">
      <c r="E2" s="96" t="s">
        <v>119</v>
      </c>
      <c r="F2" s="96"/>
      <c r="G2" s="96"/>
      <c r="H2" s="96"/>
      <c r="I2" s="96"/>
    </row>
    <row r="3" spans="2:16" x14ac:dyDescent="0.25">
      <c r="B3" s="91" t="s">
        <v>55</v>
      </c>
      <c r="C3" s="79"/>
      <c r="D3" s="92"/>
      <c r="F3" s="91" t="s">
        <v>24</v>
      </c>
      <c r="G3" s="79"/>
      <c r="H3" s="92"/>
      <c r="J3" s="91" t="s">
        <v>24</v>
      </c>
      <c r="K3" s="79"/>
      <c r="L3" s="92"/>
    </row>
    <row r="4" spans="2:16" x14ac:dyDescent="0.25">
      <c r="B4" s="67" t="str">
        <f ca="1">INDIRECT("'Week " &amp; P4 &amp; "'!B3")</f>
        <v>Cincinnati Bengals</v>
      </c>
      <c r="C4" s="58">
        <f ca="1">ROUND(INDIRECT("'Week " &amp; P4 &amp; "'!S3"), 0.5)</f>
        <v>19</v>
      </c>
      <c r="D4" s="68"/>
      <c r="F4" s="67" t="str">
        <f ca="1">INDIRECT("'Week " &amp; P4 &amp; "'!B6")</f>
        <v>New York Giants</v>
      </c>
      <c r="G4" s="58">
        <f ca="1">ROUND(INDIRECT("'Week " &amp; P4 &amp; "'!S6"), 0.5)</f>
        <v>20</v>
      </c>
      <c r="H4" s="68"/>
      <c r="J4" s="67" t="str">
        <f ca="1">INDIRECT("'Week " &amp; P4 &amp; "'!B9")</f>
        <v>Pittsburgh Steelers</v>
      </c>
      <c r="K4" s="58">
        <f ca="1">ROUND(INDIRECT("'Week " &amp; P4 &amp; "'!S9"), 0.5)</f>
        <v>19</v>
      </c>
      <c r="L4" s="68"/>
      <c r="O4" t="s">
        <v>114</v>
      </c>
      <c r="P4">
        <v>12</v>
      </c>
    </row>
    <row r="5" spans="2:16" x14ac:dyDescent="0.25">
      <c r="B5" s="67" t="str">
        <f ca="1">INDIRECT("'Week " &amp; P4 &amp; "'!B4")</f>
        <v>Baltimore Ravens</v>
      </c>
      <c r="C5" s="57">
        <f ca="1">ROUND(INDIRECT("'Week "&amp;P4&amp;"'!S4"),0.5)</f>
        <v>26</v>
      </c>
      <c r="D5" s="59"/>
      <c r="F5" s="67" t="str">
        <f ca="1">INDIRECT("'Week " &amp; P4 &amp; "'!B7")</f>
        <v>Carolina Panthers</v>
      </c>
      <c r="G5" s="57">
        <f ca="1">ROUND(INDIRECT("'Week "&amp;P4&amp;"'!S7"),0.5)</f>
        <v>19</v>
      </c>
      <c r="H5" s="59"/>
      <c r="J5" s="67" t="str">
        <f ca="1">INDIRECT("'Week " &amp; P4 &amp; "'!B10")</f>
        <v>Cleveland Browns</v>
      </c>
      <c r="K5" s="57">
        <f ca="1">ROUND(INDIRECT("'Week "&amp;P4&amp;"'!S10"),0.5)</f>
        <v>21</v>
      </c>
      <c r="L5" s="59"/>
    </row>
    <row r="6" spans="2:16" ht="15.75" thickBot="1" x14ac:dyDescent="0.3">
      <c r="B6" s="82" t="e">
        <f ca="1">"Totals: "&amp;C4+C5&amp;" | Moneyline: "&amp;INDIRECT("'Week " &amp; P4&amp;"'!X3")&amp;" | Spread: "&amp;INDIRECT("'Week " &amp; P4 &amp; "'!W5")</f>
        <v>#REF!</v>
      </c>
      <c r="C6" s="83"/>
      <c r="D6" s="84"/>
      <c r="F6" s="82" t="e">
        <f ca="1">"Totals: "&amp;G4+G5&amp;" | Moneyline: "&amp;INDIRECT("'Week " &amp; P4&amp;"'!X6")&amp;" | Spread: "&amp;INDIRECT("'Week " &amp; P4 &amp; "'!W8")</f>
        <v>#REF!</v>
      </c>
      <c r="G6" s="83"/>
      <c r="H6" s="84"/>
      <c r="J6" s="82" t="e">
        <f ca="1">"Totals: "&amp;K4+K5&amp;" | Moneyline: "&amp;INDIRECT("'Week " &amp; P4&amp;"'!X9")&amp;" | Spread: "&amp;INDIRECT("'Week " &amp; P4 &amp; "'!W11")</f>
        <v>#REF!</v>
      </c>
      <c r="K6" s="83"/>
      <c r="L6" s="84"/>
    </row>
    <row r="7" spans="2:16" ht="15.75" thickBot="1" x14ac:dyDescent="0.3"/>
    <row r="8" spans="2:16" x14ac:dyDescent="0.25">
      <c r="B8" s="91" t="s">
        <v>24</v>
      </c>
      <c r="C8" s="79"/>
      <c r="D8" s="92"/>
      <c r="F8" s="91" t="s">
        <v>24</v>
      </c>
      <c r="G8" s="79"/>
      <c r="H8" s="92"/>
      <c r="J8" s="91" t="s">
        <v>24</v>
      </c>
      <c r="K8" s="79"/>
      <c r="L8" s="92"/>
    </row>
    <row r="9" spans="2:16" x14ac:dyDescent="0.25">
      <c r="B9" s="67" t="str">
        <f ca="1">INDIRECT("'Week " &amp; P4 &amp; "'!B12")</f>
        <v>Chicago Bears</v>
      </c>
      <c r="C9" s="58">
        <f ca="1">ROUND(INDIRECT("'Week " &amp; P4 &amp; "'!S12"), 0.5)</f>
        <v>22</v>
      </c>
      <c r="D9" s="68"/>
      <c r="F9" s="67" t="str">
        <f ca="1">INDIRECT("'Week " &amp; P4 &amp; "'!B15")</f>
        <v>Los Angeles Chargers</v>
      </c>
      <c r="G9" s="58">
        <f ca="1">ROUND(INDIRECT("'Week " &amp; P4 &amp; "'!S15"), 0.5)</f>
        <v>21</v>
      </c>
      <c r="H9" s="68"/>
      <c r="J9" s="67" t="str">
        <f ca="1">INDIRECT("'Week " &amp; P4 &amp; "'!B18")</f>
        <v>Arizona Cardinals</v>
      </c>
      <c r="K9" s="58">
        <f ca="1">ROUND(INDIRECT("'Week " &amp; P4 &amp; "'!S18"), 0.5)</f>
        <v>20</v>
      </c>
      <c r="L9" s="68"/>
    </row>
    <row r="10" spans="2:16" x14ac:dyDescent="0.25">
      <c r="B10" s="67" t="str">
        <f ca="1">INDIRECT("'Week " &amp; P4 &amp; "'!B13")</f>
        <v>Detroit Lions</v>
      </c>
      <c r="C10" s="57">
        <f ca="1">ROUND(INDIRECT("'Week "&amp;P4&amp;"'!S13"),0.5)</f>
        <v>24</v>
      </c>
      <c r="D10" s="59"/>
      <c r="F10" s="67" t="str">
        <f ca="1">INDIRECT("'Week " &amp; P4 &amp; "'!B16")</f>
        <v>Green Bay Packers</v>
      </c>
      <c r="G10" s="57">
        <f ca="1">ROUND(INDIRECT("'Week "&amp;P4&amp;"'!S16"),0.5)</f>
        <v>24</v>
      </c>
      <c r="H10" s="59"/>
      <c r="J10" s="67" t="str">
        <f ca="1">INDIRECT("'Week " &amp; P4 &amp; "'!B19")</f>
        <v>Houston Texans</v>
      </c>
      <c r="K10" s="57">
        <f ca="1">ROUND(INDIRECT("'Week "&amp;P4&amp;"'!S19"),0.5)</f>
        <v>25</v>
      </c>
      <c r="L10" s="59"/>
    </row>
    <row r="11" spans="2:16" ht="15.75" thickBot="1" x14ac:dyDescent="0.3">
      <c r="B11" s="82" t="e">
        <f ca="1">"Totals: "&amp;C9+C10&amp;" | Moneyline: "&amp;INDIRECT("'Week " &amp; P4&amp;"'!X12")&amp;" | Spread: "&amp;INDIRECT("'Week " &amp; P4 &amp; "'!W14")</f>
        <v>#REF!</v>
      </c>
      <c r="C11" s="83"/>
      <c r="D11" s="84"/>
      <c r="F11" s="82" t="e">
        <f ca="1">"Totals: "&amp;G9+G10&amp;" | Moneyline: "&amp;INDIRECT("'Week " &amp; P4&amp;"'!X15")&amp;" | Spread: "&amp;INDIRECT("'Week " &amp; P4 &amp; "'!W17")</f>
        <v>#REF!</v>
      </c>
      <c r="G11" s="83"/>
      <c r="H11" s="84"/>
      <c r="J11" s="82" t="e">
        <f ca="1">"Totals: "&amp;K9+K10&amp;" | Moneyline: "&amp;INDIRECT("'Week " &amp; P4&amp;"'!X18")&amp;" | Spread: "&amp;INDIRECT("'Week " &amp; P4 &amp; "'!W20")</f>
        <v>#REF!</v>
      </c>
      <c r="K11" s="83"/>
      <c r="L11" s="84"/>
    </row>
    <row r="12" spans="2:16" ht="15.75" thickBot="1" x14ac:dyDescent="0.3"/>
    <row r="13" spans="2:16" x14ac:dyDescent="0.25">
      <c r="B13" s="91" t="s">
        <v>24</v>
      </c>
      <c r="C13" s="79"/>
      <c r="D13" s="92"/>
      <c r="F13" s="91" t="s">
        <v>24</v>
      </c>
      <c r="G13" s="79"/>
      <c r="H13" s="92"/>
      <c r="J13" s="91" t="s">
        <v>24</v>
      </c>
      <c r="K13" s="79"/>
      <c r="L13" s="92"/>
    </row>
    <row r="14" spans="2:16" x14ac:dyDescent="0.25">
      <c r="B14" s="67" t="str">
        <f ca="1">INDIRECT("'Week " &amp; P4 &amp; "'!B21")</f>
        <v>Tennessee Titans</v>
      </c>
      <c r="C14" s="58">
        <f ca="1">ROUND(INDIRECT("'Week " &amp; P4 &amp; "'!S21"), 0.5)</f>
        <v>20</v>
      </c>
      <c r="D14" s="68"/>
      <c r="F14" s="67" t="str">
        <f ca="1">INDIRECT("'Week " &amp; P4 &amp; "'!B24")</f>
        <v>Las Vegas Raiders</v>
      </c>
      <c r="G14" s="58">
        <f ca="1">ROUND(INDIRECT("'Week " &amp; P4 &amp; "'!S24"), 0.5)</f>
        <v>21</v>
      </c>
      <c r="H14" s="68"/>
      <c r="J14" s="67" t="str">
        <f ca="1">INDIRECT("'Week " &amp; P4 &amp; "'!B27")</f>
        <v>New York Giants</v>
      </c>
      <c r="K14" s="58">
        <f ca="1">ROUND(INDIRECT("'Week " &amp; P4 &amp; "'!S27"), 0.5)</f>
        <v>23</v>
      </c>
      <c r="L14" s="68"/>
    </row>
    <row r="15" spans="2:16" x14ac:dyDescent="0.25">
      <c r="B15" s="67" t="str">
        <f ca="1">INDIRECT("'Week " &amp; P4 &amp; "'!B22")</f>
        <v>Jacksonville Jaguars</v>
      </c>
      <c r="C15" s="57">
        <f ca="1">ROUND(INDIRECT("'Week " &amp; P4 &amp; "'!S22"), 0.5)</f>
        <v>22</v>
      </c>
      <c r="D15" s="59"/>
      <c r="F15" s="67" t="str">
        <f ca="1">INDIRECT("'Week " &amp; P4 &amp; "'!B25")</f>
        <v>Miami Dolphins</v>
      </c>
      <c r="G15" s="57">
        <f ca="1">ROUND(INDIRECT("'Week " &amp; P4 &amp; "'!S25"), 0.5)</f>
        <v>24</v>
      </c>
      <c r="H15" s="59"/>
      <c r="J15" s="67" t="str">
        <f ca="1">INDIRECT("'Week " &amp; P4 &amp; "'!B28")</f>
        <v>Washington Commanders</v>
      </c>
      <c r="K15" s="57">
        <f ca="1">ROUND(INDIRECT("'Week " &amp; P4 &amp; "'!S28"), 0.5)</f>
        <v>21</v>
      </c>
      <c r="L15" s="59"/>
    </row>
    <row r="16" spans="2:16" ht="15.75" thickBot="1" x14ac:dyDescent="0.3">
      <c r="B16" s="82" t="e">
        <f ca="1">"Totals: "&amp;C14+C15&amp;" | Moneyline: "&amp;INDIRECT("'Week " &amp; P4&amp;"'!X21")&amp;" | Spread: "&amp;INDIRECT("'Week " &amp; P4 &amp; "'!W23")</f>
        <v>#REF!</v>
      </c>
      <c r="C16" s="83"/>
      <c r="D16" s="84"/>
      <c r="F16" s="82" t="e">
        <f ca="1">"Totals: "&amp;G14+G15&amp;" | Moneyline: "&amp;INDIRECT("'Week " &amp; P4&amp;"'!X24")&amp;" | Spread: "&amp;INDIRECT("'Week " &amp; P4 &amp; "'!W26")</f>
        <v>#REF!</v>
      </c>
      <c r="G16" s="83"/>
      <c r="H16" s="84"/>
      <c r="J16" s="82" t="e">
        <f ca="1">"Totals: "&amp;K14+K15&amp;" | Moneyline: "&amp;INDIRECT("'Week " &amp; P4&amp;"'!X27")&amp;" | Spread: "&amp;INDIRECT("'Week " &amp; P4 &amp; "'!W29")</f>
        <v>#REF!</v>
      </c>
      <c r="K16" s="83"/>
      <c r="L16" s="84"/>
    </row>
    <row r="17" spans="2:12" ht="15.75" thickBot="1" x14ac:dyDescent="0.3"/>
    <row r="18" spans="2:12" x14ac:dyDescent="0.25">
      <c r="B18" s="91" t="s">
        <v>24</v>
      </c>
      <c r="C18" s="79"/>
      <c r="D18" s="92"/>
      <c r="F18" s="91" t="s">
        <v>24</v>
      </c>
      <c r="G18" s="79"/>
      <c r="H18" s="92"/>
      <c r="J18" s="91" t="s">
        <v>24</v>
      </c>
      <c r="K18" s="79"/>
      <c r="L18" s="92"/>
    </row>
    <row r="19" spans="2:12" x14ac:dyDescent="0.25">
      <c r="B19" s="67" t="str">
        <f ca="1">INDIRECT("'Week " &amp; P4 &amp; "'!B30")</f>
        <v>Kansas City Chiefs</v>
      </c>
      <c r="C19" s="58">
        <f ca="1">ROUND(INDIRECT("'Week " &amp; P4 &amp; "'!S30"), 0.5)</f>
        <v>20</v>
      </c>
      <c r="D19" s="68"/>
      <c r="F19" s="67" t="str">
        <f ca="1">INDIRECT("'Week " &amp; P4 &amp; "'!B33")</f>
        <v>New York Jets</v>
      </c>
      <c r="G19" s="58">
        <f ca="1">ROUND(INDIRECT("'Week " &amp; P4 &amp; "'!S33"), 0.5)</f>
        <v>17</v>
      </c>
      <c r="H19" s="68"/>
      <c r="J19" s="67" t="str">
        <f ca="1">INDIRECT("'Week " &amp; P4 &amp; "'!B36")</f>
        <v>Seattle Seahawks</v>
      </c>
      <c r="K19" s="58">
        <f ca="1">ROUND(INDIRECT("'Week " &amp; P4 &amp; "'!S36"), 0.5)</f>
        <v>22</v>
      </c>
      <c r="L19" s="68"/>
    </row>
    <row r="20" spans="2:12" x14ac:dyDescent="0.25">
      <c r="B20" s="67" t="str">
        <f ca="1">INDIRECT("'Week " &amp; P4 &amp; "'!B31")</f>
        <v>San Francisco 49ers</v>
      </c>
      <c r="C20" s="57">
        <f ca="1">ROUND(INDIRECT("'Week " &amp; P4 &amp; "'!S31"), 0.5)</f>
        <v>24</v>
      </c>
      <c r="D20" s="59"/>
      <c r="F20" s="67" t="str">
        <f ca="1">INDIRECT("'Week " &amp; P4 &amp; "'!B34")</f>
        <v>Buffalo Bills</v>
      </c>
      <c r="G20" s="57">
        <f ca="1">ROUND(INDIRECT("'Week " &amp; P4 &amp; "'!S34"), 0.5)</f>
        <v>23</v>
      </c>
      <c r="H20" s="59"/>
      <c r="J20" s="67" t="str">
        <f ca="1">INDIRECT("'Week " &amp; P4 &amp; "'!B37")</f>
        <v>Los Angeles Rams</v>
      </c>
      <c r="K20" s="57">
        <f ca="1">ROUND(INDIRECT("'Week " &amp; P4 &amp; "'!S37"), 0.5)</f>
        <v>24</v>
      </c>
      <c r="L20" s="59"/>
    </row>
    <row r="21" spans="2:12" ht="15.75" thickBot="1" x14ac:dyDescent="0.3">
      <c r="B21" s="82" t="e">
        <f ca="1">"Totals: "&amp;C19+C20&amp;" | Moneyline: "&amp;INDIRECT("'Week " &amp; P4&amp;"'!X30")&amp;" | Spread: "&amp;INDIRECT("'Week " &amp; P4 &amp; "'!W32")</f>
        <v>#REF!</v>
      </c>
      <c r="C21" s="83"/>
      <c r="D21" s="84"/>
      <c r="F21" s="82" t="e">
        <f ca="1">"Totals: "&amp;G19+G20&amp;" | Moneyline: "&amp;INDIRECT("'Week " &amp; P4&amp;"'!X33")&amp;" | Spread: "&amp;INDIRECT("'Week " &amp; P4 &amp; "'!W35")</f>
        <v>#REF!</v>
      </c>
      <c r="G21" s="83"/>
      <c r="H21" s="84"/>
      <c r="J21" s="82" t="e">
        <f ca="1">"Totals: "&amp;K19+K20&amp;" | Moneyline: "&amp;INDIRECT("'Week " &amp; P4&amp;"'!X36")&amp;" | Spread: "&amp;INDIRECT("'Week " &amp; P4 &amp; "'!W38")</f>
        <v>#REF!</v>
      </c>
      <c r="K21" s="83"/>
      <c r="L21" s="84"/>
    </row>
    <row r="22" spans="2:12" ht="15.75" thickBot="1" x14ac:dyDescent="0.3"/>
    <row r="23" spans="2:12" x14ac:dyDescent="0.25">
      <c r="B23" s="91" t="s">
        <v>24</v>
      </c>
      <c r="C23" s="79"/>
      <c r="D23" s="92"/>
      <c r="F23" s="91" t="s">
        <v>45</v>
      </c>
      <c r="G23" s="79"/>
      <c r="H23" s="92"/>
      <c r="J23" s="93" t="s">
        <v>24</v>
      </c>
      <c r="K23" s="94"/>
      <c r="L23" s="95"/>
    </row>
    <row r="24" spans="2:12" ht="15.75" thickBot="1" x14ac:dyDescent="0.3">
      <c r="B24" s="67" t="str">
        <f ca="1">INDIRECT("'Week " &amp; P4 &amp; "'!B39")</f>
        <v>Minnesota Vikings</v>
      </c>
      <c r="C24" s="58">
        <f ca="1">ROUND(INDIRECT("'Week " &amp; P4 &amp; "'!S39"), 0.5)</f>
        <v>23</v>
      </c>
      <c r="D24" s="68"/>
      <c r="F24" s="67" t="str">
        <f ca="1">INDIRECT("'Week " &amp; P4 &amp; "'!B42")</f>
        <v>Philadelphia Eagles</v>
      </c>
      <c r="G24" s="58">
        <f ca="1">ROUND(INDIRECT("'Week " &amp; P4 &amp; "'!S42"), 0.5)</f>
        <v>22</v>
      </c>
      <c r="H24" s="68"/>
      <c r="J24" s="70">
        <f ca="1">INDIRECT("'Week " &amp; P4 &amp; "'!B45")</f>
        <v>0</v>
      </c>
      <c r="K24" s="69">
        <f ca="1">ROUND(INDIRECT("'Week " &amp; P4 &amp; "'!S45"), 0.5)</f>
        <v>0</v>
      </c>
      <c r="L24" s="71"/>
    </row>
    <row r="25" spans="2:12" x14ac:dyDescent="0.25">
      <c r="B25" s="67" t="str">
        <f ca="1">INDIRECT("'Week " &amp; P4 &amp; "'!B40")</f>
        <v>Denver Broncos</v>
      </c>
      <c r="C25" s="57">
        <f ca="1">ROUND(INDIRECT("'Week " &amp; P4 &amp; "'!S40"), 0.5)</f>
        <v>22</v>
      </c>
      <c r="D25" s="59"/>
      <c r="F25" s="67" t="str">
        <f ca="1">INDIRECT("'Week " &amp; P4 &amp; "'!B43")</f>
        <v>Tampa Bay Buccaneers</v>
      </c>
      <c r="G25" s="57">
        <f ca="1">ROUND(INDIRECT("'Week " &amp; P4 &amp; "'!S43"), 0.5)</f>
        <v>23</v>
      </c>
      <c r="H25" s="59"/>
      <c r="J25" s="74">
        <f ca="1">INDIRECT("'Week " &amp; P4 &amp; "'!B46")</f>
        <v>0</v>
      </c>
      <c r="K25" s="75">
        <f ca="1">ROUND(INDIRECT("'Week " &amp; P4 &amp; "'!S46"), 0.5)</f>
        <v>0</v>
      </c>
      <c r="L25" s="76"/>
    </row>
    <row r="26" spans="2:12" ht="15.75" thickBot="1" x14ac:dyDescent="0.3">
      <c r="B26" s="82" t="e">
        <f ca="1">"Totals: "&amp;C24+C25&amp;" | Moneyline: "&amp;INDIRECT("'Week " &amp; P4&amp;"'!X39")&amp;" | Spread: "&amp;INDIRECT("'Week " &amp; P4 &amp; "'!W41")</f>
        <v>#REF!</v>
      </c>
      <c r="C26" s="83"/>
      <c r="D26" s="84"/>
      <c r="F26" s="82" t="e">
        <f ca="1">"Totals: "&amp;G24+G25&amp;" | Moneyline: "&amp;INDIRECT("'Week " &amp; P4&amp;"'!X42")&amp;" | Spread: "&amp;INDIRECT("'Week " &amp; P4 &amp; "'!W44")</f>
        <v>#REF!</v>
      </c>
      <c r="G26" s="83"/>
      <c r="H26" s="84"/>
      <c r="J26" s="85" t="str">
        <f ca="1">"Totals: "&amp;K24+K25&amp;" | Moneyline: "&amp;INDIRECT("'Week " &amp; P4&amp;"'!X45")&amp;" | Spread: "&amp;INDIRECT("'Week " &amp; P4 &amp; "'!W47")</f>
        <v xml:space="preserve">Totals: 0 | Moneyline:  | Spread: </v>
      </c>
      <c r="K26" s="86"/>
      <c r="L26" s="87"/>
    </row>
    <row r="28" spans="2:12" x14ac:dyDescent="0.25">
      <c r="F28" s="93" t="s">
        <v>45</v>
      </c>
      <c r="G28" s="94"/>
      <c r="H28" s="95"/>
    </row>
    <row r="29" spans="2:12" x14ac:dyDescent="0.25">
      <c r="F29" s="70">
        <f ca="1">INDIRECT("'Week " &amp; P4 &amp; "'!B48")</f>
        <v>0</v>
      </c>
      <c r="G29" s="69">
        <f ca="1">ROUND(INDIRECT("'Week " &amp; P4 &amp; "'!S48"), 0.5)</f>
        <v>0</v>
      </c>
      <c r="H29" s="71"/>
      <c r="J29" s="72"/>
    </row>
    <row r="30" spans="2:12" x14ac:dyDescent="0.25">
      <c r="F30" s="70">
        <f ca="1">INDIRECT("'Week " &amp; P4 &amp; "'!B49")</f>
        <v>0</v>
      </c>
      <c r="G30" s="69">
        <f ca="1">ROUND(INDIRECT("'Week " &amp; P4 &amp; "'!S49"), 0.5)</f>
        <v>0</v>
      </c>
      <c r="H30" s="73"/>
    </row>
    <row r="31" spans="2:12" x14ac:dyDescent="0.25">
      <c r="F31" s="88" t="str">
        <f ca="1">"Totals: "&amp;G29+G30&amp;" | Moneyline: "&amp;INDIRECT("'Week " &amp; P4&amp;"'!X48")&amp;" | Spread: "&amp;INDIRECT("'Week " &amp; P4 &amp; "'!W50")</f>
        <v xml:space="preserve">Totals: 0 | Moneyline:  | Spread: </v>
      </c>
      <c r="G31" s="89"/>
      <c r="H31" s="90"/>
    </row>
  </sheetData>
  <mergeCells count="33">
    <mergeCell ref="F3:H3"/>
    <mergeCell ref="J3:L3"/>
    <mergeCell ref="B8:D8"/>
    <mergeCell ref="F8:H8"/>
    <mergeCell ref="J8:L8"/>
    <mergeCell ref="F6:H6"/>
    <mergeCell ref="J6:L6"/>
    <mergeCell ref="B23:D23"/>
    <mergeCell ref="F23:H23"/>
    <mergeCell ref="J23:L23"/>
    <mergeCell ref="F28:H28"/>
    <mergeCell ref="E2:I2"/>
    <mergeCell ref="B6:D6"/>
    <mergeCell ref="B11:D11"/>
    <mergeCell ref="B16:D16"/>
    <mergeCell ref="B21:D21"/>
    <mergeCell ref="B26:D26"/>
    <mergeCell ref="B13:D13"/>
    <mergeCell ref="F13:H13"/>
    <mergeCell ref="J13:L13"/>
    <mergeCell ref="B18:D18"/>
    <mergeCell ref="F18:H18"/>
    <mergeCell ref="B3:D3"/>
    <mergeCell ref="F26:H26"/>
    <mergeCell ref="J26:L26"/>
    <mergeCell ref="F31:H31"/>
    <mergeCell ref="J16:L16"/>
    <mergeCell ref="F11:H11"/>
    <mergeCell ref="J11:L11"/>
    <mergeCell ref="F16:H16"/>
    <mergeCell ref="F21:H21"/>
    <mergeCell ref="J18:L18"/>
    <mergeCell ref="J21:L21"/>
  </mergeCells>
  <printOptions horizontalCentered="1" verticalCentered="1"/>
  <pageMargins left="0" right="0" top="0.25" bottom="0.2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week 12</vt:lpstr>
      <vt:lpstr>picks</vt:lpstr>
      <vt:lpstr>picks!Print_Area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Pyle</dc:creator>
  <cp:lastModifiedBy>Preston Pyle</cp:lastModifiedBy>
  <cp:lastPrinted>2023-11-09T23:32:55Z</cp:lastPrinted>
  <dcterms:created xsi:type="dcterms:W3CDTF">2023-10-03T03:52:45Z</dcterms:created>
  <dcterms:modified xsi:type="dcterms:W3CDTF">2024-11-09T17:19:45Z</dcterms:modified>
</cp:coreProperties>
</file>