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TA2201-W2023\Project\data\"/>
    </mc:Choice>
  </mc:AlternateContent>
  <xr:revisionPtr revIDLastSave="0" documentId="13_ncr:1_{7E524060-FB7A-4C78-941F-0D5A3D66962F}" xr6:coauthVersionLast="47" xr6:coauthVersionMax="47" xr10:uidLastSave="{00000000-0000-0000-0000-000000000000}"/>
  <bookViews>
    <workbookView xWindow="-98" yWindow="-98" windowWidth="21795" windowHeight="12975" xr2:uid="{6FE4B6E1-BCEE-47A8-96DB-09D19956227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E8" i="1"/>
  <c r="D8" i="1"/>
  <c r="C8" i="1"/>
  <c r="B8" i="1"/>
  <c r="F8" i="1"/>
  <c r="D7" i="1"/>
  <c r="F7" i="1"/>
  <c r="E7" i="1"/>
  <c r="C7" i="1"/>
  <c r="B7" i="1"/>
  <c r="B10" i="1"/>
  <c r="C10" i="1"/>
  <c r="D10" i="1"/>
  <c r="E10" i="1"/>
  <c r="F10" i="1"/>
  <c r="E5" i="1"/>
  <c r="B5" i="1"/>
  <c r="F9" i="1"/>
  <c r="F6" i="1"/>
  <c r="F4" i="1"/>
  <c r="F3" i="1"/>
  <c r="C5" i="1"/>
  <c r="D5" i="1"/>
  <c r="F5" i="1" l="1"/>
</calcChain>
</file>

<file path=xl/sharedStrings.xml><?xml version="1.0" encoding="utf-8"?>
<sst xmlns="http://schemas.openxmlformats.org/spreadsheetml/2006/main" count="66" uniqueCount="65">
  <si>
    <t>Scarborough</t>
  </si>
  <si>
    <t>number of hospitals</t>
  </si>
  <si>
    <t>total deaths</t>
  </si>
  <si>
    <t>population (2016)</t>
  </si>
  <si>
    <t>North York</t>
  </si>
  <si>
    <t># of residents per hospital</t>
  </si>
  <si>
    <t>Pooled statistics</t>
  </si>
  <si>
    <t>average of mortality risk (%)</t>
  </si>
  <si>
    <t>Etobicoke</t>
  </si>
  <si>
    <t># of COVID-19 infected residents</t>
  </si>
  <si>
    <t>% COVID-19 infected residents died</t>
  </si>
  <si>
    <t>% COVID-19 fatal residents aged above 70</t>
  </si>
  <si>
    <t>Toronto and </t>
  </si>
  <si>
    <t>East York</t>
  </si>
  <si>
    <t>York</t>
  </si>
  <si>
    <t>Variable</t>
  </si>
  <si>
    <t>(Coded) Value</t>
  </si>
  <si>
    <t>sex</t>
  </si>
  <si>
    <t>Communitys</t>
  </si>
  <si>
    <t>community</t>
  </si>
  <si>
    <t>(numeric)</t>
  </si>
  <si>
    <t>1 = yes</t>
  </si>
  <si>
    <t>0 = no</t>
  </si>
  <si>
    <t>0 = male</t>
  </si>
  <si>
    <t>1 = female</t>
  </si>
  <si>
    <t>4 = Etobicoke York</t>
  </si>
  <si>
    <t>3 = Scarborough</t>
  </si>
  <si>
    <t>2 = Toronto and East York</t>
  </si>
  <si>
    <t>1 = North York</t>
  </si>
  <si>
    <t xml:space="preserve">whether the patient was hospitalized </t>
  </si>
  <si>
    <t>age group</t>
  </si>
  <si>
    <t>2 = 20-29</t>
  </si>
  <si>
    <t>3 = 30-39</t>
  </si>
  <si>
    <t>4 = 40-49</t>
  </si>
  <si>
    <t>5 = 50-59</t>
  </si>
  <si>
    <t>6 = 60-69</t>
  </si>
  <si>
    <t>7 = 70-79</t>
  </si>
  <si>
    <t>8 = 80-89</t>
  </si>
  <si>
    <t>1 = 19- (aged 19 or younger)</t>
  </si>
  <si>
    <t>9 = 90+ (aged 90 or above)</t>
  </si>
  <si>
    <t>hospital admission rate</t>
  </si>
  <si>
    <t>(hospitalized)</t>
  </si>
  <si>
    <t>(admission rate)</t>
  </si>
  <si>
    <t>Estimated parameters</t>
  </si>
  <si>
    <t>Mean</t>
  </si>
  <si>
    <t>n_eff</t>
  </si>
  <si>
    <t>Rhat</t>
  </si>
  <si>
    <t>Intercept</t>
  </si>
  <si>
    <t>beta_sex</t>
  </si>
  <si>
    <t>beta_hospitalized</t>
  </si>
  <si>
    <t>alpha_19</t>
  </si>
  <si>
    <t>alpha_2029</t>
  </si>
  <si>
    <t>alpha_3039</t>
  </si>
  <si>
    <t>alpha4049</t>
  </si>
  <si>
    <t>alpha5059</t>
  </si>
  <si>
    <t>alpha6069</t>
  </si>
  <si>
    <t>alpha7079</t>
  </si>
  <si>
    <t>alpha8089</t>
  </si>
  <si>
    <t>alpha90</t>
  </si>
  <si>
    <t>alpha_North York</t>
  </si>
  <si>
    <t>alpha_Toronto</t>
  </si>
  <si>
    <t>alpha_Scarborough</t>
  </si>
  <si>
    <t>alpha_Etobicoke</t>
  </si>
  <si>
    <t>sigma_age</t>
  </si>
  <si>
    <t>sigma_district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</si>
</sst>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160D-A0F9-4F75-AF0D-C7C1A4D7A103}">
  <dimension ref="A1:G32"/>
  <sheetViews>
    <sheetView tabSelected="1" topLeftCell="A7" workbookViewId="0">
      <selection activeCell="B27" sqref="B27"/>
    </sheetView>
  </sheetViews>
  <sheetFormatPr defaultColWidth="32" defaultRowHeight="15.4" x14ac:dyDescent="0.45"/>
  <cols>
    <col min="1" max="1" width="31.9296875" style="2" customWidth="1"/>
    <col min="2" max="2" width="25.33203125" style="2" bestFit="1" customWidth="1"/>
    <col min="3" max="3" width="11.59765625" style="2" bestFit="1" customWidth="1"/>
    <col min="4" max="4" width="11.46484375" style="2" bestFit="1" customWidth="1"/>
    <col min="5" max="5" width="10.33203125" style="2" bestFit="1" customWidth="1"/>
    <col min="6" max="6" width="14.33203125" style="2" bestFit="1" customWidth="1"/>
    <col min="7" max="16384" width="32" style="2"/>
  </cols>
  <sheetData>
    <row r="1" spans="1:7" x14ac:dyDescent="0.45">
      <c r="A1" s="11" t="s">
        <v>18</v>
      </c>
      <c r="B1" s="6" t="s">
        <v>4</v>
      </c>
      <c r="C1" s="7" t="s">
        <v>12</v>
      </c>
      <c r="D1" s="6" t="s">
        <v>0</v>
      </c>
      <c r="E1" s="5" t="s">
        <v>8</v>
      </c>
      <c r="F1" s="5" t="s">
        <v>6</v>
      </c>
      <c r="G1" s="5"/>
    </row>
    <row r="2" spans="1:7" x14ac:dyDescent="0.45">
      <c r="A2" s="10" t="s">
        <v>15</v>
      </c>
      <c r="B2" s="6"/>
      <c r="C2" s="7" t="s">
        <v>13</v>
      </c>
      <c r="D2" s="6"/>
      <c r="E2" s="5" t="s">
        <v>14</v>
      </c>
      <c r="F2" s="5"/>
      <c r="G2" s="5"/>
    </row>
    <row r="3" spans="1:7" x14ac:dyDescent="0.45">
      <c r="A3" s="8" t="s">
        <v>3</v>
      </c>
      <c r="B3" s="6">
        <v>205838870</v>
      </c>
      <c r="C3" s="6">
        <v>384217020</v>
      </c>
      <c r="D3" s="6">
        <v>229171080</v>
      </c>
      <c r="E3" s="6">
        <v>130096395</v>
      </c>
      <c r="F3" s="5">
        <f>SUM(B3:E3)</f>
        <v>949323365</v>
      </c>
      <c r="G3" s="5"/>
    </row>
    <row r="4" spans="1:7" x14ac:dyDescent="0.45">
      <c r="A4" s="8" t="s">
        <v>1</v>
      </c>
      <c r="B4" s="5">
        <v>9</v>
      </c>
      <c r="C4" s="5">
        <v>20</v>
      </c>
      <c r="D4" s="5">
        <v>4</v>
      </c>
      <c r="E4" s="5">
        <v>2</v>
      </c>
      <c r="F4" s="5">
        <f>SUM(B4:E4)</f>
        <v>35</v>
      </c>
      <c r="G4" s="5"/>
    </row>
    <row r="5" spans="1:7" x14ac:dyDescent="0.45">
      <c r="A5" s="8" t="s">
        <v>5</v>
      </c>
      <c r="B5" s="5">
        <f>ROUND(B3/B4,0)</f>
        <v>22870986</v>
      </c>
      <c r="C5" s="5">
        <f>(C3/C4)</f>
        <v>19210851</v>
      </c>
      <c r="D5" s="5">
        <f>(D3/D4)</f>
        <v>57292770</v>
      </c>
      <c r="E5" s="5">
        <f>ROUND(E3/E4,0)</f>
        <v>65048198</v>
      </c>
      <c r="F5" s="5">
        <f>ROUND(F3/F4,0)</f>
        <v>27123525</v>
      </c>
      <c r="G5" s="5"/>
    </row>
    <row r="6" spans="1:7" x14ac:dyDescent="0.45">
      <c r="A6" s="8" t="s">
        <v>9</v>
      </c>
      <c r="B6" s="6">
        <v>70600</v>
      </c>
      <c r="C6" s="7">
        <v>123014</v>
      </c>
      <c r="D6" s="6">
        <v>60979</v>
      </c>
      <c r="E6" s="6">
        <v>43260</v>
      </c>
      <c r="F6" s="5">
        <f>SUM(B6:E6)</f>
        <v>297853</v>
      </c>
      <c r="G6" s="5"/>
    </row>
    <row r="7" spans="1:7" x14ac:dyDescent="0.45">
      <c r="A7" s="8" t="s">
        <v>10</v>
      </c>
      <c r="B7" s="6">
        <f>ROUND(100*0.01655807,2)</f>
        <v>1.66</v>
      </c>
      <c r="C7" s="6">
        <f>ROUND(100*0.01207993,2)</f>
        <v>1.21</v>
      </c>
      <c r="D7" s="6">
        <f>ROUND(100*0.01826858,2)</f>
        <v>1.83</v>
      </c>
      <c r="E7" s="6">
        <f>ROUND(100*0.01694406,2)</f>
        <v>1.69</v>
      </c>
      <c r="F7" s="6">
        <f>ROUND(100*0.01511484,2)</f>
        <v>1.51</v>
      </c>
      <c r="G7" s="5"/>
    </row>
    <row r="8" spans="1:7" x14ac:dyDescent="0.45">
      <c r="A8" s="8" t="s">
        <v>11</v>
      </c>
      <c r="B8" s="5">
        <f>ROUND(0.7733105*100,2)</f>
        <v>77.33</v>
      </c>
      <c r="C8" s="5">
        <f>ROUND(0.7934051*100,2)</f>
        <v>79.34</v>
      </c>
      <c r="D8" s="5">
        <f>ROUND(0.8061041*100,2)</f>
        <v>80.61</v>
      </c>
      <c r="E8" s="5">
        <f>ROUND(0.8376535*100,2)</f>
        <v>83.77</v>
      </c>
      <c r="F8" s="5">
        <f>ROUND(0.798534*100,2)</f>
        <v>79.849999999999994</v>
      </c>
      <c r="G8" s="5"/>
    </row>
    <row r="9" spans="1:7" x14ac:dyDescent="0.45">
      <c r="A9" s="8" t="s">
        <v>2</v>
      </c>
      <c r="B9" s="6">
        <v>1169</v>
      </c>
      <c r="C9" s="6">
        <v>1486</v>
      </c>
      <c r="D9" s="6">
        <v>1114</v>
      </c>
      <c r="E9" s="6">
        <v>733</v>
      </c>
      <c r="F9" s="5">
        <f xml:space="preserve"> SUM(B9:E9)</f>
        <v>4502</v>
      </c>
      <c r="G9" s="5"/>
    </row>
    <row r="10" spans="1:7" x14ac:dyDescent="0.45">
      <c r="A10" s="9" t="s">
        <v>7</v>
      </c>
      <c r="B10" s="6">
        <f>ROUND(100*0.01655807,2)</f>
        <v>1.66</v>
      </c>
      <c r="C10" s="7">
        <f xml:space="preserve"> ROUND(100*0.01207993,2)</f>
        <v>1.21</v>
      </c>
      <c r="D10" s="6">
        <f xml:space="preserve"> ROUND(100*0.01826858,2)</f>
        <v>1.83</v>
      </c>
      <c r="E10" s="6">
        <f>ROUND(100*0.01694406,2)</f>
        <v>1.69</v>
      </c>
      <c r="F10" s="6">
        <f>ROUND(100*0.01511484,2)</f>
        <v>1.51</v>
      </c>
      <c r="G10" s="5"/>
    </row>
    <row r="12" spans="1:7" x14ac:dyDescent="0.45">
      <c r="A12" s="2" t="s">
        <v>15</v>
      </c>
      <c r="B12" s="2" t="s">
        <v>16</v>
      </c>
    </row>
    <row r="13" spans="1:7" x14ac:dyDescent="0.45">
      <c r="A13" s="3" t="s">
        <v>29</v>
      </c>
      <c r="B13" s="4" t="s">
        <v>21</v>
      </c>
      <c r="F13" s="1"/>
    </row>
    <row r="14" spans="1:7" x14ac:dyDescent="0.45">
      <c r="A14" s="3" t="s">
        <v>41</v>
      </c>
      <c r="B14" s="4" t="s">
        <v>22</v>
      </c>
      <c r="F14" s="1"/>
    </row>
    <row r="15" spans="1:7" x14ac:dyDescent="0.45">
      <c r="A15" s="3" t="s">
        <v>17</v>
      </c>
      <c r="B15" s="4" t="s">
        <v>24</v>
      </c>
      <c r="F15" s="1"/>
    </row>
    <row r="16" spans="1:7" x14ac:dyDescent="0.45">
      <c r="A16" s="3" t="s">
        <v>30</v>
      </c>
      <c r="B16" s="4" t="s">
        <v>38</v>
      </c>
      <c r="F16" s="1"/>
    </row>
    <row r="17" spans="1:6" x14ac:dyDescent="0.45">
      <c r="A17" s="3"/>
      <c r="B17" s="4" t="s">
        <v>31</v>
      </c>
      <c r="F17" s="1"/>
    </row>
    <row r="18" spans="1:6" x14ac:dyDescent="0.45">
      <c r="A18" s="3"/>
      <c r="B18" s="4" t="s">
        <v>32</v>
      </c>
      <c r="F18" s="1"/>
    </row>
    <row r="19" spans="1:6" x14ac:dyDescent="0.45">
      <c r="A19" s="3"/>
      <c r="B19" s="4" t="s">
        <v>33</v>
      </c>
      <c r="F19" s="1"/>
    </row>
    <row r="20" spans="1:6" x14ac:dyDescent="0.45">
      <c r="A20" s="3"/>
      <c r="B20" s="4" t="s">
        <v>34</v>
      </c>
      <c r="F20" s="1"/>
    </row>
    <row r="21" spans="1:6" x14ac:dyDescent="0.45">
      <c r="A21" s="3"/>
      <c r="B21" s="4" t="s">
        <v>35</v>
      </c>
      <c r="F21" s="1"/>
    </row>
    <row r="22" spans="1:6" x14ac:dyDescent="0.45">
      <c r="A22" s="3"/>
      <c r="B22" s="4" t="s">
        <v>36</v>
      </c>
      <c r="F22" s="1"/>
    </row>
    <row r="23" spans="1:6" x14ac:dyDescent="0.45">
      <c r="A23" s="3"/>
      <c r="B23" s="4" t="s">
        <v>37</v>
      </c>
      <c r="F23" s="1"/>
    </row>
    <row r="24" spans="1:6" x14ac:dyDescent="0.45">
      <c r="A24" s="3"/>
      <c r="B24" s="4" t="s">
        <v>39</v>
      </c>
      <c r="F24" s="1"/>
    </row>
    <row r="25" spans="1:6" x14ac:dyDescent="0.45">
      <c r="A25" s="3"/>
      <c r="B25" s="4" t="s">
        <v>23</v>
      </c>
      <c r="F25" s="1"/>
    </row>
    <row r="26" spans="1:6" x14ac:dyDescent="0.45">
      <c r="A26" s="3" t="s">
        <v>19</v>
      </c>
      <c r="B26" s="4" t="s">
        <v>28</v>
      </c>
      <c r="F26" s="1"/>
    </row>
    <row r="27" spans="1:6" x14ac:dyDescent="0.45">
      <c r="A27" s="3"/>
      <c r="B27" s="4" t="s">
        <v>27</v>
      </c>
      <c r="F27" s="1"/>
    </row>
    <row r="28" spans="1:6" x14ac:dyDescent="0.45">
      <c r="A28" s="3"/>
      <c r="B28" s="4" t="s">
        <v>26</v>
      </c>
      <c r="F28" s="1"/>
    </row>
    <row r="29" spans="1:6" x14ac:dyDescent="0.45">
      <c r="A29" s="3"/>
      <c r="B29" s="4" t="s">
        <v>25</v>
      </c>
      <c r="F29" s="1"/>
    </row>
    <row r="30" spans="1:6" x14ac:dyDescent="0.45">
      <c r="A30" s="3" t="s">
        <v>40</v>
      </c>
      <c r="B30" s="4" t="s">
        <v>20</v>
      </c>
      <c r="F30" s="1"/>
    </row>
    <row r="31" spans="1:6" x14ac:dyDescent="0.45">
      <c r="A31" s="3" t="s">
        <v>42</v>
      </c>
      <c r="B31" s="3"/>
    </row>
    <row r="32" spans="1:6" x14ac:dyDescent="0.45">
      <c r="A32" s="3"/>
      <c r="B3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D56F-84C1-4CB6-9035-A07B3C4CDEF8}">
  <dimension ref="A1:G19"/>
  <sheetViews>
    <sheetView workbookViewId="0">
      <selection sqref="A1:F19"/>
    </sheetView>
  </sheetViews>
  <sheetFormatPr defaultRowHeight="14.25" x14ac:dyDescent="0.45"/>
  <cols>
    <col min="1" max="1" width="18.19921875" bestFit="1" customWidth="1"/>
    <col min="2" max="3" width="6.33203125" bestFit="1" customWidth="1"/>
    <col min="4" max="4" width="6.59765625" bestFit="1" customWidth="1"/>
    <col min="5" max="5" width="8.73046875" bestFit="1" customWidth="1"/>
    <col min="6" max="6" width="5.73046875" bestFit="1" customWidth="1"/>
    <col min="7" max="7" width="6.33203125" bestFit="1" customWidth="1"/>
  </cols>
  <sheetData>
    <row r="1" spans="1:7" x14ac:dyDescent="0.45">
      <c r="A1" s="12" t="s">
        <v>43</v>
      </c>
      <c r="B1" s="12" t="s">
        <v>44</v>
      </c>
      <c r="C1" s="14">
        <v>2.5000000000000001E-2</v>
      </c>
      <c r="D1" s="14">
        <v>0.97499999999999998</v>
      </c>
      <c r="E1" s="12" t="s">
        <v>45</v>
      </c>
      <c r="F1" s="12" t="s">
        <v>46</v>
      </c>
    </row>
    <row r="2" spans="1:7" x14ac:dyDescent="0.45">
      <c r="A2" t="s">
        <v>47</v>
      </c>
      <c r="B2" s="12">
        <f>ROUND(-2.29422586, 3)</f>
        <v>-2.294</v>
      </c>
      <c r="C2" s="12">
        <f>ROUND(-3.93778226, 3)</f>
        <v>-3.9380000000000002</v>
      </c>
      <c r="D2" s="12">
        <f>ROUND(-0.6891567, 3)</f>
        <v>-0.68899999999999995</v>
      </c>
      <c r="E2" s="12">
        <f>ROUND(545.2735, 3)</f>
        <v>545.274</v>
      </c>
      <c r="F2" s="12">
        <f>ROUND(1.0044199, 3)</f>
        <v>1.004</v>
      </c>
      <c r="G2" s="12"/>
    </row>
    <row r="3" spans="1:7" x14ac:dyDescent="0.45">
      <c r="A3" t="s">
        <v>48</v>
      </c>
      <c r="B3" s="12">
        <f>ROUND(0.99662419, 3)</f>
        <v>0.997</v>
      </c>
      <c r="C3" s="12">
        <f>ROUND(0.76846955, 3)</f>
        <v>0.76800000000000002</v>
      </c>
      <c r="D3" s="12">
        <f>ROUND(1.2218757, 3)</f>
        <v>1.222</v>
      </c>
      <c r="E3" s="12">
        <f>ROUND(2182.1777, 3)</f>
        <v>2182.1779999999999</v>
      </c>
      <c r="F3" s="12">
        <f>ROUND(0.9995379, 3)</f>
        <v>1</v>
      </c>
    </row>
    <row r="4" spans="1:7" x14ac:dyDescent="0.45">
      <c r="A4" t="s">
        <v>49</v>
      </c>
      <c r="B4" s="12">
        <f>ROUND(-0.61546191, 3)</f>
        <v>-0.61499999999999999</v>
      </c>
      <c r="C4" s="12">
        <f>ROUND(-0.82064796, 3)</f>
        <v>-0.82099999999999995</v>
      </c>
      <c r="D4" s="12">
        <f>ROUND(-0.4159203, 3)</f>
        <v>-0.41599999999999998</v>
      </c>
      <c r="E4" s="12">
        <f>ROUND(1972.8092, 3)</f>
        <v>1972.809</v>
      </c>
      <c r="F4" s="12">
        <f>ROUND(1.0003675, 3)</f>
        <v>1</v>
      </c>
    </row>
    <row r="5" spans="1:7" ht="15.4" x14ac:dyDescent="0.45">
      <c r="A5" s="13" t="s">
        <v>50</v>
      </c>
      <c r="B5" s="12">
        <f>ROUND(-2.24939888, 3)</f>
        <v>-2.2490000000000001</v>
      </c>
      <c r="C5" s="12">
        <f>ROUND(-3.72955165, 3)</f>
        <v>-3.73</v>
      </c>
      <c r="D5" s="12">
        <f>ROUND(-0.6950472, 3)</f>
        <v>-0.69499999999999995</v>
      </c>
      <c r="E5" s="12">
        <f>ROUND(1052.2978, 3)</f>
        <v>1052.298</v>
      </c>
      <c r="F5" s="12">
        <f>ROUND(1.0000548, 3)</f>
        <v>1</v>
      </c>
    </row>
    <row r="6" spans="1:7" x14ac:dyDescent="0.45">
      <c r="A6" t="s">
        <v>51</v>
      </c>
      <c r="B6" s="12">
        <f>ROUND(-3.74511826, 3)</f>
        <v>-3.7450000000000001</v>
      </c>
      <c r="C6" s="12">
        <f>ROUND(-6.02001369, 3)</f>
        <v>-6.02</v>
      </c>
      <c r="D6" s="12">
        <f>ROUND(-1.7252893, 3)</f>
        <v>-1.7250000000000001</v>
      </c>
      <c r="E6" s="12">
        <f>ROUND(756.4051, 3)</f>
        <v>756.40499999999997</v>
      </c>
      <c r="F6" s="12">
        <f>ROUND(1.0015227, 3)</f>
        <v>1.002</v>
      </c>
    </row>
    <row r="7" spans="1:7" x14ac:dyDescent="0.45">
      <c r="A7" t="s">
        <v>52</v>
      </c>
      <c r="B7" s="12">
        <f>ROUND(-3.56667397, 3)</f>
        <v>-3.5670000000000002</v>
      </c>
      <c r="C7" s="12">
        <f>ROUND(-5.64860115, 3)</f>
        <v>-5.649</v>
      </c>
      <c r="D7" s="12">
        <f>ROUND(-1.5757625, 3)</f>
        <v>-1.5760000000000001</v>
      </c>
      <c r="E7" s="12">
        <f>ROUND(653.0999, 3)</f>
        <v>653.1</v>
      </c>
      <c r="F7" s="12">
        <f>ROUND(1.0050354, 3)</f>
        <v>1.0049999999999999</v>
      </c>
    </row>
    <row r="8" spans="1:7" x14ac:dyDescent="0.45">
      <c r="A8" t="s">
        <v>53</v>
      </c>
      <c r="B8" s="12">
        <f>ROUND(-2.34249816, 3)</f>
        <v>-2.3420000000000001</v>
      </c>
      <c r="C8" s="12">
        <f>ROUND(-4.13114331, 3)</f>
        <v>-4.1310000000000002</v>
      </c>
      <c r="D8" s="12">
        <f>ROUND(-0.5597897, 3)</f>
        <v>-0.56000000000000005</v>
      </c>
      <c r="E8" s="12">
        <f>ROUND(612.7341, 3)</f>
        <v>612.73400000000004</v>
      </c>
      <c r="F8" s="12">
        <f>ROUND(1.0049022, 3)</f>
        <v>1.0049999999999999</v>
      </c>
    </row>
    <row r="9" spans="1:7" x14ac:dyDescent="0.45">
      <c r="A9" t="s">
        <v>54</v>
      </c>
      <c r="B9" s="12">
        <f>ROUND(-1.40662718, 3)</f>
        <v>-1.407</v>
      </c>
      <c r="C9" s="12">
        <f>ROUND(-3.04967373, 3)</f>
        <v>-3.05</v>
      </c>
      <c r="D9" s="12">
        <f>ROUND(0.304824, 3)</f>
        <v>0.30499999999999999</v>
      </c>
      <c r="E9" s="12">
        <f>ROUND(586.5448, 3)</f>
        <v>586.54499999999996</v>
      </c>
      <c r="F9" s="12">
        <f>ROUND(1.0039391, 3)</f>
        <v>1.004</v>
      </c>
    </row>
    <row r="10" spans="1:7" x14ac:dyDescent="0.45">
      <c r="A10" t="s">
        <v>55</v>
      </c>
      <c r="B10" s="12">
        <f>ROUND(-0.11823861, 3)</f>
        <v>-0.11799999999999999</v>
      </c>
      <c r="C10" s="12">
        <f>ROUND(-1.72194796, 3)</f>
        <v>-1.722</v>
      </c>
      <c r="D10" s="12">
        <f>ROUND(1.6364132, 3)</f>
        <v>1.6359999999999999</v>
      </c>
      <c r="E10" s="12">
        <f>ROUND(535.6986, 3)</f>
        <v>535.69899999999996</v>
      </c>
      <c r="F10" s="12">
        <f>ROUND(1.0055857, 3)</f>
        <v>1.006</v>
      </c>
    </row>
    <row r="11" spans="1:7" x14ac:dyDescent="0.45">
      <c r="A11" t="s">
        <v>56</v>
      </c>
      <c r="B11" s="12">
        <f>ROUND(1.11605194, 3)</f>
        <v>1.1160000000000001</v>
      </c>
      <c r="C11" s="12">
        <f>ROUND(-0.44716719, 3)</f>
        <v>-0.44700000000000001</v>
      </c>
      <c r="D11" s="12">
        <f>ROUND(2.8776659, 3)</f>
        <v>2.8780000000000001</v>
      </c>
      <c r="E11" s="12">
        <f>ROUND(532.5594, 3)</f>
        <v>532.55899999999997</v>
      </c>
      <c r="F11" s="12">
        <f>ROUND(1.0060452, 3)</f>
        <v>1.006</v>
      </c>
    </row>
    <row r="12" spans="1:7" x14ac:dyDescent="0.45">
      <c r="A12" t="s">
        <v>57</v>
      </c>
      <c r="B12" s="12">
        <f>ROUND(1.87357171, 3)</f>
        <v>1.8740000000000001</v>
      </c>
      <c r="C12" s="12">
        <f>ROUND(0.30654452, 3)</f>
        <v>0.307</v>
      </c>
      <c r="D12" s="12">
        <f>ROUND(3.6342972, 3)</f>
        <v>3.6339999999999999</v>
      </c>
      <c r="E12" s="12">
        <f>ROUND(538.617, 3)</f>
        <v>538.61699999999996</v>
      </c>
      <c r="F12" s="12">
        <f>ROUND(1.0059434, 3)</f>
        <v>1.006</v>
      </c>
    </row>
    <row r="13" spans="1:7" x14ac:dyDescent="0.45">
      <c r="A13" t="s">
        <v>58</v>
      </c>
      <c r="B13" s="12">
        <f>ROUND(2.42918437, 3)</f>
        <v>2.4289999999999998</v>
      </c>
      <c r="C13" s="12">
        <f>ROUND(0.84982576, 3)</f>
        <v>0.85</v>
      </c>
      <c r="D13" s="12">
        <f>ROUND(4.1688646, 3)</f>
        <v>4.1689999999999996</v>
      </c>
      <c r="E13" s="12">
        <f>ROUND(536.6766, 3)</f>
        <v>536.67700000000002</v>
      </c>
      <c r="F13" s="12">
        <f>ROUND(1.0054273, 3)</f>
        <v>1.0049999999999999</v>
      </c>
    </row>
    <row r="14" spans="1:7" x14ac:dyDescent="0.45">
      <c r="A14" t="s">
        <v>59</v>
      </c>
      <c r="B14" s="12">
        <f>ROUND(-0.5858246, 3)</f>
        <v>-0.58599999999999997</v>
      </c>
      <c r="C14" s="12">
        <f>ROUND(-1.84433174, 3)</f>
        <v>-1.8440000000000001</v>
      </c>
      <c r="D14" s="12">
        <f>ROUND(0.2659636, 3)</f>
        <v>0.26600000000000001</v>
      </c>
      <c r="E14" s="12">
        <f>ROUND(863.4743, 3)</f>
        <v>863.47400000000005</v>
      </c>
      <c r="F14" s="12">
        <f>ROUND(1.0060418, 3)</f>
        <v>1.006</v>
      </c>
    </row>
    <row r="15" spans="1:7" x14ac:dyDescent="0.45">
      <c r="A15" t="s">
        <v>60</v>
      </c>
      <c r="B15" s="12">
        <f>ROUND(-0.02358898, 3)</f>
        <v>-2.4E-2</v>
      </c>
      <c r="C15" s="12">
        <f>ROUND(-0.819183106, 3)</f>
        <v>-0.81899999999999995</v>
      </c>
      <c r="D15" s="12">
        <f>ROUND(0.7740703, 3)</f>
        <v>0.77400000000000002</v>
      </c>
      <c r="E15" s="12">
        <f>ROUND(1026.6646, 3)</f>
        <v>1026.665</v>
      </c>
      <c r="F15" s="12">
        <f>ROUND(0.9998773, 3)</f>
        <v>1</v>
      </c>
    </row>
    <row r="16" spans="1:7" x14ac:dyDescent="0.45">
      <c r="A16" t="s">
        <v>61</v>
      </c>
      <c r="B16" s="12">
        <f>ROUND(0.58987723, 3)</f>
        <v>0.59</v>
      </c>
      <c r="C16" s="12">
        <f>ROUND(-0.26246623, 3)</f>
        <v>-0.26200000000000001</v>
      </c>
      <c r="D16" s="12">
        <f>ROUND(1.8076004, 3)</f>
        <v>1.8080000000000001</v>
      </c>
      <c r="E16" s="12">
        <f>ROUND(1000.5269, 3)</f>
        <v>1000.527</v>
      </c>
      <c r="F16" s="12">
        <f>ROUND(1.0005354, 3)</f>
        <v>1.0009999999999999</v>
      </c>
    </row>
    <row r="17" spans="1:6" x14ac:dyDescent="0.45">
      <c r="A17" t="s">
        <v>62</v>
      </c>
      <c r="B17" s="12">
        <f>ROUND(-0.12126622, 3)</f>
        <v>-0.121</v>
      </c>
      <c r="C17" s="12">
        <f>ROUND(-1.27907966, 3)</f>
        <v>-1.2789999999999999</v>
      </c>
      <c r="D17" s="12">
        <f>ROUND(0.9215155, 3)</f>
        <v>0.92200000000000004</v>
      </c>
      <c r="E17" s="12">
        <f>ROUND(960.7834, 3)</f>
        <v>960.78300000000002</v>
      </c>
      <c r="F17" s="12">
        <f>ROUND(1.0034564, 3)</f>
        <v>1.0029999999999999</v>
      </c>
    </row>
    <row r="18" spans="1:6" x14ac:dyDescent="0.45">
      <c r="A18" t="s">
        <v>63</v>
      </c>
      <c r="B18" s="12">
        <f>ROUND(1.19550444, 3)</f>
        <v>1.196</v>
      </c>
      <c r="C18" s="12">
        <f>ROUND(0.69202116, 3)</f>
        <v>0.69199999999999995</v>
      </c>
      <c r="D18" s="12">
        <f>ROUND(1.97404976, 3)</f>
        <v>1.974</v>
      </c>
      <c r="E18" s="12">
        <f>ROUND(1271.7198, 3)</f>
        <v>1271.72</v>
      </c>
      <c r="F18" s="12">
        <f>ROUND(1.0000072, 3)</f>
        <v>1</v>
      </c>
    </row>
    <row r="19" spans="1:6" x14ac:dyDescent="0.45">
      <c r="A19" t="s">
        <v>64</v>
      </c>
      <c r="B19" s="12">
        <f>ROUND(0.69885322, 3)</f>
        <v>0.69899999999999995</v>
      </c>
      <c r="C19" s="12">
        <f>ROUND(0.07805061, 3)</f>
        <v>7.8E-2</v>
      </c>
      <c r="D19" s="12">
        <f>ROUND(1.6664384, 3)</f>
        <v>1.6659999999999999</v>
      </c>
      <c r="E19" s="12">
        <f>ROUND(797.3653, 3)</f>
        <v>797.36500000000001</v>
      </c>
      <c r="F19" s="12">
        <f>ROUND(1.0065858, 3)</f>
        <v>1.0069999999999999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 Vu</dc:creator>
  <cp:lastModifiedBy>Quynh Vu</cp:lastModifiedBy>
  <dcterms:created xsi:type="dcterms:W3CDTF">2023-04-19T02:34:56Z</dcterms:created>
  <dcterms:modified xsi:type="dcterms:W3CDTF">2023-04-20T03:35:30Z</dcterms:modified>
</cp:coreProperties>
</file>