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aurav\Stockship\Algo backtesting\Data\"/>
    </mc:Choice>
  </mc:AlternateContent>
  <bookViews>
    <workbookView xWindow="0" yWindow="0" windowWidth="38400" windowHeight="12300" activeTab="1"/>
  </bookViews>
  <sheets>
    <sheet name="Nifty" sheetId="1" r:id="rId1"/>
    <sheet name="Iron Condor (Hedge)" sheetId="2" r:id="rId2"/>
  </sheets>
  <definedNames>
    <definedName name="_xlnm._FilterDatabase" localSheetId="1" hidden="1">'Iron Condor (Hedge)'!$A$1:$M$206</definedName>
  </definedNames>
  <calcPr calcId="162913"/>
</workbook>
</file>

<file path=xl/calcChain.xml><?xml version="1.0" encoding="utf-8"?>
<calcChain xmlns="http://schemas.openxmlformats.org/spreadsheetml/2006/main">
  <c r="AA60" i="2" l="1"/>
  <c r="AA70" i="2"/>
  <c r="AB60" i="2" l="1"/>
  <c r="O3" i="2" l="1"/>
  <c r="P3" i="2"/>
  <c r="U3" i="2" s="1"/>
  <c r="Q3" i="2"/>
  <c r="S3" i="2"/>
  <c r="R3" i="2" s="1"/>
  <c r="T3" i="2"/>
  <c r="O4" i="2"/>
  <c r="P4" i="2"/>
  <c r="Q4" i="2"/>
  <c r="S4" i="2"/>
  <c r="T4" i="2"/>
  <c r="O5" i="2"/>
  <c r="R5" i="2" s="1"/>
  <c r="P5" i="2"/>
  <c r="Q5" i="2"/>
  <c r="S5" i="2"/>
  <c r="T5" i="2"/>
  <c r="O6" i="2"/>
  <c r="Q6" i="2"/>
  <c r="S6" i="2"/>
  <c r="O7" i="2"/>
  <c r="Q7" i="2"/>
  <c r="S7" i="2"/>
  <c r="R7" i="2" s="1"/>
  <c r="O8" i="2"/>
  <c r="Q8" i="2"/>
  <c r="S8" i="2"/>
  <c r="O9" i="2"/>
  <c r="Q9" i="2"/>
  <c r="R9" i="2"/>
  <c r="S9" i="2"/>
  <c r="O10" i="2"/>
  <c r="Q10" i="2"/>
  <c r="S10" i="2"/>
  <c r="O11" i="2"/>
  <c r="Q11" i="2"/>
  <c r="R11" i="2"/>
  <c r="S11" i="2"/>
  <c r="O12" i="2"/>
  <c r="Q12" i="2"/>
  <c r="S12" i="2"/>
  <c r="O13" i="2"/>
  <c r="R13" i="2" s="1"/>
  <c r="Q13" i="2"/>
  <c r="S13" i="2"/>
  <c r="O14" i="2"/>
  <c r="Q14" i="2"/>
  <c r="S14" i="2"/>
  <c r="O15" i="2"/>
  <c r="R15" i="2" s="1"/>
  <c r="Q15" i="2"/>
  <c r="S15" i="2"/>
  <c r="O16" i="2"/>
  <c r="Q16" i="2"/>
  <c r="S16" i="2"/>
  <c r="O17" i="2"/>
  <c r="R17" i="2" s="1"/>
  <c r="Q17" i="2"/>
  <c r="S17" i="2"/>
  <c r="O18" i="2"/>
  <c r="Q18" i="2"/>
  <c r="S18" i="2"/>
  <c r="O19" i="2"/>
  <c r="R19" i="2" s="1"/>
  <c r="Q19" i="2"/>
  <c r="S19" i="2"/>
  <c r="O20" i="2"/>
  <c r="Q20" i="2"/>
  <c r="S20" i="2"/>
  <c r="O21" i="2"/>
  <c r="R21" i="2" s="1"/>
  <c r="Q21" i="2"/>
  <c r="S21" i="2"/>
  <c r="O22" i="2"/>
  <c r="Q22" i="2"/>
  <c r="S22" i="2"/>
  <c r="O23" i="2"/>
  <c r="R23" i="2" s="1"/>
  <c r="Q23" i="2"/>
  <c r="S23" i="2"/>
  <c r="O24" i="2"/>
  <c r="Q24" i="2"/>
  <c r="S24" i="2"/>
  <c r="R24" i="2" s="1"/>
  <c r="O25" i="2"/>
  <c r="Q25" i="2"/>
  <c r="S25" i="2"/>
  <c r="O26" i="2"/>
  <c r="Q26" i="2"/>
  <c r="S26" i="2"/>
  <c r="O27" i="2"/>
  <c r="R27" i="2" s="1"/>
  <c r="Q27" i="2"/>
  <c r="S27" i="2"/>
  <c r="O28" i="2"/>
  <c r="Q28" i="2"/>
  <c r="S28" i="2"/>
  <c r="R28" i="2" s="1"/>
  <c r="O29" i="2"/>
  <c r="Q29" i="2"/>
  <c r="S29" i="2"/>
  <c r="R29" i="2" s="1"/>
  <c r="O30" i="2"/>
  <c r="Q30" i="2"/>
  <c r="S30" i="2"/>
  <c r="O31" i="2"/>
  <c r="R31" i="2" s="1"/>
  <c r="Q31" i="2"/>
  <c r="S31" i="2"/>
  <c r="O32" i="2"/>
  <c r="Q32" i="2"/>
  <c r="S32" i="2"/>
  <c r="O33" i="2"/>
  <c r="R33" i="2" s="1"/>
  <c r="Q33" i="2"/>
  <c r="S33" i="2"/>
  <c r="O34" i="2"/>
  <c r="Q34" i="2"/>
  <c r="S34" i="2"/>
  <c r="O35" i="2"/>
  <c r="R35" i="2" s="1"/>
  <c r="Q35" i="2"/>
  <c r="S35" i="2"/>
  <c r="O36" i="2"/>
  <c r="Q36" i="2"/>
  <c r="S36" i="2"/>
  <c r="O37" i="2"/>
  <c r="Q37" i="2"/>
  <c r="S37" i="2"/>
  <c r="O38" i="2"/>
  <c r="Q38" i="2"/>
  <c r="S38" i="2"/>
  <c r="O39" i="2"/>
  <c r="R39" i="2" s="1"/>
  <c r="Q39" i="2"/>
  <c r="S39" i="2"/>
  <c r="O40" i="2"/>
  <c r="Q40" i="2"/>
  <c r="S40" i="2"/>
  <c r="O41" i="2"/>
  <c r="Q41" i="2"/>
  <c r="S41" i="2"/>
  <c r="R41" i="2" s="1"/>
  <c r="O42" i="2"/>
  <c r="Q42" i="2"/>
  <c r="S42" i="2"/>
  <c r="O43" i="2"/>
  <c r="R43" i="2" s="1"/>
  <c r="Q43" i="2"/>
  <c r="S43" i="2"/>
  <c r="O44" i="2"/>
  <c r="Q44" i="2"/>
  <c r="S44" i="2"/>
  <c r="O45" i="2"/>
  <c r="Q45" i="2"/>
  <c r="S45" i="2"/>
  <c r="O46" i="2"/>
  <c r="Q46" i="2"/>
  <c r="S46" i="2"/>
  <c r="O47" i="2"/>
  <c r="R47" i="2" s="1"/>
  <c r="Q47" i="2"/>
  <c r="S47" i="2"/>
  <c r="O48" i="2"/>
  <c r="Q48" i="2"/>
  <c r="S48" i="2"/>
  <c r="O49" i="2"/>
  <c r="Q49" i="2"/>
  <c r="S49" i="2"/>
  <c r="R49" i="2" s="1"/>
  <c r="O50" i="2"/>
  <c r="Q50" i="2"/>
  <c r="S50" i="2"/>
  <c r="O51" i="2"/>
  <c r="R51" i="2" s="1"/>
  <c r="Q51" i="2"/>
  <c r="S51" i="2"/>
  <c r="O52" i="2"/>
  <c r="Q52" i="2"/>
  <c r="S52" i="2"/>
  <c r="R52" i="2" s="1"/>
  <c r="O53" i="2"/>
  <c r="Q53" i="2"/>
  <c r="S53" i="2"/>
  <c r="R53" i="2" s="1"/>
  <c r="O54" i="2"/>
  <c r="Q54" i="2"/>
  <c r="S54" i="2"/>
  <c r="O55" i="2"/>
  <c r="R55" i="2" s="1"/>
  <c r="Q55" i="2"/>
  <c r="S55" i="2"/>
  <c r="O56" i="2"/>
  <c r="Q56" i="2"/>
  <c r="S56" i="2"/>
  <c r="O57" i="2"/>
  <c r="Q57" i="2"/>
  <c r="R57" i="2"/>
  <c r="S57" i="2"/>
  <c r="O58" i="2"/>
  <c r="Q58" i="2"/>
  <c r="S58" i="2"/>
  <c r="R58" i="2" s="1"/>
  <c r="O59" i="2"/>
  <c r="R59" i="2" s="1"/>
  <c r="Q59" i="2"/>
  <c r="S59" i="2"/>
  <c r="O60" i="2"/>
  <c r="Q60" i="2"/>
  <c r="S60" i="2"/>
  <c r="O61" i="2"/>
  <c r="R61" i="2" s="1"/>
  <c r="Q61" i="2"/>
  <c r="S61" i="2"/>
  <c r="O62" i="2"/>
  <c r="Q62" i="2"/>
  <c r="S62" i="2"/>
  <c r="O63" i="2"/>
  <c r="Q63" i="2"/>
  <c r="S63" i="2"/>
  <c r="O64" i="2"/>
  <c r="Q64" i="2"/>
  <c r="S64" i="2"/>
  <c r="O65" i="2"/>
  <c r="R65" i="2" s="1"/>
  <c r="Q65" i="2"/>
  <c r="S65" i="2"/>
  <c r="O66" i="2"/>
  <c r="Q66" i="2"/>
  <c r="S66" i="2"/>
  <c r="O67" i="2"/>
  <c r="R67" i="2" s="1"/>
  <c r="Q67" i="2"/>
  <c r="S67" i="2"/>
  <c r="O68" i="2"/>
  <c r="Q68" i="2"/>
  <c r="S68" i="2"/>
  <c r="O69" i="2"/>
  <c r="R69" i="2" s="1"/>
  <c r="Q69" i="2"/>
  <c r="S69" i="2"/>
  <c r="O70" i="2"/>
  <c r="Q70" i="2"/>
  <c r="S70" i="2"/>
  <c r="O71" i="2"/>
  <c r="Q71" i="2"/>
  <c r="S71" i="2"/>
  <c r="O72" i="2"/>
  <c r="Q72" i="2"/>
  <c r="S72" i="2"/>
  <c r="R72" i="2" s="1"/>
  <c r="O73" i="2"/>
  <c r="R73" i="2" s="1"/>
  <c r="Q73" i="2"/>
  <c r="S73" i="2"/>
  <c r="O74" i="2"/>
  <c r="Q74" i="2"/>
  <c r="S74" i="2"/>
  <c r="O75" i="2"/>
  <c r="R75" i="2" s="1"/>
  <c r="Q75" i="2"/>
  <c r="S75" i="2"/>
  <c r="O76" i="2"/>
  <c r="Q76" i="2"/>
  <c r="S76" i="2"/>
  <c r="R76" i="2" s="1"/>
  <c r="O77" i="2"/>
  <c r="R77" i="2" s="1"/>
  <c r="Q77" i="2"/>
  <c r="S77" i="2"/>
  <c r="O78" i="2"/>
  <c r="Q78" i="2"/>
  <c r="S78" i="2"/>
  <c r="O79" i="2"/>
  <c r="Q79" i="2"/>
  <c r="S79" i="2"/>
  <c r="R79" i="2" s="1"/>
  <c r="O80" i="2"/>
  <c r="Q80" i="2"/>
  <c r="S80" i="2"/>
  <c r="O81" i="2"/>
  <c r="Q81" i="2"/>
  <c r="S81" i="2"/>
  <c r="R81" i="2" s="1"/>
  <c r="O82" i="2"/>
  <c r="Q82" i="2"/>
  <c r="S82" i="2"/>
  <c r="R82" i="2" s="1"/>
  <c r="O83" i="2"/>
  <c r="Q83" i="2"/>
  <c r="S83" i="2"/>
  <c r="O84" i="2"/>
  <c r="Q84" i="2"/>
  <c r="S84" i="2"/>
  <c r="O85" i="2"/>
  <c r="R85" i="2" s="1"/>
  <c r="Q85" i="2"/>
  <c r="S85" i="2"/>
  <c r="O86" i="2"/>
  <c r="Q86" i="2"/>
  <c r="S86" i="2"/>
  <c r="R86" i="2" s="1"/>
  <c r="O87" i="2"/>
  <c r="Q87" i="2"/>
  <c r="S87" i="2"/>
  <c r="O88" i="2"/>
  <c r="Q88" i="2"/>
  <c r="S88" i="2"/>
  <c r="O89" i="2"/>
  <c r="R89" i="2" s="1"/>
  <c r="Q89" i="2"/>
  <c r="S89" i="2"/>
  <c r="O90" i="2"/>
  <c r="Q90" i="2"/>
  <c r="S90" i="2"/>
  <c r="R90" i="2" s="1"/>
  <c r="O91" i="2"/>
  <c r="Q91" i="2"/>
  <c r="S91" i="2"/>
  <c r="O92" i="2"/>
  <c r="Q92" i="2"/>
  <c r="S92" i="2"/>
  <c r="O93" i="2"/>
  <c r="Q93" i="2"/>
  <c r="S93" i="2"/>
  <c r="R93" i="2" s="1"/>
  <c r="O94" i="2"/>
  <c r="Q94" i="2"/>
  <c r="S94" i="2"/>
  <c r="O95" i="2"/>
  <c r="R95" i="2" s="1"/>
  <c r="Q95" i="2"/>
  <c r="S95" i="2"/>
  <c r="O96" i="2"/>
  <c r="Q96" i="2"/>
  <c r="S96" i="2"/>
  <c r="O97" i="2"/>
  <c r="Q97" i="2"/>
  <c r="S97" i="2"/>
  <c r="O98" i="2"/>
  <c r="Q98" i="2"/>
  <c r="S98" i="2"/>
  <c r="O99" i="2"/>
  <c r="R99" i="2" s="1"/>
  <c r="Q99" i="2"/>
  <c r="S99" i="2"/>
  <c r="O100" i="2"/>
  <c r="Q100" i="2"/>
  <c r="S100" i="2"/>
  <c r="O101" i="2"/>
  <c r="R101" i="2" s="1"/>
  <c r="Q101" i="2"/>
  <c r="S101" i="2"/>
  <c r="O102" i="2"/>
  <c r="Q102" i="2"/>
  <c r="S102" i="2"/>
  <c r="O103" i="2"/>
  <c r="Q103" i="2"/>
  <c r="S103" i="2"/>
  <c r="O104" i="2"/>
  <c r="Q104" i="2"/>
  <c r="S104" i="2"/>
  <c r="O105" i="2"/>
  <c r="R105" i="2" s="1"/>
  <c r="Q105" i="2"/>
  <c r="S105" i="2"/>
  <c r="O106" i="2"/>
  <c r="Q106" i="2"/>
  <c r="S106" i="2"/>
  <c r="R106" i="2" s="1"/>
  <c r="O107" i="2"/>
  <c r="R107" i="2" s="1"/>
  <c r="Q107" i="2"/>
  <c r="S107" i="2"/>
  <c r="O108" i="2"/>
  <c r="Q108" i="2"/>
  <c r="S108" i="2"/>
  <c r="O109" i="2"/>
  <c r="R109" i="2" s="1"/>
  <c r="Q109" i="2"/>
  <c r="S109" i="2"/>
  <c r="O110" i="2"/>
  <c r="Q110" i="2"/>
  <c r="S110" i="2"/>
  <c r="O111" i="2"/>
  <c r="R111" i="2" s="1"/>
  <c r="Q111" i="2"/>
  <c r="S111" i="2"/>
  <c r="O112" i="2"/>
  <c r="Q112" i="2"/>
  <c r="S112" i="2"/>
  <c r="O113" i="2"/>
  <c r="R113" i="2" s="1"/>
  <c r="Q113" i="2"/>
  <c r="S113" i="2"/>
  <c r="O114" i="2"/>
  <c r="Q114" i="2"/>
  <c r="S114" i="2"/>
  <c r="O115" i="2"/>
  <c r="R115" i="2" s="1"/>
  <c r="Q115" i="2"/>
  <c r="S115" i="2"/>
  <c r="O116" i="2"/>
  <c r="Q116" i="2"/>
  <c r="S116" i="2"/>
  <c r="O117" i="2"/>
  <c r="R117" i="2" s="1"/>
  <c r="Q117" i="2"/>
  <c r="S117" i="2"/>
  <c r="O118" i="2"/>
  <c r="Q118" i="2"/>
  <c r="S118" i="2"/>
  <c r="O119" i="2"/>
  <c r="Q119" i="2"/>
  <c r="S119" i="2"/>
  <c r="R119" i="2" s="1"/>
  <c r="O120" i="2"/>
  <c r="Q120" i="2"/>
  <c r="S120" i="2"/>
  <c r="O121" i="2"/>
  <c r="R121" i="2" s="1"/>
  <c r="Q121" i="2"/>
  <c r="S121" i="2"/>
  <c r="O122" i="2"/>
  <c r="Q122" i="2"/>
  <c r="S122" i="2"/>
  <c r="O123" i="2"/>
  <c r="Q123" i="2"/>
  <c r="S123" i="2"/>
  <c r="O124" i="2"/>
  <c r="Q124" i="2"/>
  <c r="S124" i="2"/>
  <c r="O125" i="2"/>
  <c r="R125" i="2" s="1"/>
  <c r="Q125" i="2"/>
  <c r="S125" i="2"/>
  <c r="O126" i="2"/>
  <c r="Q126" i="2"/>
  <c r="S126" i="2"/>
  <c r="O127" i="2"/>
  <c r="R127" i="2" s="1"/>
  <c r="Q127" i="2"/>
  <c r="S127" i="2"/>
  <c r="O128" i="2"/>
  <c r="Q128" i="2"/>
  <c r="S128" i="2"/>
  <c r="O129" i="2"/>
  <c r="R129" i="2" s="1"/>
  <c r="Q129" i="2"/>
  <c r="S129" i="2"/>
  <c r="O130" i="2"/>
  <c r="Q130" i="2"/>
  <c r="S130" i="2"/>
  <c r="R130" i="2" s="1"/>
  <c r="O131" i="2"/>
  <c r="Q131" i="2"/>
  <c r="S131" i="2"/>
  <c r="O132" i="2"/>
  <c r="Q132" i="2"/>
  <c r="S132" i="2"/>
  <c r="O133" i="2"/>
  <c r="R133" i="2" s="1"/>
  <c r="Q133" i="2"/>
  <c r="S133" i="2"/>
  <c r="O134" i="2"/>
  <c r="Q134" i="2"/>
  <c r="S134" i="2"/>
  <c r="O135" i="2"/>
  <c r="Q135" i="2"/>
  <c r="S135" i="2"/>
  <c r="O136" i="2"/>
  <c r="Q136" i="2"/>
  <c r="S136" i="2"/>
  <c r="O137" i="2"/>
  <c r="Q137" i="2"/>
  <c r="S137" i="2"/>
  <c r="O138" i="2"/>
  <c r="Q138" i="2"/>
  <c r="S138" i="2"/>
  <c r="O139" i="2"/>
  <c r="Q139" i="2"/>
  <c r="S139" i="2"/>
  <c r="O140" i="2"/>
  <c r="Q140" i="2"/>
  <c r="S140" i="2"/>
  <c r="O141" i="2"/>
  <c r="R141" i="2" s="1"/>
  <c r="Q141" i="2"/>
  <c r="S141" i="2"/>
  <c r="O142" i="2"/>
  <c r="Q142" i="2"/>
  <c r="S142" i="2"/>
  <c r="O143" i="2"/>
  <c r="Q143" i="2"/>
  <c r="S143" i="2"/>
  <c r="O144" i="2"/>
  <c r="Q144" i="2"/>
  <c r="S144" i="2"/>
  <c r="O145" i="2"/>
  <c r="R145" i="2" s="1"/>
  <c r="Q145" i="2"/>
  <c r="S145" i="2"/>
  <c r="O146" i="2"/>
  <c r="Q146" i="2"/>
  <c r="S146" i="2"/>
  <c r="O147" i="2"/>
  <c r="Q147" i="2"/>
  <c r="S147" i="2"/>
  <c r="O148" i="2"/>
  <c r="Q148" i="2"/>
  <c r="S148" i="2"/>
  <c r="R148" i="2" s="1"/>
  <c r="O149" i="2"/>
  <c r="R149" i="2" s="1"/>
  <c r="Q149" i="2"/>
  <c r="S149" i="2"/>
  <c r="O150" i="2"/>
  <c r="Q150" i="2"/>
  <c r="S150" i="2"/>
  <c r="O151" i="2"/>
  <c r="Q151" i="2"/>
  <c r="S151" i="2"/>
  <c r="O152" i="2"/>
  <c r="Q152" i="2"/>
  <c r="S152" i="2"/>
  <c r="O153" i="2"/>
  <c r="R153" i="2" s="1"/>
  <c r="Q153" i="2"/>
  <c r="S153" i="2"/>
  <c r="O154" i="2"/>
  <c r="Q154" i="2"/>
  <c r="S154" i="2"/>
  <c r="R154" i="2" s="1"/>
  <c r="O155" i="2"/>
  <c r="R155" i="2" s="1"/>
  <c r="Q155" i="2"/>
  <c r="S155" i="2"/>
  <c r="O156" i="2"/>
  <c r="Q156" i="2"/>
  <c r="S156" i="2"/>
  <c r="O157" i="2"/>
  <c r="R157" i="2" s="1"/>
  <c r="Q157" i="2"/>
  <c r="S157" i="2"/>
  <c r="O158" i="2"/>
  <c r="Q158" i="2"/>
  <c r="S158" i="2"/>
  <c r="O159" i="2"/>
  <c r="R159" i="2" s="1"/>
  <c r="Q159" i="2"/>
  <c r="S159" i="2"/>
  <c r="O160" i="2"/>
  <c r="Q160" i="2"/>
  <c r="S160" i="2"/>
  <c r="O161" i="2"/>
  <c r="R161" i="2" s="1"/>
  <c r="Q161" i="2"/>
  <c r="S161" i="2"/>
  <c r="O162" i="2"/>
  <c r="Q162" i="2"/>
  <c r="S162" i="2"/>
  <c r="O163" i="2"/>
  <c r="R163" i="2" s="1"/>
  <c r="Q163" i="2"/>
  <c r="S163" i="2"/>
  <c r="O164" i="2"/>
  <c r="Q164" i="2"/>
  <c r="S164" i="2"/>
  <c r="O165" i="2"/>
  <c r="R165" i="2" s="1"/>
  <c r="Q165" i="2"/>
  <c r="S165" i="2"/>
  <c r="O166" i="2"/>
  <c r="Q166" i="2"/>
  <c r="S166" i="2"/>
  <c r="O167" i="2"/>
  <c r="R167" i="2" s="1"/>
  <c r="Q167" i="2"/>
  <c r="S167" i="2"/>
  <c r="O168" i="2"/>
  <c r="Q168" i="2"/>
  <c r="S168" i="2"/>
  <c r="R168" i="2" s="1"/>
  <c r="O169" i="2"/>
  <c r="R169" i="2" s="1"/>
  <c r="Q169" i="2"/>
  <c r="S169" i="2"/>
  <c r="O170" i="2"/>
  <c r="Q170" i="2"/>
  <c r="S170" i="2"/>
  <c r="O171" i="2"/>
  <c r="R171" i="2" s="1"/>
  <c r="Q171" i="2"/>
  <c r="S171" i="2"/>
  <c r="O172" i="2"/>
  <c r="Q172" i="2"/>
  <c r="S172" i="2"/>
  <c r="R172" i="2" s="1"/>
  <c r="O173" i="2"/>
  <c r="Q173" i="2"/>
  <c r="S173" i="2"/>
  <c r="O174" i="2"/>
  <c r="Q174" i="2"/>
  <c r="S174" i="2"/>
  <c r="O175" i="2"/>
  <c r="Q175" i="2"/>
  <c r="S175" i="2"/>
  <c r="R175" i="2" s="1"/>
  <c r="O176" i="2"/>
  <c r="Q176" i="2"/>
  <c r="S176" i="2"/>
  <c r="R176" i="2" s="1"/>
  <c r="O177" i="2"/>
  <c r="R177" i="2" s="1"/>
  <c r="Q177" i="2"/>
  <c r="S177" i="2"/>
  <c r="O178" i="2"/>
  <c r="Q178" i="2"/>
  <c r="S178" i="2"/>
  <c r="O179" i="2"/>
  <c r="Q179" i="2"/>
  <c r="S179" i="2"/>
  <c r="O180" i="2"/>
  <c r="Q180" i="2"/>
  <c r="S180" i="2"/>
  <c r="O181" i="2"/>
  <c r="R181" i="2" s="1"/>
  <c r="Q181" i="2"/>
  <c r="S181" i="2"/>
  <c r="O182" i="2"/>
  <c r="Q182" i="2"/>
  <c r="S182" i="2"/>
  <c r="O183" i="2"/>
  <c r="Q183" i="2"/>
  <c r="R183" i="2"/>
  <c r="S183" i="2"/>
  <c r="O184" i="2"/>
  <c r="Q184" i="2"/>
  <c r="S184" i="2"/>
  <c r="O185" i="2"/>
  <c r="Q185" i="2"/>
  <c r="R185" i="2"/>
  <c r="S185" i="2"/>
  <c r="O186" i="2"/>
  <c r="Q186" i="2"/>
  <c r="S186" i="2"/>
  <c r="R186" i="2" s="1"/>
  <c r="O187" i="2"/>
  <c r="R187" i="2" s="1"/>
  <c r="Q187" i="2"/>
  <c r="S187" i="2"/>
  <c r="O188" i="2"/>
  <c r="Q188" i="2"/>
  <c r="S188" i="2"/>
  <c r="R188" i="2" s="1"/>
  <c r="O189" i="2"/>
  <c r="Q189" i="2"/>
  <c r="S189" i="2"/>
  <c r="O190" i="2"/>
  <c r="Q190" i="2"/>
  <c r="S190" i="2"/>
  <c r="O191" i="2"/>
  <c r="Q191" i="2"/>
  <c r="S191" i="2"/>
  <c r="R191" i="2" s="1"/>
  <c r="O192" i="2"/>
  <c r="Q192" i="2"/>
  <c r="S192" i="2"/>
  <c r="R192" i="2" s="1"/>
  <c r="O193" i="2"/>
  <c r="Q193" i="2"/>
  <c r="S193" i="2"/>
  <c r="O194" i="2"/>
  <c r="Q194" i="2"/>
  <c r="S194" i="2"/>
  <c r="R194" i="2" s="1"/>
  <c r="O195" i="2"/>
  <c r="Q195" i="2"/>
  <c r="S195" i="2"/>
  <c r="R195" i="2" s="1"/>
  <c r="O196" i="2"/>
  <c r="Q196" i="2"/>
  <c r="S196" i="2"/>
  <c r="O197" i="2"/>
  <c r="Q197" i="2"/>
  <c r="S197" i="2"/>
  <c r="O198" i="2"/>
  <c r="Q198" i="2"/>
  <c r="S198" i="2"/>
  <c r="O199" i="2"/>
  <c r="Q199" i="2"/>
  <c r="S199" i="2"/>
  <c r="R199" i="2" s="1"/>
  <c r="O200" i="2"/>
  <c r="Q200" i="2"/>
  <c r="S200" i="2"/>
  <c r="R200" i="2" s="1"/>
  <c r="O201" i="2"/>
  <c r="R201" i="2" s="1"/>
  <c r="Q201" i="2"/>
  <c r="S201" i="2"/>
  <c r="O202" i="2"/>
  <c r="Q202" i="2"/>
  <c r="S202" i="2"/>
  <c r="R202" i="2" s="1"/>
  <c r="O203" i="2"/>
  <c r="R203" i="2" s="1"/>
  <c r="Q203" i="2"/>
  <c r="S203" i="2"/>
  <c r="O204" i="2"/>
  <c r="Q204" i="2"/>
  <c r="S204" i="2"/>
  <c r="O205" i="2"/>
  <c r="R205" i="2" s="1"/>
  <c r="Q205" i="2"/>
  <c r="S205" i="2"/>
  <c r="T2" i="2"/>
  <c r="S2" i="2"/>
  <c r="R2" i="2" s="1"/>
  <c r="Q2" i="2"/>
  <c r="P2" i="2"/>
  <c r="U2" i="2" s="1"/>
  <c r="O2" i="2"/>
  <c r="AA74" i="2"/>
  <c r="AA75" i="2" s="1"/>
  <c r="AA67" i="2"/>
  <c r="AA69" i="2" s="1"/>
  <c r="AA71" i="2" s="1"/>
  <c r="U5" i="2" l="1"/>
  <c r="R197" i="2"/>
  <c r="R189" i="2"/>
  <c r="R151" i="2"/>
  <c r="R147" i="2"/>
  <c r="R139" i="2"/>
  <c r="R135" i="2"/>
  <c r="R131" i="2"/>
  <c r="R123" i="2"/>
  <c r="R71" i="2"/>
  <c r="R45" i="2"/>
  <c r="R37" i="2"/>
  <c r="R173" i="2"/>
  <c r="R103" i="2"/>
  <c r="R91" i="2"/>
  <c r="R87" i="2"/>
  <c r="R83" i="2"/>
  <c r="R48" i="2"/>
  <c r="R25" i="2"/>
  <c r="R137" i="2"/>
  <c r="R63" i="2"/>
  <c r="R144" i="2"/>
  <c r="R179" i="2"/>
  <c r="R178" i="2"/>
  <c r="R120" i="2"/>
  <c r="R97" i="2"/>
  <c r="R8" i="2"/>
  <c r="R193" i="2"/>
  <c r="R143" i="2"/>
  <c r="R100" i="2"/>
  <c r="R96" i="2"/>
  <c r="R84" i="2"/>
  <c r="R34" i="2"/>
  <c r="R204" i="2"/>
  <c r="R180" i="2"/>
  <c r="R36" i="2"/>
  <c r="R190" i="2"/>
  <c r="R152" i="2"/>
  <c r="R104" i="2"/>
  <c r="R80" i="2"/>
  <c r="R56" i="2"/>
  <c r="R32" i="2"/>
  <c r="R66" i="2"/>
  <c r="R42" i="2"/>
  <c r="R18" i="2"/>
  <c r="R196" i="2"/>
  <c r="R124" i="2"/>
  <c r="R182" i="2"/>
  <c r="R62" i="2"/>
  <c r="R38" i="2"/>
  <c r="R14" i="2"/>
  <c r="R10" i="2"/>
  <c r="R198" i="2"/>
  <c r="R174" i="2"/>
  <c r="R126" i="2"/>
  <c r="R102" i="2"/>
  <c r="R78" i="2"/>
  <c r="R30" i="2"/>
  <c r="R4" i="2"/>
  <c r="U4" i="2" s="1"/>
  <c r="R184" i="2"/>
  <c r="R160" i="2"/>
  <c r="R136" i="2"/>
  <c r="R112" i="2"/>
  <c r="R88" i="2"/>
  <c r="R64" i="2"/>
  <c r="R40" i="2"/>
  <c r="R16" i="2"/>
  <c r="R6" i="2"/>
  <c r="R166" i="2"/>
  <c r="R142" i="2"/>
  <c r="R118" i="2"/>
  <c r="R94" i="2"/>
  <c r="R70" i="2"/>
  <c r="R46" i="2"/>
  <c r="R22" i="2"/>
  <c r="R170" i="2"/>
  <c r="R146" i="2"/>
  <c r="R122" i="2"/>
  <c r="R98" i="2"/>
  <c r="R74" i="2"/>
  <c r="R50" i="2"/>
  <c r="R26" i="2"/>
  <c r="R150" i="2"/>
  <c r="R54" i="2"/>
  <c r="R128" i="2"/>
  <c r="R156" i="2"/>
  <c r="R132" i="2"/>
  <c r="R108" i="2"/>
  <c r="R60" i="2"/>
  <c r="R12" i="2"/>
  <c r="R158" i="2"/>
  <c r="R134" i="2"/>
  <c r="R110" i="2"/>
  <c r="R162" i="2"/>
  <c r="R138" i="2"/>
  <c r="R114" i="2"/>
  <c r="R164" i="2"/>
  <c r="R140" i="2"/>
  <c r="R116" i="2"/>
  <c r="R92" i="2"/>
  <c r="R68" i="2"/>
  <c r="R44" i="2"/>
  <c r="R20" i="2"/>
  <c r="Z53" i="2"/>
  <c r="AC3" i="2"/>
  <c r="AD3" i="2" s="1"/>
  <c r="AC4" i="2"/>
  <c r="AD4" i="2" s="1"/>
  <c r="AC5" i="2"/>
  <c r="AF5" i="2" s="1"/>
  <c r="AC6" i="2"/>
  <c r="AF6" i="2" s="1"/>
  <c r="AC7" i="2"/>
  <c r="AD7" i="2" s="1"/>
  <c r="AC8" i="2"/>
  <c r="AD8" i="2" s="1"/>
  <c r="AC9" i="2"/>
  <c r="AD9" i="2" s="1"/>
  <c r="AC10" i="2"/>
  <c r="AD10" i="2" s="1"/>
  <c r="AC11" i="2"/>
  <c r="AD11" i="2" s="1"/>
  <c r="AC12" i="2"/>
  <c r="AF12" i="2" s="1"/>
  <c r="AC13" i="2"/>
  <c r="AF13" i="2" s="1"/>
  <c r="AC14" i="2"/>
  <c r="AF14" i="2" s="1"/>
  <c r="AC15" i="2"/>
  <c r="AD15" i="2" s="1"/>
  <c r="AC16" i="2"/>
  <c r="AD16" i="2" s="1"/>
  <c r="AC17" i="2"/>
  <c r="AD17" i="2" s="1"/>
  <c r="AC18" i="2"/>
  <c r="AF18" i="2" s="1"/>
  <c r="AC19" i="2"/>
  <c r="AD19" i="2" s="1"/>
  <c r="AC20" i="2"/>
  <c r="AD20" i="2" s="1"/>
  <c r="AC21" i="2"/>
  <c r="AF21" i="2" s="1"/>
  <c r="AC22" i="2"/>
  <c r="AF22" i="2" s="1"/>
  <c r="AC23" i="2"/>
  <c r="AD23" i="2" s="1"/>
  <c r="AC24" i="2"/>
  <c r="AD24" i="2" s="1"/>
  <c r="AC25" i="2"/>
  <c r="AC26" i="2"/>
  <c r="AF26" i="2" s="1"/>
  <c r="AC27" i="2"/>
  <c r="AD27" i="2" s="1"/>
  <c r="AC28" i="2"/>
  <c r="AD28" i="2" s="1"/>
  <c r="AC29" i="2"/>
  <c r="AF29" i="2" s="1"/>
  <c r="AC30" i="2"/>
  <c r="AF30" i="2" s="1"/>
  <c r="AC31" i="2"/>
  <c r="AD31" i="2" s="1"/>
  <c r="AC32" i="2"/>
  <c r="AF32" i="2" s="1"/>
  <c r="AC33" i="2"/>
  <c r="AF33" i="2" s="1"/>
  <c r="AC34" i="2"/>
  <c r="AF34" i="2" s="1"/>
  <c r="AC35" i="2"/>
  <c r="AD35" i="2" s="1"/>
  <c r="AC36" i="2"/>
  <c r="AD36" i="2" s="1"/>
  <c r="AC37" i="2"/>
  <c r="AD37" i="2" s="1"/>
  <c r="AC38" i="2"/>
  <c r="AC39" i="2"/>
  <c r="AD39" i="2" s="1"/>
  <c r="AC40" i="2"/>
  <c r="AD40" i="2" s="1"/>
  <c r="AC41" i="2"/>
  <c r="AF41" i="2" s="1"/>
  <c r="AC42" i="2"/>
  <c r="AF42" i="2" s="1"/>
  <c r="AC43" i="2"/>
  <c r="AD43" i="2" s="1"/>
  <c r="AC44" i="2"/>
  <c r="AD44" i="2" s="1"/>
  <c r="AC45" i="2"/>
  <c r="AD45" i="2" s="1"/>
  <c r="AC46" i="2"/>
  <c r="AD46" i="2" s="1"/>
  <c r="AC47" i="2"/>
  <c r="AD47" i="2" s="1"/>
  <c r="AC48" i="2"/>
  <c r="AC49" i="2"/>
  <c r="AF49" i="2" s="1"/>
  <c r="AC50" i="2"/>
  <c r="AF50" i="2" s="1"/>
  <c r="AC51" i="2"/>
  <c r="AD51" i="2" s="1"/>
  <c r="AC52" i="2"/>
  <c r="AD52" i="2" s="1"/>
  <c r="AC2" i="2"/>
  <c r="AF2" i="2" s="1"/>
  <c r="AA3" i="2"/>
  <c r="AB3" i="2" s="1"/>
  <c r="AA4" i="2"/>
  <c r="AB4" i="2" s="1"/>
  <c r="AA5" i="2"/>
  <c r="AA6" i="2"/>
  <c r="AA7" i="2"/>
  <c r="AE7" i="2" s="1"/>
  <c r="AA8" i="2"/>
  <c r="AB8" i="2" s="1"/>
  <c r="AA9" i="2"/>
  <c r="AB9" i="2" s="1"/>
  <c r="AA10" i="2"/>
  <c r="AB10" i="2" s="1"/>
  <c r="AA11" i="2"/>
  <c r="AB11" i="2" s="1"/>
  <c r="AA12" i="2"/>
  <c r="AB12" i="2" s="1"/>
  <c r="AA13" i="2"/>
  <c r="AB13" i="2" s="1"/>
  <c r="AA14" i="2"/>
  <c r="AE14" i="2" s="1"/>
  <c r="AA15" i="2"/>
  <c r="AE15" i="2" s="1"/>
  <c r="AE16" i="2" s="1"/>
  <c r="AA16" i="2"/>
  <c r="AB16" i="2" s="1"/>
  <c r="AA17" i="2"/>
  <c r="AB17" i="2" s="1"/>
  <c r="AA18" i="2"/>
  <c r="AB18" i="2" s="1"/>
  <c r="AA19" i="2"/>
  <c r="AB19" i="2" s="1"/>
  <c r="AA20" i="2"/>
  <c r="AB20" i="2" s="1"/>
  <c r="AA21" i="2"/>
  <c r="AA22" i="2"/>
  <c r="AB22" i="2" s="1"/>
  <c r="AA23" i="2"/>
  <c r="AB23" i="2" s="1"/>
  <c r="AA24" i="2"/>
  <c r="AB24" i="2" s="1"/>
  <c r="AA25" i="2"/>
  <c r="AB25" i="2" s="1"/>
  <c r="AA26" i="2"/>
  <c r="AA27" i="2"/>
  <c r="AA28" i="2"/>
  <c r="AB28" i="2" s="1"/>
  <c r="AA29" i="2"/>
  <c r="AB29" i="2" s="1"/>
  <c r="AA30" i="2"/>
  <c r="AB30" i="2" s="1"/>
  <c r="AA31" i="2"/>
  <c r="AB31" i="2" s="1"/>
  <c r="AA32" i="2"/>
  <c r="AB32" i="2" s="1"/>
  <c r="AA33" i="2"/>
  <c r="AB33" i="2" s="1"/>
  <c r="AA34" i="2"/>
  <c r="AB34" i="2" s="1"/>
  <c r="AA35" i="2"/>
  <c r="AE35" i="2" s="1"/>
  <c r="AA36" i="2"/>
  <c r="AB36" i="2" s="1"/>
  <c r="AA37" i="2"/>
  <c r="AB37" i="2" s="1"/>
  <c r="AA38" i="2"/>
  <c r="AE38" i="2" s="1"/>
  <c r="AA39" i="2"/>
  <c r="AE39" i="2" s="1"/>
  <c r="AE40" i="2" s="1"/>
  <c r="AA40" i="2"/>
  <c r="AB40" i="2" s="1"/>
  <c r="AA41" i="2"/>
  <c r="AB41" i="2" s="1"/>
  <c r="AA42" i="2"/>
  <c r="AB42" i="2" s="1"/>
  <c r="AA43" i="2"/>
  <c r="AB43" i="2" s="1"/>
  <c r="AA44" i="2"/>
  <c r="AB44" i="2" s="1"/>
  <c r="AA45" i="2"/>
  <c r="AB45" i="2" s="1"/>
  <c r="AA46" i="2"/>
  <c r="AB46" i="2" s="1"/>
  <c r="AA47" i="2"/>
  <c r="AB47" i="2" s="1"/>
  <c r="AA48" i="2"/>
  <c r="AE48" i="2" s="1"/>
  <c r="AA49" i="2"/>
  <c r="AE49" i="2" s="1"/>
  <c r="AA50" i="2"/>
  <c r="AA51" i="2"/>
  <c r="AA52" i="2"/>
  <c r="AB52" i="2" s="1"/>
  <c r="AA2" i="2"/>
  <c r="AE2" i="2" s="1"/>
  <c r="AE50" i="2" l="1"/>
  <c r="AE51" i="2" s="1"/>
  <c r="AE52" i="2" s="1"/>
  <c r="AE41" i="2"/>
  <c r="AE42" i="2" s="1"/>
  <c r="AE43" i="2" s="1"/>
  <c r="AE44" i="2" s="1"/>
  <c r="AE45" i="2" s="1"/>
  <c r="AE46" i="2" s="1"/>
  <c r="AE47" i="2" s="1"/>
  <c r="AF47" i="2"/>
  <c r="AF48" i="2"/>
  <c r="AF37" i="2"/>
  <c r="AF38" i="2" s="1"/>
  <c r="AE17" i="2"/>
  <c r="AE18" i="2" s="1"/>
  <c r="AE19" i="2" s="1"/>
  <c r="AF28" i="2"/>
  <c r="AF11" i="2"/>
  <c r="AE3" i="2"/>
  <c r="AE21" i="2"/>
  <c r="AE22" i="2" s="1"/>
  <c r="AE23" i="2" s="1"/>
  <c r="AE24" i="2" s="1"/>
  <c r="AB51" i="2"/>
  <c r="AB39" i="2"/>
  <c r="AB35" i="2"/>
  <c r="AB27" i="2"/>
  <c r="AB15" i="2"/>
  <c r="AB7" i="2"/>
  <c r="AF46" i="2"/>
  <c r="AE37" i="2"/>
  <c r="AF27" i="2"/>
  <c r="AE20" i="2"/>
  <c r="AF10" i="2"/>
  <c r="AE4" i="2"/>
  <c r="AE5" i="2" s="1"/>
  <c r="AE6" i="2" s="1"/>
  <c r="AD50" i="2"/>
  <c r="AD42" i="2"/>
  <c r="AD38" i="2"/>
  <c r="AD34" i="2"/>
  <c r="AD30" i="2"/>
  <c r="AD26" i="2"/>
  <c r="AD22" i="2"/>
  <c r="AD18" i="2"/>
  <c r="AD14" i="2"/>
  <c r="AD6" i="2"/>
  <c r="AF3" i="2"/>
  <c r="AF4" i="2" s="1"/>
  <c r="AF45" i="2"/>
  <c r="AF36" i="2"/>
  <c r="AF19" i="2"/>
  <c r="AF20" i="2" s="1"/>
  <c r="AF9" i="2"/>
  <c r="AF52" i="2"/>
  <c r="AF44" i="2"/>
  <c r="AE36" i="2"/>
  <c r="AA53" i="2"/>
  <c r="AB50" i="2"/>
  <c r="AB38" i="2"/>
  <c r="AB26" i="2"/>
  <c r="AB14" i="2"/>
  <c r="AB6" i="2"/>
  <c r="AF51" i="2"/>
  <c r="AF43" i="2"/>
  <c r="AF35" i="2"/>
  <c r="AF17" i="2"/>
  <c r="AF8" i="2"/>
  <c r="AD2" i="2"/>
  <c r="AD49" i="2"/>
  <c r="AD41" i="2"/>
  <c r="AD33" i="2"/>
  <c r="AD29" i="2"/>
  <c r="AD25" i="2"/>
  <c r="AD21" i="2"/>
  <c r="AD13" i="2"/>
  <c r="AD5" i="2"/>
  <c r="AF16" i="2"/>
  <c r="AE8" i="2"/>
  <c r="AE9" i="2" s="1"/>
  <c r="AE10" i="2" s="1"/>
  <c r="AE11" i="2" s="1"/>
  <c r="AE12" i="2" s="1"/>
  <c r="AE13" i="2" s="1"/>
  <c r="AC53" i="2"/>
  <c r="AE25" i="2"/>
  <c r="AE26" i="2" s="1"/>
  <c r="AE27" i="2" s="1"/>
  <c r="AE28" i="2" s="1"/>
  <c r="AE29" i="2" s="1"/>
  <c r="AE30" i="2" s="1"/>
  <c r="AE31" i="2" s="1"/>
  <c r="AE32" i="2" s="1"/>
  <c r="AE33" i="2" s="1"/>
  <c r="AE34" i="2" s="1"/>
  <c r="AF15" i="2"/>
  <c r="AF7" i="2"/>
  <c r="AB2" i="2"/>
  <c r="AB49" i="2"/>
  <c r="AB21" i="2"/>
  <c r="AB5" i="2"/>
  <c r="AF40" i="2"/>
  <c r="AF24" i="2"/>
  <c r="AF25" i="2" s="1"/>
  <c r="AD48" i="2"/>
  <c r="AD32" i="2"/>
  <c r="AD12" i="2"/>
  <c r="AF39" i="2"/>
  <c r="AF23" i="2"/>
  <c r="AF31" i="2"/>
  <c r="AB48" i="2"/>
  <c r="H205" i="2"/>
  <c r="H201" i="2"/>
  <c r="H197" i="2"/>
  <c r="H193" i="2"/>
  <c r="H189" i="2"/>
  <c r="H185" i="2"/>
  <c r="H181" i="2"/>
  <c r="H177" i="2"/>
  <c r="H173" i="2"/>
  <c r="H169" i="2"/>
  <c r="H165" i="2"/>
  <c r="H161" i="2"/>
  <c r="H157" i="2"/>
  <c r="H153" i="2"/>
  <c r="H149" i="2"/>
  <c r="H145" i="2"/>
  <c r="H141" i="2"/>
  <c r="H137" i="2"/>
  <c r="H133" i="2"/>
  <c r="H129" i="2"/>
  <c r="H125" i="2"/>
  <c r="H121" i="2"/>
  <c r="H117" i="2"/>
  <c r="H113" i="2"/>
  <c r="H109" i="2"/>
  <c r="H105" i="2"/>
  <c r="H101" i="2"/>
  <c r="H97" i="2"/>
  <c r="H93" i="2"/>
  <c r="H89" i="2"/>
  <c r="H85" i="2"/>
  <c r="H81" i="2"/>
  <c r="AE53" i="2" l="1"/>
  <c r="AF53" i="2"/>
  <c r="AB53" i="2"/>
  <c r="AA63" i="2" s="1"/>
  <c r="AD53" i="2"/>
  <c r="AA64" i="2" s="1"/>
  <c r="H77" i="2"/>
  <c r="H73" i="2"/>
  <c r="H69" i="2"/>
  <c r="H65" i="2"/>
  <c r="H61" i="2"/>
  <c r="H57" i="2"/>
  <c r="H53" i="2"/>
  <c r="H49" i="2"/>
  <c r="H45" i="2"/>
  <c r="I52" i="1"/>
  <c r="H52" i="1"/>
  <c r="H41" i="2"/>
  <c r="AA65" i="2" l="1"/>
  <c r="H37" i="2"/>
  <c r="H33" i="2"/>
  <c r="H29" i="2"/>
  <c r="I34" i="1"/>
  <c r="H34" i="1"/>
  <c r="H25" i="2" l="1"/>
  <c r="H21" i="2"/>
  <c r="D5" i="2" l="1"/>
  <c r="D4" i="2"/>
  <c r="D3" i="2"/>
  <c r="D2" i="2"/>
  <c r="F7" i="2"/>
  <c r="F8" i="2"/>
  <c r="F9" i="2"/>
  <c r="F6" i="2"/>
  <c r="E7" i="2"/>
  <c r="E11" i="2" s="1"/>
  <c r="E15" i="2" s="1"/>
  <c r="E19" i="2" s="1"/>
  <c r="E23" i="2" s="1"/>
  <c r="E27" i="2" s="1"/>
  <c r="E31" i="2" s="1"/>
  <c r="E35" i="2" s="1"/>
  <c r="E39" i="2" s="1"/>
  <c r="E43" i="2" s="1"/>
  <c r="E47" i="2" s="1"/>
  <c r="E51" i="2" s="1"/>
  <c r="E55" i="2" s="1"/>
  <c r="E59" i="2" s="1"/>
  <c r="E63" i="2" s="1"/>
  <c r="E67" i="2" s="1"/>
  <c r="E71" i="2" s="1"/>
  <c r="E75" i="2" s="1"/>
  <c r="E79" i="2" s="1"/>
  <c r="E83" i="2" s="1"/>
  <c r="E87" i="2" s="1"/>
  <c r="E91" i="2" s="1"/>
  <c r="E95" i="2" s="1"/>
  <c r="E99" i="2" s="1"/>
  <c r="E103" i="2" s="1"/>
  <c r="E107" i="2" s="1"/>
  <c r="E111" i="2" s="1"/>
  <c r="E115" i="2" s="1"/>
  <c r="E119" i="2" s="1"/>
  <c r="E123" i="2" s="1"/>
  <c r="E127" i="2" s="1"/>
  <c r="E131" i="2" s="1"/>
  <c r="E135" i="2" s="1"/>
  <c r="E139" i="2" s="1"/>
  <c r="E143" i="2" s="1"/>
  <c r="E147" i="2" s="1"/>
  <c r="E151" i="2" s="1"/>
  <c r="E155" i="2" s="1"/>
  <c r="E159" i="2" s="1"/>
  <c r="E163" i="2" s="1"/>
  <c r="E167" i="2" s="1"/>
  <c r="E171" i="2" s="1"/>
  <c r="E175" i="2" s="1"/>
  <c r="E179" i="2" s="1"/>
  <c r="E183" i="2" s="1"/>
  <c r="E187" i="2" s="1"/>
  <c r="E191" i="2" s="1"/>
  <c r="E195" i="2" s="1"/>
  <c r="E199" i="2" s="1"/>
  <c r="E203" i="2" s="1"/>
  <c r="E8" i="2"/>
  <c r="E12" i="2" s="1"/>
  <c r="E16" i="2" s="1"/>
  <c r="E20" i="2" s="1"/>
  <c r="E24" i="2" s="1"/>
  <c r="E28" i="2" s="1"/>
  <c r="E32" i="2" s="1"/>
  <c r="E36" i="2" s="1"/>
  <c r="E40" i="2" s="1"/>
  <c r="E44" i="2" s="1"/>
  <c r="E48" i="2" s="1"/>
  <c r="E52" i="2" s="1"/>
  <c r="E56" i="2" s="1"/>
  <c r="E60" i="2" s="1"/>
  <c r="E64" i="2" s="1"/>
  <c r="E68" i="2" s="1"/>
  <c r="E72" i="2" s="1"/>
  <c r="E76" i="2" s="1"/>
  <c r="E80" i="2" s="1"/>
  <c r="E84" i="2" s="1"/>
  <c r="E88" i="2" s="1"/>
  <c r="E92" i="2" s="1"/>
  <c r="E96" i="2" s="1"/>
  <c r="E100" i="2" s="1"/>
  <c r="E104" i="2" s="1"/>
  <c r="E108" i="2" s="1"/>
  <c r="E112" i="2" s="1"/>
  <c r="E116" i="2" s="1"/>
  <c r="E120" i="2" s="1"/>
  <c r="E124" i="2" s="1"/>
  <c r="E128" i="2" s="1"/>
  <c r="E132" i="2" s="1"/>
  <c r="E136" i="2" s="1"/>
  <c r="E140" i="2" s="1"/>
  <c r="E144" i="2" s="1"/>
  <c r="E148" i="2" s="1"/>
  <c r="E152" i="2" s="1"/>
  <c r="E156" i="2" s="1"/>
  <c r="E160" i="2" s="1"/>
  <c r="E164" i="2" s="1"/>
  <c r="E168" i="2" s="1"/>
  <c r="E172" i="2" s="1"/>
  <c r="E176" i="2" s="1"/>
  <c r="E180" i="2" s="1"/>
  <c r="E184" i="2" s="1"/>
  <c r="E188" i="2" s="1"/>
  <c r="E192" i="2" s="1"/>
  <c r="E196" i="2" s="1"/>
  <c r="E200" i="2" s="1"/>
  <c r="E204" i="2" s="1"/>
  <c r="E9" i="2"/>
  <c r="E13" i="2" s="1"/>
  <c r="E17" i="2" s="1"/>
  <c r="E21" i="2" s="1"/>
  <c r="E25" i="2" s="1"/>
  <c r="E29" i="2" s="1"/>
  <c r="E33" i="2" s="1"/>
  <c r="E37" i="2" s="1"/>
  <c r="E41" i="2" s="1"/>
  <c r="E45" i="2" s="1"/>
  <c r="E49" i="2" s="1"/>
  <c r="E53" i="2" s="1"/>
  <c r="E57" i="2" s="1"/>
  <c r="E61" i="2" s="1"/>
  <c r="E65" i="2" s="1"/>
  <c r="E69" i="2" s="1"/>
  <c r="E73" i="2" s="1"/>
  <c r="E77" i="2" s="1"/>
  <c r="E81" i="2" s="1"/>
  <c r="E85" i="2" s="1"/>
  <c r="E89" i="2" s="1"/>
  <c r="E93" i="2" s="1"/>
  <c r="E97" i="2" s="1"/>
  <c r="E101" i="2" s="1"/>
  <c r="E105" i="2" s="1"/>
  <c r="E109" i="2" s="1"/>
  <c r="E113" i="2" s="1"/>
  <c r="E117" i="2" s="1"/>
  <c r="E121" i="2" s="1"/>
  <c r="E125" i="2" s="1"/>
  <c r="E129" i="2" s="1"/>
  <c r="E133" i="2" s="1"/>
  <c r="E137" i="2" s="1"/>
  <c r="E141" i="2" s="1"/>
  <c r="E145" i="2" s="1"/>
  <c r="E149" i="2" s="1"/>
  <c r="E153" i="2" s="1"/>
  <c r="E157" i="2" s="1"/>
  <c r="E161" i="2" s="1"/>
  <c r="E165" i="2" s="1"/>
  <c r="E169" i="2" s="1"/>
  <c r="E173" i="2" s="1"/>
  <c r="E177" i="2" s="1"/>
  <c r="E181" i="2" s="1"/>
  <c r="E185" i="2" s="1"/>
  <c r="E189" i="2" s="1"/>
  <c r="E193" i="2" s="1"/>
  <c r="E197" i="2" s="1"/>
  <c r="E201" i="2" s="1"/>
  <c r="E205" i="2" s="1"/>
  <c r="E6" i="2"/>
  <c r="E10" i="2" s="1"/>
  <c r="E14" i="2" s="1"/>
  <c r="E18" i="2" s="1"/>
  <c r="E22" i="2" s="1"/>
  <c r="E26" i="2" s="1"/>
  <c r="E30" i="2" s="1"/>
  <c r="E34" i="2" s="1"/>
  <c r="E38" i="2" s="1"/>
  <c r="E42" i="2" s="1"/>
  <c r="E46" i="2" s="1"/>
  <c r="E50" i="2" s="1"/>
  <c r="E54" i="2" s="1"/>
  <c r="E58" i="2" s="1"/>
  <c r="E62" i="2" s="1"/>
  <c r="E66" i="2" s="1"/>
  <c r="E70" i="2" s="1"/>
  <c r="E74" i="2" s="1"/>
  <c r="E78" i="2" s="1"/>
  <c r="E82" i="2" s="1"/>
  <c r="E86" i="2" s="1"/>
  <c r="E90" i="2" s="1"/>
  <c r="E94" i="2" s="1"/>
  <c r="E98" i="2" s="1"/>
  <c r="E102" i="2" s="1"/>
  <c r="E106" i="2" s="1"/>
  <c r="E110" i="2" s="1"/>
  <c r="E114" i="2" s="1"/>
  <c r="E118" i="2" s="1"/>
  <c r="E122" i="2" s="1"/>
  <c r="E126" i="2" s="1"/>
  <c r="E130" i="2" s="1"/>
  <c r="E134" i="2" s="1"/>
  <c r="E138" i="2" s="1"/>
  <c r="E142" i="2" s="1"/>
  <c r="E146" i="2" s="1"/>
  <c r="E150" i="2" s="1"/>
  <c r="E154" i="2" s="1"/>
  <c r="E158" i="2" s="1"/>
  <c r="E162" i="2" s="1"/>
  <c r="E166" i="2" s="1"/>
  <c r="E170" i="2" s="1"/>
  <c r="E174" i="2" s="1"/>
  <c r="E178" i="2" s="1"/>
  <c r="E182" i="2" s="1"/>
  <c r="E186" i="2" s="1"/>
  <c r="E190" i="2" s="1"/>
  <c r="E194" i="2" s="1"/>
  <c r="E198" i="2" s="1"/>
  <c r="E202" i="2" s="1"/>
  <c r="A7" i="2"/>
  <c r="A11" i="2" s="1"/>
  <c r="A15" i="2" s="1"/>
  <c r="A19" i="2" s="1"/>
  <c r="A23" i="2" s="1"/>
  <c r="A27" i="2" s="1"/>
  <c r="A31" i="2" s="1"/>
  <c r="A35" i="2" s="1"/>
  <c r="A39" i="2" s="1"/>
  <c r="A43" i="2" s="1"/>
  <c r="A47" i="2" s="1"/>
  <c r="A51" i="2" s="1"/>
  <c r="A55" i="2" s="1"/>
  <c r="A59" i="2" s="1"/>
  <c r="A63" i="2" s="1"/>
  <c r="A67" i="2" s="1"/>
  <c r="A71" i="2" s="1"/>
  <c r="A75" i="2" s="1"/>
  <c r="A79" i="2" s="1"/>
  <c r="A83" i="2" s="1"/>
  <c r="A87" i="2" s="1"/>
  <c r="A91" i="2" s="1"/>
  <c r="A95" i="2" s="1"/>
  <c r="A99" i="2" s="1"/>
  <c r="A103" i="2" s="1"/>
  <c r="A107" i="2" s="1"/>
  <c r="A111" i="2" s="1"/>
  <c r="A115" i="2" s="1"/>
  <c r="A119" i="2" s="1"/>
  <c r="A123" i="2" s="1"/>
  <c r="A127" i="2" s="1"/>
  <c r="A131" i="2" s="1"/>
  <c r="A135" i="2" s="1"/>
  <c r="A139" i="2" s="1"/>
  <c r="A143" i="2" s="1"/>
  <c r="A147" i="2" s="1"/>
  <c r="A151" i="2" s="1"/>
  <c r="A155" i="2" s="1"/>
  <c r="A159" i="2" s="1"/>
  <c r="A163" i="2" s="1"/>
  <c r="A167" i="2" s="1"/>
  <c r="A171" i="2" s="1"/>
  <c r="A175" i="2" s="1"/>
  <c r="A179" i="2" s="1"/>
  <c r="A183" i="2" s="1"/>
  <c r="A187" i="2" s="1"/>
  <c r="A191" i="2" s="1"/>
  <c r="A195" i="2" s="1"/>
  <c r="A199" i="2" s="1"/>
  <c r="A203" i="2" s="1"/>
  <c r="A8" i="2"/>
  <c r="A12" i="2" s="1"/>
  <c r="A16" i="2" s="1"/>
  <c r="A20" i="2" s="1"/>
  <c r="A24" i="2" s="1"/>
  <c r="A28" i="2" s="1"/>
  <c r="A32" i="2" s="1"/>
  <c r="A36" i="2" s="1"/>
  <c r="A40" i="2" s="1"/>
  <c r="A44" i="2" s="1"/>
  <c r="A48" i="2" s="1"/>
  <c r="A52" i="2" s="1"/>
  <c r="A56" i="2" s="1"/>
  <c r="A60" i="2" s="1"/>
  <c r="A64" i="2" s="1"/>
  <c r="A68" i="2" s="1"/>
  <c r="A72" i="2" s="1"/>
  <c r="A76" i="2" s="1"/>
  <c r="A80" i="2" s="1"/>
  <c r="A84" i="2" s="1"/>
  <c r="A88" i="2" s="1"/>
  <c r="A92" i="2" s="1"/>
  <c r="A96" i="2" s="1"/>
  <c r="A100" i="2" s="1"/>
  <c r="A104" i="2" s="1"/>
  <c r="A108" i="2" s="1"/>
  <c r="A112" i="2" s="1"/>
  <c r="A116" i="2" s="1"/>
  <c r="A120" i="2" s="1"/>
  <c r="A124" i="2" s="1"/>
  <c r="A128" i="2" s="1"/>
  <c r="A132" i="2" s="1"/>
  <c r="A136" i="2" s="1"/>
  <c r="A140" i="2" s="1"/>
  <c r="A144" i="2" s="1"/>
  <c r="A148" i="2" s="1"/>
  <c r="A152" i="2" s="1"/>
  <c r="A156" i="2" s="1"/>
  <c r="A160" i="2" s="1"/>
  <c r="A164" i="2" s="1"/>
  <c r="A168" i="2" s="1"/>
  <c r="A172" i="2" s="1"/>
  <c r="A176" i="2" s="1"/>
  <c r="A180" i="2" s="1"/>
  <c r="A184" i="2" s="1"/>
  <c r="A188" i="2" s="1"/>
  <c r="A192" i="2" s="1"/>
  <c r="A196" i="2" s="1"/>
  <c r="A200" i="2" s="1"/>
  <c r="A204" i="2" s="1"/>
  <c r="A9" i="2"/>
  <c r="A13" i="2" s="1"/>
  <c r="A17" i="2" s="1"/>
  <c r="A21" i="2" s="1"/>
  <c r="A25" i="2" s="1"/>
  <c r="A29" i="2" s="1"/>
  <c r="A33" i="2" s="1"/>
  <c r="A37" i="2" s="1"/>
  <c r="A41" i="2" s="1"/>
  <c r="A45" i="2" s="1"/>
  <c r="A49" i="2" s="1"/>
  <c r="A53" i="2" s="1"/>
  <c r="A57" i="2" s="1"/>
  <c r="A61" i="2" s="1"/>
  <c r="A65" i="2" s="1"/>
  <c r="A69" i="2" s="1"/>
  <c r="A73" i="2" s="1"/>
  <c r="A77" i="2" s="1"/>
  <c r="A81" i="2" s="1"/>
  <c r="A85" i="2" s="1"/>
  <c r="A89" i="2" s="1"/>
  <c r="A93" i="2" s="1"/>
  <c r="A97" i="2" s="1"/>
  <c r="A101" i="2" s="1"/>
  <c r="A105" i="2" s="1"/>
  <c r="A109" i="2" s="1"/>
  <c r="A113" i="2" s="1"/>
  <c r="A117" i="2" s="1"/>
  <c r="A121" i="2" s="1"/>
  <c r="A125" i="2" s="1"/>
  <c r="A129" i="2" s="1"/>
  <c r="A133" i="2" s="1"/>
  <c r="A137" i="2" s="1"/>
  <c r="A141" i="2" s="1"/>
  <c r="A145" i="2" s="1"/>
  <c r="A149" i="2" s="1"/>
  <c r="A153" i="2" s="1"/>
  <c r="A157" i="2" s="1"/>
  <c r="A161" i="2" s="1"/>
  <c r="A165" i="2" s="1"/>
  <c r="A169" i="2" s="1"/>
  <c r="A173" i="2" s="1"/>
  <c r="A177" i="2" s="1"/>
  <c r="A181" i="2" s="1"/>
  <c r="A185" i="2" s="1"/>
  <c r="A189" i="2" s="1"/>
  <c r="A193" i="2" s="1"/>
  <c r="A197" i="2" s="1"/>
  <c r="A201" i="2" s="1"/>
  <c r="A205" i="2" s="1"/>
  <c r="A6" i="2"/>
  <c r="A10" i="2" s="1"/>
  <c r="A14" i="2" s="1"/>
  <c r="A18" i="2" s="1"/>
  <c r="A22" i="2" s="1"/>
  <c r="A26" i="2" s="1"/>
  <c r="A30" i="2" s="1"/>
  <c r="A34" i="2" s="1"/>
  <c r="A38" i="2" s="1"/>
  <c r="A42" i="2" s="1"/>
  <c r="A46" i="2" s="1"/>
  <c r="A50" i="2" s="1"/>
  <c r="A54" i="2" s="1"/>
  <c r="A58" i="2" s="1"/>
  <c r="A62" i="2" s="1"/>
  <c r="A66" i="2" s="1"/>
  <c r="A70" i="2" s="1"/>
  <c r="A74" i="2" s="1"/>
  <c r="A78" i="2" s="1"/>
  <c r="A82" i="2" s="1"/>
  <c r="A86" i="2" s="1"/>
  <c r="A90" i="2" s="1"/>
  <c r="A94" i="2" s="1"/>
  <c r="A98" i="2" s="1"/>
  <c r="A102" i="2" s="1"/>
  <c r="A106" i="2" s="1"/>
  <c r="A110" i="2" s="1"/>
  <c r="A114" i="2" s="1"/>
  <c r="A118" i="2" s="1"/>
  <c r="A122" i="2" s="1"/>
  <c r="A126" i="2" s="1"/>
  <c r="A130" i="2" s="1"/>
  <c r="A134" i="2" s="1"/>
  <c r="A138" i="2" s="1"/>
  <c r="A142" i="2" s="1"/>
  <c r="A146" i="2" s="1"/>
  <c r="A150" i="2" s="1"/>
  <c r="A154" i="2" s="1"/>
  <c r="A158" i="2" s="1"/>
  <c r="A162" i="2" s="1"/>
  <c r="A166" i="2" s="1"/>
  <c r="A170" i="2" s="1"/>
  <c r="A174" i="2" s="1"/>
  <c r="A178" i="2" s="1"/>
  <c r="A182" i="2" s="1"/>
  <c r="A186" i="2" s="1"/>
  <c r="A190" i="2" s="1"/>
  <c r="A194" i="2" s="1"/>
  <c r="A198" i="2" s="1"/>
  <c r="A202" i="2" s="1"/>
  <c r="B7" i="2"/>
  <c r="B11" i="2" s="1"/>
  <c r="B15" i="2" s="1"/>
  <c r="B19" i="2" s="1"/>
  <c r="B23" i="2" s="1"/>
  <c r="B35" i="2" s="1"/>
  <c r="B39" i="2" s="1"/>
  <c r="D39" i="2" s="1"/>
  <c r="B8" i="2"/>
  <c r="D8" i="2" s="1"/>
  <c r="B9" i="2"/>
  <c r="B13" i="2" s="1"/>
  <c r="B6" i="2"/>
  <c r="D6" i="2" s="1"/>
  <c r="C7" i="2"/>
  <c r="C11" i="2" s="1"/>
  <c r="C15" i="2" s="1"/>
  <c r="C19" i="2" s="1"/>
  <c r="C23" i="2" s="1"/>
  <c r="C27" i="2" s="1"/>
  <c r="C31" i="2" s="1"/>
  <c r="C35" i="2" s="1"/>
  <c r="C47" i="2" s="1"/>
  <c r="C51" i="2" s="1"/>
  <c r="C55" i="2" s="1"/>
  <c r="C59" i="2" s="1"/>
  <c r="C63" i="2" s="1"/>
  <c r="C67" i="2" s="1"/>
  <c r="C71" i="2" s="1"/>
  <c r="C75" i="2" s="1"/>
  <c r="C79" i="2" s="1"/>
  <c r="C83" i="2" s="1"/>
  <c r="C87" i="2" s="1"/>
  <c r="C91" i="2" s="1"/>
  <c r="C95" i="2" s="1"/>
  <c r="C99" i="2" s="1"/>
  <c r="C103" i="2" s="1"/>
  <c r="C107" i="2" s="1"/>
  <c r="C111" i="2" s="1"/>
  <c r="C115" i="2" s="1"/>
  <c r="C119" i="2" s="1"/>
  <c r="C123" i="2" s="1"/>
  <c r="C127" i="2" s="1"/>
  <c r="C131" i="2" s="1"/>
  <c r="C135" i="2" s="1"/>
  <c r="C139" i="2" s="1"/>
  <c r="C143" i="2" s="1"/>
  <c r="C147" i="2" s="1"/>
  <c r="C151" i="2" s="1"/>
  <c r="C155" i="2" s="1"/>
  <c r="C159" i="2" s="1"/>
  <c r="C163" i="2" s="1"/>
  <c r="C167" i="2" s="1"/>
  <c r="C171" i="2" s="1"/>
  <c r="C175" i="2" s="1"/>
  <c r="C179" i="2" s="1"/>
  <c r="C183" i="2" s="1"/>
  <c r="C187" i="2" s="1"/>
  <c r="C191" i="2" s="1"/>
  <c r="C195" i="2" s="1"/>
  <c r="C199" i="2" s="1"/>
  <c r="C8" i="2"/>
  <c r="C12" i="2" s="1"/>
  <c r="C16" i="2" s="1"/>
  <c r="C20" i="2" s="1"/>
  <c r="C24" i="2" s="1"/>
  <c r="C28" i="2" s="1"/>
  <c r="C32" i="2" s="1"/>
  <c r="C36" i="2" s="1"/>
  <c r="C48" i="2" s="1"/>
  <c r="C52" i="2" s="1"/>
  <c r="C56" i="2" s="1"/>
  <c r="C60" i="2" s="1"/>
  <c r="C64" i="2" s="1"/>
  <c r="C68" i="2" s="1"/>
  <c r="C72" i="2" s="1"/>
  <c r="C76" i="2" s="1"/>
  <c r="C80" i="2" s="1"/>
  <c r="C84" i="2" s="1"/>
  <c r="C88" i="2" s="1"/>
  <c r="C92" i="2" s="1"/>
  <c r="C96" i="2" s="1"/>
  <c r="C100" i="2" s="1"/>
  <c r="C104" i="2" s="1"/>
  <c r="C108" i="2" s="1"/>
  <c r="C112" i="2" s="1"/>
  <c r="C116" i="2" s="1"/>
  <c r="C120" i="2" s="1"/>
  <c r="C124" i="2" s="1"/>
  <c r="C128" i="2" s="1"/>
  <c r="C132" i="2" s="1"/>
  <c r="C136" i="2" s="1"/>
  <c r="C140" i="2" s="1"/>
  <c r="C144" i="2" s="1"/>
  <c r="C148" i="2" s="1"/>
  <c r="C152" i="2" s="1"/>
  <c r="C156" i="2" s="1"/>
  <c r="C160" i="2" s="1"/>
  <c r="C164" i="2" s="1"/>
  <c r="C168" i="2" s="1"/>
  <c r="C172" i="2" s="1"/>
  <c r="C176" i="2" s="1"/>
  <c r="C180" i="2" s="1"/>
  <c r="C184" i="2" s="1"/>
  <c r="C188" i="2" s="1"/>
  <c r="C192" i="2" s="1"/>
  <c r="C196" i="2" s="1"/>
  <c r="C200" i="2" s="1"/>
  <c r="C9" i="2"/>
  <c r="C13" i="2" s="1"/>
  <c r="C17" i="2" s="1"/>
  <c r="C21" i="2" s="1"/>
  <c r="C25" i="2" s="1"/>
  <c r="C29" i="2" s="1"/>
  <c r="C33" i="2" s="1"/>
  <c r="C37" i="2" s="1"/>
  <c r="C49" i="2" s="1"/>
  <c r="C53" i="2" s="1"/>
  <c r="C57" i="2" s="1"/>
  <c r="C61" i="2" s="1"/>
  <c r="C65" i="2" s="1"/>
  <c r="C69" i="2" s="1"/>
  <c r="C73" i="2" s="1"/>
  <c r="C77" i="2" s="1"/>
  <c r="C81" i="2" s="1"/>
  <c r="C85" i="2" s="1"/>
  <c r="C89" i="2" s="1"/>
  <c r="C93" i="2" s="1"/>
  <c r="C97" i="2" s="1"/>
  <c r="C101" i="2" s="1"/>
  <c r="C105" i="2" s="1"/>
  <c r="C109" i="2" s="1"/>
  <c r="C113" i="2" s="1"/>
  <c r="C117" i="2" s="1"/>
  <c r="C121" i="2" s="1"/>
  <c r="C125" i="2" s="1"/>
  <c r="C129" i="2" s="1"/>
  <c r="C133" i="2" s="1"/>
  <c r="C137" i="2" s="1"/>
  <c r="C141" i="2" s="1"/>
  <c r="C145" i="2" s="1"/>
  <c r="C149" i="2" s="1"/>
  <c r="C153" i="2" s="1"/>
  <c r="C157" i="2" s="1"/>
  <c r="C161" i="2" s="1"/>
  <c r="C165" i="2" s="1"/>
  <c r="C169" i="2" s="1"/>
  <c r="C173" i="2" s="1"/>
  <c r="C177" i="2" s="1"/>
  <c r="C181" i="2" s="1"/>
  <c r="C185" i="2" s="1"/>
  <c r="C189" i="2" s="1"/>
  <c r="C193" i="2" s="1"/>
  <c r="C197" i="2" s="1"/>
  <c r="C201" i="2" s="1"/>
  <c r="C6" i="2"/>
  <c r="C10" i="2" s="1"/>
  <c r="C14" i="2" s="1"/>
  <c r="C18" i="2" s="1"/>
  <c r="C22" i="2" s="1"/>
  <c r="C26" i="2" s="1"/>
  <c r="C30" i="2" s="1"/>
  <c r="C34" i="2" s="1"/>
  <c r="C46" i="2" s="1"/>
  <c r="C50" i="2" s="1"/>
  <c r="C54" i="2" s="1"/>
  <c r="C58" i="2" s="1"/>
  <c r="C62" i="2" s="1"/>
  <c r="C66" i="2" s="1"/>
  <c r="C70" i="2" s="1"/>
  <c r="C74" i="2" s="1"/>
  <c r="C78" i="2" s="1"/>
  <c r="C82" i="2" s="1"/>
  <c r="C86" i="2" s="1"/>
  <c r="C90" i="2" s="1"/>
  <c r="C94" i="2" s="1"/>
  <c r="C98" i="2" s="1"/>
  <c r="C102" i="2" s="1"/>
  <c r="C106" i="2" s="1"/>
  <c r="C110" i="2" s="1"/>
  <c r="C114" i="2" s="1"/>
  <c r="C118" i="2" s="1"/>
  <c r="C122" i="2" s="1"/>
  <c r="C126" i="2" s="1"/>
  <c r="C130" i="2" s="1"/>
  <c r="C134" i="2" s="1"/>
  <c r="C138" i="2" s="1"/>
  <c r="C142" i="2" s="1"/>
  <c r="C146" i="2" s="1"/>
  <c r="C150" i="2" s="1"/>
  <c r="C154" i="2" s="1"/>
  <c r="C158" i="2" s="1"/>
  <c r="C162" i="2" s="1"/>
  <c r="C166" i="2" s="1"/>
  <c r="C170" i="2" s="1"/>
  <c r="C174" i="2" s="1"/>
  <c r="C178" i="2" s="1"/>
  <c r="C182" i="2" s="1"/>
  <c r="C186" i="2" s="1"/>
  <c r="C190" i="2" s="1"/>
  <c r="C194" i="2" s="1"/>
  <c r="C198" i="2" s="1"/>
  <c r="F10" i="2" l="1"/>
  <c r="T6" i="2"/>
  <c r="P6" i="2"/>
  <c r="U6" i="2" s="1"/>
  <c r="F14" i="2"/>
  <c r="T10" i="2"/>
  <c r="P10" i="2"/>
  <c r="U10" i="2" s="1"/>
  <c r="F13" i="2"/>
  <c r="P9" i="2"/>
  <c r="T9" i="2"/>
  <c r="F12" i="2"/>
  <c r="J12" i="2" s="1"/>
  <c r="T8" i="2"/>
  <c r="P8" i="2"/>
  <c r="U8" i="2" s="1"/>
  <c r="F11" i="2"/>
  <c r="P7" i="2"/>
  <c r="T7" i="2"/>
  <c r="B12" i="2"/>
  <c r="D12" i="2" s="1"/>
  <c r="B10" i="2"/>
  <c r="B14" i="2" s="1"/>
  <c r="D14" i="2" s="1"/>
  <c r="D13" i="2"/>
  <c r="B17" i="2"/>
  <c r="D31" i="2"/>
  <c r="D7" i="2"/>
  <c r="D19" i="2"/>
  <c r="D9" i="2"/>
  <c r="D11" i="2"/>
  <c r="D23" i="2"/>
  <c r="D35" i="2"/>
  <c r="D27" i="2"/>
  <c r="D15" i="2"/>
  <c r="J3" i="2"/>
  <c r="V3" i="2" s="1"/>
  <c r="J4" i="2"/>
  <c r="V4" i="2" s="1"/>
  <c r="J5" i="2"/>
  <c r="V5" i="2" s="1"/>
  <c r="J6" i="2"/>
  <c r="V6" i="2" s="1"/>
  <c r="J7" i="2"/>
  <c r="J8" i="2"/>
  <c r="J9" i="2"/>
  <c r="J10" i="2"/>
  <c r="J11" i="2"/>
  <c r="J13" i="2"/>
  <c r="J14" i="2"/>
  <c r="J2" i="2"/>
  <c r="H17" i="2"/>
  <c r="H13" i="2"/>
  <c r="H9" i="2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K5" i="1"/>
  <c r="J5" i="1"/>
  <c r="H5" i="2"/>
  <c r="L2" i="2" l="1"/>
  <c r="V2" i="2"/>
  <c r="W2" i="2" s="1"/>
  <c r="W3" i="2" s="1"/>
  <c r="W4" i="2" s="1"/>
  <c r="W5" i="2" s="1"/>
  <c r="W6" i="2" s="1"/>
  <c r="V10" i="2"/>
  <c r="B16" i="2"/>
  <c r="D16" i="2" s="1"/>
  <c r="U7" i="2"/>
  <c r="F15" i="2"/>
  <c r="P11" i="2"/>
  <c r="T11" i="2"/>
  <c r="F16" i="2"/>
  <c r="T12" i="2"/>
  <c r="P12" i="2"/>
  <c r="U12" i="2" s="1"/>
  <c r="V12" i="2" s="1"/>
  <c r="V9" i="2"/>
  <c r="U9" i="2"/>
  <c r="V8" i="2"/>
  <c r="F17" i="2"/>
  <c r="P13" i="2"/>
  <c r="T13" i="2"/>
  <c r="V7" i="2"/>
  <c r="W7" i="2" s="1"/>
  <c r="W8" i="2" s="1"/>
  <c r="F18" i="2"/>
  <c r="P14" i="2"/>
  <c r="T14" i="2"/>
  <c r="D10" i="2"/>
  <c r="B18" i="2"/>
  <c r="B22" i="2" s="1"/>
  <c r="B20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K5" i="2"/>
  <c r="B21" i="2"/>
  <c r="D17" i="2"/>
  <c r="D43" i="2"/>
  <c r="K13" i="2"/>
  <c r="K9" i="2"/>
  <c r="M9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" i="1"/>
  <c r="U13" i="2" l="1"/>
  <c r="V13" i="2" s="1"/>
  <c r="F20" i="2"/>
  <c r="P16" i="2"/>
  <c r="T16" i="2"/>
  <c r="J16" i="2"/>
  <c r="U14" i="2"/>
  <c r="V14" i="2" s="1"/>
  <c r="P18" i="2"/>
  <c r="T18" i="2"/>
  <c r="F22" i="2"/>
  <c r="J18" i="2"/>
  <c r="W9" i="2"/>
  <c r="W10" i="2" s="1"/>
  <c r="U11" i="2"/>
  <c r="V11" i="2" s="1"/>
  <c r="F21" i="2"/>
  <c r="T17" i="2"/>
  <c r="P17" i="2"/>
  <c r="J17" i="2"/>
  <c r="F19" i="2"/>
  <c r="T15" i="2"/>
  <c r="P15" i="2"/>
  <c r="U15" i="2" s="1"/>
  <c r="J15" i="2"/>
  <c r="D18" i="1"/>
  <c r="D18" i="2"/>
  <c r="M13" i="2"/>
  <c r="D22" i="2"/>
  <c r="D47" i="2"/>
  <c r="B51" i="2"/>
  <c r="B25" i="2"/>
  <c r="D21" i="2"/>
  <c r="B24" i="2"/>
  <c r="D20" i="2"/>
  <c r="W11" i="2" l="1"/>
  <c r="W12" i="2" s="1"/>
  <c r="W13" i="2" s="1"/>
  <c r="W14" i="2" s="1"/>
  <c r="U18" i="2"/>
  <c r="U17" i="2"/>
  <c r="V18" i="2"/>
  <c r="V15" i="2"/>
  <c r="W15" i="2" s="1"/>
  <c r="K17" i="2"/>
  <c r="M17" i="2" s="1"/>
  <c r="T19" i="2"/>
  <c r="P19" i="2"/>
  <c r="U19" i="2" s="1"/>
  <c r="F23" i="2"/>
  <c r="J19" i="2"/>
  <c r="V19" i="2" s="1"/>
  <c r="V17" i="2"/>
  <c r="L15" i="2"/>
  <c r="L16" i="2" s="1"/>
  <c r="L17" i="2" s="1"/>
  <c r="L18" i="2" s="1"/>
  <c r="L19" i="2" s="1"/>
  <c r="L20" i="2" s="1"/>
  <c r="L21" i="2" s="1"/>
  <c r="T21" i="2"/>
  <c r="P21" i="2"/>
  <c r="U21" i="2" s="1"/>
  <c r="F25" i="2"/>
  <c r="J21" i="2"/>
  <c r="V21" i="2" s="1"/>
  <c r="U16" i="2"/>
  <c r="V16" i="2" s="1"/>
  <c r="P22" i="2"/>
  <c r="T22" i="2"/>
  <c r="F26" i="2"/>
  <c r="J22" i="2"/>
  <c r="P20" i="2"/>
  <c r="T20" i="2"/>
  <c r="F24" i="2"/>
  <c r="J20" i="2"/>
  <c r="D26" i="2"/>
  <c r="D24" i="2"/>
  <c r="D51" i="2"/>
  <c r="B55" i="2"/>
  <c r="D55" i="2" s="1"/>
  <c r="D25" i="2"/>
  <c r="W16" i="2" l="1"/>
  <c r="W17" i="2" s="1"/>
  <c r="W18" i="2" s="1"/>
  <c r="W19" i="2" s="1"/>
  <c r="P23" i="2"/>
  <c r="T23" i="2"/>
  <c r="J23" i="2"/>
  <c r="F27" i="2"/>
  <c r="P24" i="2"/>
  <c r="T24" i="2"/>
  <c r="F28" i="2"/>
  <c r="J24" i="2"/>
  <c r="P26" i="2"/>
  <c r="T26" i="2"/>
  <c r="F30" i="2"/>
  <c r="J26" i="2"/>
  <c r="U22" i="2"/>
  <c r="V22" i="2" s="1"/>
  <c r="L22" i="2"/>
  <c r="L23" i="2" s="1"/>
  <c r="P25" i="2"/>
  <c r="T25" i="2"/>
  <c r="F29" i="2"/>
  <c r="J25" i="2"/>
  <c r="U20" i="2"/>
  <c r="K21" i="2"/>
  <c r="M21" i="2" s="1"/>
  <c r="V20" i="2"/>
  <c r="W20" i="2" s="1"/>
  <c r="W21" i="2" s="1"/>
  <c r="B59" i="2"/>
  <c r="D28" i="2"/>
  <c r="D29" i="2"/>
  <c r="B34" i="2"/>
  <c r="D30" i="2"/>
  <c r="W22" i="2" l="1"/>
  <c r="U26" i="2"/>
  <c r="T30" i="2"/>
  <c r="P30" i="2"/>
  <c r="U30" i="2" s="1"/>
  <c r="F34" i="2"/>
  <c r="J30" i="2"/>
  <c r="T28" i="2"/>
  <c r="P28" i="2"/>
  <c r="U28" i="2" s="1"/>
  <c r="F32" i="2"/>
  <c r="J28" i="2"/>
  <c r="V28" i="2" s="1"/>
  <c r="U24" i="2"/>
  <c r="V24" i="2" s="1"/>
  <c r="U25" i="2"/>
  <c r="V25" i="2" s="1"/>
  <c r="L24" i="2"/>
  <c r="L25" i="2" s="1"/>
  <c r="L26" i="2" s="1"/>
  <c r="P27" i="2"/>
  <c r="T27" i="2"/>
  <c r="F31" i="2"/>
  <c r="J27" i="2"/>
  <c r="U23" i="2"/>
  <c r="P29" i="2"/>
  <c r="T29" i="2"/>
  <c r="J29" i="2"/>
  <c r="F33" i="2"/>
  <c r="K25" i="2"/>
  <c r="M25" i="2" s="1"/>
  <c r="V26" i="2"/>
  <c r="B63" i="2"/>
  <c r="D59" i="2"/>
  <c r="B37" i="2"/>
  <c r="D33" i="2"/>
  <c r="B38" i="2"/>
  <c r="D34" i="2"/>
  <c r="B36" i="2"/>
  <c r="D32" i="2"/>
  <c r="T32" i="2" l="1"/>
  <c r="P32" i="2"/>
  <c r="U32" i="2" s="1"/>
  <c r="F36" i="2"/>
  <c r="J32" i="2"/>
  <c r="V32" i="2" s="1"/>
  <c r="P33" i="2"/>
  <c r="T33" i="2"/>
  <c r="J33" i="2"/>
  <c r="F37" i="2"/>
  <c r="V23" i="2"/>
  <c r="W23" i="2" s="1"/>
  <c r="W24" i="2" s="1"/>
  <c r="W25" i="2" s="1"/>
  <c r="W26" i="2" s="1"/>
  <c r="V30" i="2"/>
  <c r="L27" i="2"/>
  <c r="L28" i="2" s="1"/>
  <c r="L29" i="2" s="1"/>
  <c r="L30" i="2" s="1"/>
  <c r="L31" i="2" s="1"/>
  <c r="L32" i="2" s="1"/>
  <c r="L33" i="2" s="1"/>
  <c r="T34" i="2"/>
  <c r="P34" i="2"/>
  <c r="J34" i="2"/>
  <c r="F38" i="2"/>
  <c r="P31" i="2"/>
  <c r="T31" i="2"/>
  <c r="F35" i="2"/>
  <c r="J31" i="2"/>
  <c r="K29" i="2"/>
  <c r="M29" i="2" s="1"/>
  <c r="U29" i="2"/>
  <c r="V29" i="2" s="1"/>
  <c r="U27" i="2"/>
  <c r="V27" i="2" s="1"/>
  <c r="B67" i="2"/>
  <c r="D63" i="2"/>
  <c r="D38" i="2"/>
  <c r="B40" i="2"/>
  <c r="D36" i="2"/>
  <c r="B41" i="2"/>
  <c r="D37" i="2"/>
  <c r="U34" i="2" l="1"/>
  <c r="P37" i="2"/>
  <c r="T37" i="2"/>
  <c r="F41" i="2"/>
  <c r="J37" i="2"/>
  <c r="V33" i="2"/>
  <c r="W27" i="2"/>
  <c r="W28" i="2" s="1"/>
  <c r="W29" i="2" s="1"/>
  <c r="W30" i="2" s="1"/>
  <c r="P38" i="2"/>
  <c r="T38" i="2"/>
  <c r="F42" i="2"/>
  <c r="J38" i="2"/>
  <c r="V34" i="2"/>
  <c r="L34" i="2"/>
  <c r="U33" i="2"/>
  <c r="P35" i="2"/>
  <c r="T35" i="2"/>
  <c r="J35" i="2"/>
  <c r="F39" i="2"/>
  <c r="T36" i="2"/>
  <c r="P36" i="2"/>
  <c r="J36" i="2"/>
  <c r="F40" i="2"/>
  <c r="U31" i="2"/>
  <c r="V31" i="2" s="1"/>
  <c r="K33" i="2"/>
  <c r="M33" i="2" s="1"/>
  <c r="B71" i="2"/>
  <c r="D67" i="2"/>
  <c r="D40" i="2"/>
  <c r="D41" i="2"/>
  <c r="D42" i="2"/>
  <c r="U36" i="2" l="1"/>
  <c r="V36" i="2"/>
  <c r="L35" i="2"/>
  <c r="L36" i="2" s="1"/>
  <c r="L37" i="2" s="1"/>
  <c r="L38" i="2" s="1"/>
  <c r="U37" i="2"/>
  <c r="V37" i="2" s="1"/>
  <c r="P42" i="2"/>
  <c r="T42" i="2"/>
  <c r="F46" i="2"/>
  <c r="J42" i="2"/>
  <c r="U38" i="2"/>
  <c r="V38" i="2" s="1"/>
  <c r="P40" i="2"/>
  <c r="T40" i="2"/>
  <c r="J40" i="2"/>
  <c r="F44" i="2"/>
  <c r="W31" i="2"/>
  <c r="W32" i="2" s="1"/>
  <c r="W33" i="2" s="1"/>
  <c r="W34" i="2" s="1"/>
  <c r="T39" i="2"/>
  <c r="P39" i="2"/>
  <c r="U39" i="2" s="1"/>
  <c r="F43" i="2"/>
  <c r="J39" i="2"/>
  <c r="V39" i="2" s="1"/>
  <c r="U35" i="2"/>
  <c r="V35" i="2" s="1"/>
  <c r="P41" i="2"/>
  <c r="T41" i="2"/>
  <c r="F45" i="2"/>
  <c r="J41" i="2"/>
  <c r="K37" i="2"/>
  <c r="M37" i="2" s="1"/>
  <c r="B75" i="2"/>
  <c r="D71" i="2"/>
  <c r="D46" i="2"/>
  <c r="B50" i="2"/>
  <c r="D45" i="2"/>
  <c r="D44" i="2"/>
  <c r="U41" i="2" l="1"/>
  <c r="V41" i="2"/>
  <c r="T45" i="2"/>
  <c r="P45" i="2"/>
  <c r="U45" i="2" s="1"/>
  <c r="F49" i="2"/>
  <c r="J45" i="2"/>
  <c r="V45" i="2" s="1"/>
  <c r="U40" i="2"/>
  <c r="T43" i="2"/>
  <c r="P43" i="2"/>
  <c r="U43" i="2" s="1"/>
  <c r="F47" i="2"/>
  <c r="J43" i="2"/>
  <c r="W35" i="2"/>
  <c r="W36" i="2" s="1"/>
  <c r="W37" i="2" s="1"/>
  <c r="W38" i="2" s="1"/>
  <c r="W39" i="2" s="1"/>
  <c r="P46" i="2"/>
  <c r="T46" i="2"/>
  <c r="F50" i="2"/>
  <c r="J46" i="2"/>
  <c r="P44" i="2"/>
  <c r="T44" i="2"/>
  <c r="J44" i="2"/>
  <c r="F48" i="2"/>
  <c r="K41" i="2"/>
  <c r="M41" i="2" s="1"/>
  <c r="V40" i="2"/>
  <c r="L39" i="2"/>
  <c r="L40" i="2" s="1"/>
  <c r="L41" i="2" s="1"/>
  <c r="L42" i="2" s="1"/>
  <c r="L43" i="2" s="1"/>
  <c r="L44" i="2" s="1"/>
  <c r="L45" i="2" s="1"/>
  <c r="U42" i="2"/>
  <c r="V42" i="2" s="1"/>
  <c r="B79" i="2"/>
  <c r="D75" i="2"/>
  <c r="D49" i="2"/>
  <c r="B53" i="2"/>
  <c r="D50" i="2"/>
  <c r="B54" i="2"/>
  <c r="D54" i="2" s="1"/>
  <c r="D48" i="2"/>
  <c r="B52" i="2"/>
  <c r="V43" i="2" l="1"/>
  <c r="T47" i="2"/>
  <c r="P47" i="2"/>
  <c r="U47" i="2" s="1"/>
  <c r="F51" i="2"/>
  <c r="J47" i="2"/>
  <c r="V47" i="2" s="1"/>
  <c r="U44" i="2"/>
  <c r="V44" i="2" s="1"/>
  <c r="K45" i="2"/>
  <c r="M45" i="2" s="1"/>
  <c r="L46" i="2"/>
  <c r="L47" i="2" s="1"/>
  <c r="P48" i="2"/>
  <c r="T48" i="2"/>
  <c r="J48" i="2"/>
  <c r="K49" i="2" s="1"/>
  <c r="M49" i="2" s="1"/>
  <c r="F52" i="2"/>
  <c r="T49" i="2"/>
  <c r="P49" i="2"/>
  <c r="U49" i="2" s="1"/>
  <c r="F53" i="2"/>
  <c r="J49" i="2"/>
  <c r="V49" i="2" s="1"/>
  <c r="P50" i="2"/>
  <c r="T50" i="2"/>
  <c r="F54" i="2"/>
  <c r="J50" i="2"/>
  <c r="U46" i="2"/>
  <c r="V46" i="2" s="1"/>
  <c r="W40" i="2"/>
  <c r="W41" i="2" s="1"/>
  <c r="W42" i="2" s="1"/>
  <c r="W43" i="2" s="1"/>
  <c r="B83" i="2"/>
  <c r="D79" i="2"/>
  <c r="D52" i="2"/>
  <c r="B56" i="2"/>
  <c r="D56" i="2" s="1"/>
  <c r="B58" i="2"/>
  <c r="D53" i="2"/>
  <c r="B57" i="2"/>
  <c r="U48" i="2" l="1"/>
  <c r="L48" i="2"/>
  <c r="L49" i="2" s="1"/>
  <c r="W44" i="2"/>
  <c r="W45" i="2" s="1"/>
  <c r="W46" i="2" s="1"/>
  <c r="W47" i="2" s="1"/>
  <c r="L50" i="2"/>
  <c r="P53" i="2"/>
  <c r="T53" i="2"/>
  <c r="F57" i="2"/>
  <c r="J53" i="2"/>
  <c r="P51" i="2"/>
  <c r="T51" i="2"/>
  <c r="F55" i="2"/>
  <c r="J51" i="2"/>
  <c r="K53" i="2" s="1"/>
  <c r="M53" i="2" s="1"/>
  <c r="U50" i="2"/>
  <c r="V50" i="2" s="1"/>
  <c r="T52" i="2"/>
  <c r="P52" i="2"/>
  <c r="U52" i="2" s="1"/>
  <c r="F56" i="2"/>
  <c r="J52" i="2"/>
  <c r="V52" i="2" s="1"/>
  <c r="T54" i="2"/>
  <c r="P54" i="2"/>
  <c r="U54" i="2" s="1"/>
  <c r="J54" i="2"/>
  <c r="F58" i="2"/>
  <c r="V48" i="2"/>
  <c r="B87" i="2"/>
  <c r="D83" i="2"/>
  <c r="B61" i="2"/>
  <c r="D57" i="2"/>
  <c r="B62" i="2"/>
  <c r="D58" i="2"/>
  <c r="B60" i="2"/>
  <c r="P55" i="2" l="1"/>
  <c r="T55" i="2"/>
  <c r="J55" i="2"/>
  <c r="F59" i="2"/>
  <c r="U53" i="2"/>
  <c r="V53" i="2" s="1"/>
  <c r="T58" i="2"/>
  <c r="P58" i="2"/>
  <c r="U58" i="2" s="1"/>
  <c r="J58" i="2"/>
  <c r="F62" i="2"/>
  <c r="L51" i="2"/>
  <c r="L52" i="2" s="1"/>
  <c r="L53" i="2" s="1"/>
  <c r="L54" i="2" s="1"/>
  <c r="V54" i="2"/>
  <c r="P57" i="2"/>
  <c r="T57" i="2"/>
  <c r="F61" i="2"/>
  <c r="J57" i="2"/>
  <c r="U51" i="2"/>
  <c r="V51" i="2" s="1"/>
  <c r="T56" i="2"/>
  <c r="P56" i="2"/>
  <c r="U56" i="2" s="1"/>
  <c r="F60" i="2"/>
  <c r="J56" i="2"/>
  <c r="W48" i="2"/>
  <c r="W49" i="2" s="1"/>
  <c r="W50" i="2" s="1"/>
  <c r="B91" i="2"/>
  <c r="D87" i="2"/>
  <c r="B65" i="2"/>
  <c r="D61" i="2"/>
  <c r="B64" i="2"/>
  <c r="D60" i="2"/>
  <c r="B66" i="2"/>
  <c r="D66" i="2" s="1"/>
  <c r="D62" i="2"/>
  <c r="T60" i="2" l="1"/>
  <c r="P60" i="2"/>
  <c r="U60" i="2" s="1"/>
  <c r="F64" i="2"/>
  <c r="J60" i="2"/>
  <c r="V60" i="2" s="1"/>
  <c r="P62" i="2"/>
  <c r="T62" i="2"/>
  <c r="F66" i="2"/>
  <c r="J62" i="2"/>
  <c r="P61" i="2"/>
  <c r="T61" i="2"/>
  <c r="F65" i="2"/>
  <c r="J61" i="2"/>
  <c r="V56" i="2"/>
  <c r="V58" i="2"/>
  <c r="P59" i="2"/>
  <c r="T59" i="2"/>
  <c r="F63" i="2"/>
  <c r="J59" i="2"/>
  <c r="U57" i="2"/>
  <c r="V57" i="2" s="1"/>
  <c r="L55" i="2"/>
  <c r="L56" i="2" s="1"/>
  <c r="L57" i="2" s="1"/>
  <c r="L58" i="2" s="1"/>
  <c r="W51" i="2"/>
  <c r="W52" i="2" s="1"/>
  <c r="W53" i="2" s="1"/>
  <c r="W54" i="2" s="1"/>
  <c r="K57" i="2"/>
  <c r="M57" i="2" s="1"/>
  <c r="U55" i="2"/>
  <c r="V55" i="2" s="1"/>
  <c r="B95" i="2"/>
  <c r="D91" i="2"/>
  <c r="B69" i="2"/>
  <c r="D65" i="2"/>
  <c r="B68" i="2"/>
  <c r="D64" i="2"/>
  <c r="B70" i="2"/>
  <c r="U61" i="2" l="1"/>
  <c r="U59" i="2"/>
  <c r="L59" i="2"/>
  <c r="L60" i="2" s="1"/>
  <c r="L61" i="2" s="1"/>
  <c r="L62" i="2" s="1"/>
  <c r="U62" i="2"/>
  <c r="V62" i="2" s="1"/>
  <c r="T63" i="2"/>
  <c r="P63" i="2"/>
  <c r="U63" i="2" s="1"/>
  <c r="F67" i="2"/>
  <c r="J63" i="2"/>
  <c r="V63" i="2" s="1"/>
  <c r="T65" i="2"/>
  <c r="P65" i="2"/>
  <c r="U65" i="2" s="1"/>
  <c r="F69" i="2"/>
  <c r="J65" i="2"/>
  <c r="V65" i="2" s="1"/>
  <c r="P66" i="2"/>
  <c r="T66" i="2"/>
  <c r="F70" i="2"/>
  <c r="J66" i="2"/>
  <c r="P64" i="2"/>
  <c r="T64" i="2"/>
  <c r="J64" i="2"/>
  <c r="F68" i="2"/>
  <c r="V59" i="2"/>
  <c r="W55" i="2"/>
  <c r="W56" i="2" s="1"/>
  <c r="W57" i="2" s="1"/>
  <c r="W58" i="2" s="1"/>
  <c r="W59" i="2" s="1"/>
  <c r="W60" i="2" s="1"/>
  <c r="W61" i="2" s="1"/>
  <c r="K61" i="2"/>
  <c r="M61" i="2" s="1"/>
  <c r="V61" i="2"/>
  <c r="B74" i="2"/>
  <c r="D70" i="2"/>
  <c r="B72" i="2"/>
  <c r="D68" i="2"/>
  <c r="B73" i="2"/>
  <c r="D69" i="2"/>
  <c r="B99" i="2"/>
  <c r="D95" i="2"/>
  <c r="W62" i="2" l="1"/>
  <c r="W63" i="2" s="1"/>
  <c r="U64" i="2"/>
  <c r="T67" i="2"/>
  <c r="P67" i="2"/>
  <c r="U67" i="2" s="1"/>
  <c r="F71" i="2"/>
  <c r="J67" i="2"/>
  <c r="V67" i="2" s="1"/>
  <c r="V64" i="2"/>
  <c r="W64" i="2" s="1"/>
  <c r="W65" i="2" s="1"/>
  <c r="P70" i="2"/>
  <c r="T70" i="2"/>
  <c r="J70" i="2"/>
  <c r="F74" i="2"/>
  <c r="V66" i="2"/>
  <c r="T69" i="2"/>
  <c r="P69" i="2"/>
  <c r="U69" i="2" s="1"/>
  <c r="F73" i="2"/>
  <c r="J69" i="2"/>
  <c r="V69" i="2" s="1"/>
  <c r="U66" i="2"/>
  <c r="P68" i="2"/>
  <c r="T68" i="2"/>
  <c r="F72" i="2"/>
  <c r="J68" i="2"/>
  <c r="L63" i="2"/>
  <c r="L64" i="2" s="1"/>
  <c r="L65" i="2" s="1"/>
  <c r="L66" i="2" s="1"/>
  <c r="L67" i="2" s="1"/>
  <c r="K65" i="2"/>
  <c r="M65" i="2" s="1"/>
  <c r="B103" i="2"/>
  <c r="D99" i="2"/>
  <c r="B77" i="2"/>
  <c r="D73" i="2"/>
  <c r="B78" i="2"/>
  <c r="D74" i="2"/>
  <c r="B76" i="2"/>
  <c r="D72" i="2"/>
  <c r="U70" i="2" l="1"/>
  <c r="W66" i="2"/>
  <c r="W67" i="2" s="1"/>
  <c r="L68" i="2"/>
  <c r="L69" i="2" s="1"/>
  <c r="U68" i="2"/>
  <c r="V68" i="2" s="1"/>
  <c r="V70" i="2"/>
  <c r="L70" i="2"/>
  <c r="T71" i="2"/>
  <c r="P71" i="2"/>
  <c r="U71" i="2" s="1"/>
  <c r="F75" i="2"/>
  <c r="J71" i="2"/>
  <c r="V71" i="2" s="1"/>
  <c r="P72" i="2"/>
  <c r="T72" i="2"/>
  <c r="J72" i="2"/>
  <c r="F76" i="2"/>
  <c r="K69" i="2"/>
  <c r="M69" i="2" s="1"/>
  <c r="P74" i="2"/>
  <c r="T74" i="2"/>
  <c r="J74" i="2"/>
  <c r="F78" i="2"/>
  <c r="P73" i="2"/>
  <c r="T73" i="2"/>
  <c r="J73" i="2"/>
  <c r="F77" i="2"/>
  <c r="B82" i="2"/>
  <c r="D78" i="2"/>
  <c r="B81" i="2"/>
  <c r="D77" i="2"/>
  <c r="B107" i="2"/>
  <c r="D103" i="2"/>
  <c r="B80" i="2"/>
  <c r="D76" i="2"/>
  <c r="W68" i="2" l="1"/>
  <c r="W69" i="2" s="1"/>
  <c r="W70" i="2" s="1"/>
  <c r="W71" i="2" s="1"/>
  <c r="P77" i="2"/>
  <c r="T77" i="2"/>
  <c r="J77" i="2"/>
  <c r="F81" i="2"/>
  <c r="T78" i="2"/>
  <c r="P78" i="2"/>
  <c r="U78" i="2" s="1"/>
  <c r="F82" i="2"/>
  <c r="J78" i="2"/>
  <c r="P75" i="2"/>
  <c r="T75" i="2"/>
  <c r="F79" i="2"/>
  <c r="J75" i="2"/>
  <c r="K73" i="2"/>
  <c r="M73" i="2" s="1"/>
  <c r="U72" i="2"/>
  <c r="V72" i="2" s="1"/>
  <c r="U73" i="2"/>
  <c r="V73" i="2" s="1"/>
  <c r="L71" i="2"/>
  <c r="L72" i="2" s="1"/>
  <c r="L73" i="2" s="1"/>
  <c r="L74" i="2" s="1"/>
  <c r="L75" i="2" s="1"/>
  <c r="T76" i="2"/>
  <c r="P76" i="2"/>
  <c r="U76" i="2" s="1"/>
  <c r="F80" i="2"/>
  <c r="J76" i="2"/>
  <c r="U74" i="2"/>
  <c r="V74" i="2" s="1"/>
  <c r="B85" i="2"/>
  <c r="D81" i="2"/>
  <c r="B84" i="2"/>
  <c r="D80" i="2"/>
  <c r="B111" i="2"/>
  <c r="D107" i="2"/>
  <c r="B86" i="2"/>
  <c r="D82" i="2"/>
  <c r="U75" i="2" l="1"/>
  <c r="K77" i="2"/>
  <c r="W72" i="2"/>
  <c r="L76" i="2"/>
  <c r="L77" i="2" s="1"/>
  <c r="W73" i="2"/>
  <c r="W74" i="2" s="1"/>
  <c r="T82" i="2"/>
  <c r="P82" i="2"/>
  <c r="U82" i="2" s="1"/>
  <c r="J82" i="2"/>
  <c r="F86" i="2"/>
  <c r="V78" i="2"/>
  <c r="L78" i="2"/>
  <c r="L79" i="2" s="1"/>
  <c r="M77" i="2"/>
  <c r="P81" i="2"/>
  <c r="T81" i="2"/>
  <c r="F85" i="2"/>
  <c r="J81" i="2"/>
  <c r="V75" i="2"/>
  <c r="U77" i="2"/>
  <c r="V77" i="2" s="1"/>
  <c r="V76" i="2"/>
  <c r="T80" i="2"/>
  <c r="P80" i="2"/>
  <c r="U80" i="2" s="1"/>
  <c r="F84" i="2"/>
  <c r="J80" i="2"/>
  <c r="V80" i="2" s="1"/>
  <c r="P79" i="2"/>
  <c r="T79" i="2"/>
  <c r="F83" i="2"/>
  <c r="J79" i="2"/>
  <c r="B88" i="2"/>
  <c r="D84" i="2"/>
  <c r="B115" i="2"/>
  <c r="D111" i="2"/>
  <c r="B89" i="2"/>
  <c r="D85" i="2"/>
  <c r="B90" i="2"/>
  <c r="D86" i="2"/>
  <c r="K81" i="2" l="1"/>
  <c r="M81" i="2" s="1"/>
  <c r="P84" i="2"/>
  <c r="T84" i="2"/>
  <c r="F88" i="2"/>
  <c r="J84" i="2"/>
  <c r="P85" i="2"/>
  <c r="T85" i="2"/>
  <c r="J85" i="2"/>
  <c r="F89" i="2"/>
  <c r="P86" i="2"/>
  <c r="T86" i="2"/>
  <c r="F90" i="2"/>
  <c r="J86" i="2"/>
  <c r="V82" i="2"/>
  <c r="L80" i="2"/>
  <c r="L81" i="2" s="1"/>
  <c r="L82" i="2" s="1"/>
  <c r="P83" i="2"/>
  <c r="T83" i="2"/>
  <c r="F87" i="2"/>
  <c r="J83" i="2"/>
  <c r="U81" i="2"/>
  <c r="V81" i="2" s="1"/>
  <c r="U79" i="2"/>
  <c r="V79" i="2"/>
  <c r="W75" i="2"/>
  <c r="W76" i="2" s="1"/>
  <c r="W77" i="2" s="1"/>
  <c r="W78" i="2" s="1"/>
  <c r="B93" i="2"/>
  <c r="D89" i="2"/>
  <c r="B119" i="2"/>
  <c r="D115" i="2"/>
  <c r="B94" i="2"/>
  <c r="D90" i="2"/>
  <c r="B92" i="2"/>
  <c r="D88" i="2"/>
  <c r="L83" i="2" l="1"/>
  <c r="L84" i="2" s="1"/>
  <c r="L85" i="2" s="1"/>
  <c r="P90" i="2"/>
  <c r="T90" i="2"/>
  <c r="J90" i="2"/>
  <c r="F94" i="2"/>
  <c r="T87" i="2"/>
  <c r="P87" i="2"/>
  <c r="U87" i="2" s="1"/>
  <c r="J87" i="2"/>
  <c r="V87" i="2" s="1"/>
  <c r="F91" i="2"/>
  <c r="U86" i="2"/>
  <c r="V86" i="2" s="1"/>
  <c r="U85" i="2"/>
  <c r="V85" i="2" s="1"/>
  <c r="V83" i="2"/>
  <c r="K85" i="2"/>
  <c r="M85" i="2" s="1"/>
  <c r="P88" i="2"/>
  <c r="T88" i="2"/>
  <c r="J88" i="2"/>
  <c r="F92" i="2"/>
  <c r="T89" i="2"/>
  <c r="P89" i="2"/>
  <c r="U89" i="2" s="1"/>
  <c r="J89" i="2"/>
  <c r="V89" i="2" s="1"/>
  <c r="F93" i="2"/>
  <c r="U83" i="2"/>
  <c r="W79" i="2"/>
  <c r="W80" i="2" s="1"/>
  <c r="W81" i="2" s="1"/>
  <c r="W82" i="2" s="1"/>
  <c r="W83" i="2" s="1"/>
  <c r="U84" i="2"/>
  <c r="V84" i="2" s="1"/>
  <c r="L86" i="2"/>
  <c r="B96" i="2"/>
  <c r="D92" i="2"/>
  <c r="B123" i="2"/>
  <c r="D119" i="2"/>
  <c r="B97" i="2"/>
  <c r="D93" i="2"/>
  <c r="B98" i="2"/>
  <c r="D94" i="2"/>
  <c r="W84" i="2" l="1"/>
  <c r="T91" i="2"/>
  <c r="P91" i="2"/>
  <c r="U91" i="2" s="1"/>
  <c r="F95" i="2"/>
  <c r="J91" i="2"/>
  <c r="V91" i="2" s="1"/>
  <c r="T93" i="2"/>
  <c r="P93" i="2"/>
  <c r="U93" i="2" s="1"/>
  <c r="J93" i="2"/>
  <c r="V93" i="2" s="1"/>
  <c r="F97" i="2"/>
  <c r="P92" i="2"/>
  <c r="T92" i="2"/>
  <c r="J92" i="2"/>
  <c r="F96" i="2"/>
  <c r="W85" i="2"/>
  <c r="W86" i="2" s="1"/>
  <c r="W87" i="2" s="1"/>
  <c r="P94" i="2"/>
  <c r="T94" i="2"/>
  <c r="F98" i="2"/>
  <c r="J94" i="2"/>
  <c r="L87" i="2"/>
  <c r="L88" i="2" s="1"/>
  <c r="L89" i="2" s="1"/>
  <c r="L90" i="2" s="1"/>
  <c r="L91" i="2" s="1"/>
  <c r="U88" i="2"/>
  <c r="V88" i="2" s="1"/>
  <c r="K89" i="2"/>
  <c r="M89" i="2" s="1"/>
  <c r="U90" i="2"/>
  <c r="V90" i="2" s="1"/>
  <c r="B101" i="2"/>
  <c r="D97" i="2"/>
  <c r="B127" i="2"/>
  <c r="D123" i="2"/>
  <c r="B102" i="2"/>
  <c r="D98" i="2"/>
  <c r="B100" i="2"/>
  <c r="D96" i="2"/>
  <c r="L92" i="2" l="1"/>
  <c r="L93" i="2" s="1"/>
  <c r="U92" i="2"/>
  <c r="V92" i="2"/>
  <c r="L94" i="2"/>
  <c r="K93" i="2"/>
  <c r="M93" i="2" s="1"/>
  <c r="P98" i="2"/>
  <c r="T98" i="2"/>
  <c r="F102" i="2"/>
  <c r="J98" i="2"/>
  <c r="P97" i="2"/>
  <c r="T97" i="2"/>
  <c r="F101" i="2"/>
  <c r="J97" i="2"/>
  <c r="U94" i="2"/>
  <c r="V94" i="2" s="1"/>
  <c r="P95" i="2"/>
  <c r="T95" i="2"/>
  <c r="J95" i="2"/>
  <c r="F99" i="2"/>
  <c r="P96" i="2"/>
  <c r="T96" i="2"/>
  <c r="J96" i="2"/>
  <c r="F100" i="2"/>
  <c r="W88" i="2"/>
  <c r="W89" i="2" s="1"/>
  <c r="W90" i="2" s="1"/>
  <c r="W91" i="2" s="1"/>
  <c r="W92" i="2" s="1"/>
  <c r="W93" i="2" s="1"/>
  <c r="B106" i="2"/>
  <c r="D102" i="2"/>
  <c r="B131" i="2"/>
  <c r="D127" i="2"/>
  <c r="B104" i="2"/>
  <c r="D100" i="2"/>
  <c r="B105" i="2"/>
  <c r="D101" i="2"/>
  <c r="P101" i="2" l="1"/>
  <c r="T101" i="2"/>
  <c r="F105" i="2"/>
  <c r="J101" i="2"/>
  <c r="U97" i="2"/>
  <c r="V97" i="2" s="1"/>
  <c r="U98" i="2"/>
  <c r="V98" i="2" s="1"/>
  <c r="P100" i="2"/>
  <c r="T100" i="2"/>
  <c r="F104" i="2"/>
  <c r="J100" i="2"/>
  <c r="U96" i="2"/>
  <c r="V96" i="2" s="1"/>
  <c r="L95" i="2"/>
  <c r="L96" i="2" s="1"/>
  <c r="L97" i="2" s="1"/>
  <c r="L98" i="2" s="1"/>
  <c r="U95" i="2"/>
  <c r="V95" i="2" s="1"/>
  <c r="K97" i="2"/>
  <c r="M97" i="2" s="1"/>
  <c r="W94" i="2"/>
  <c r="T102" i="2"/>
  <c r="P102" i="2"/>
  <c r="U102" i="2" s="1"/>
  <c r="F106" i="2"/>
  <c r="J102" i="2"/>
  <c r="P99" i="2"/>
  <c r="T99" i="2"/>
  <c r="F103" i="2"/>
  <c r="J99" i="2"/>
  <c r="B110" i="2"/>
  <c r="D106" i="2"/>
  <c r="B109" i="2"/>
  <c r="D105" i="2"/>
  <c r="B108" i="2"/>
  <c r="D104" i="2"/>
  <c r="B135" i="2"/>
  <c r="D131" i="2"/>
  <c r="L99" i="2" l="1"/>
  <c r="L100" i="2" s="1"/>
  <c r="L101" i="2" s="1"/>
  <c r="T104" i="2"/>
  <c r="P104" i="2"/>
  <c r="U104" i="2" s="1"/>
  <c r="J104" i="2"/>
  <c r="V104" i="2" s="1"/>
  <c r="F108" i="2"/>
  <c r="T106" i="2"/>
  <c r="P106" i="2"/>
  <c r="U106" i="2" s="1"/>
  <c r="J106" i="2"/>
  <c r="F110" i="2"/>
  <c r="U100" i="2"/>
  <c r="V100" i="2" s="1"/>
  <c r="V101" i="2"/>
  <c r="K101" i="2"/>
  <c r="M101" i="2" s="1"/>
  <c r="P105" i="2"/>
  <c r="T105" i="2"/>
  <c r="F109" i="2"/>
  <c r="J105" i="2"/>
  <c r="W95" i="2"/>
  <c r="W96" i="2" s="1"/>
  <c r="W97" i="2" s="1"/>
  <c r="W98" i="2" s="1"/>
  <c r="P103" i="2"/>
  <c r="T103" i="2"/>
  <c r="F107" i="2"/>
  <c r="J103" i="2"/>
  <c r="U99" i="2"/>
  <c r="V99" i="2" s="1"/>
  <c r="V102" i="2"/>
  <c r="L102" i="2"/>
  <c r="U101" i="2"/>
  <c r="B112" i="2"/>
  <c r="D108" i="2"/>
  <c r="B139" i="2"/>
  <c r="D135" i="2"/>
  <c r="B113" i="2"/>
  <c r="D109" i="2"/>
  <c r="B114" i="2"/>
  <c r="D110" i="2"/>
  <c r="P110" i="2" l="1"/>
  <c r="T110" i="2"/>
  <c r="J110" i="2"/>
  <c r="F114" i="2"/>
  <c r="V106" i="2"/>
  <c r="U103" i="2"/>
  <c r="V103" i="2" s="1"/>
  <c r="P109" i="2"/>
  <c r="T109" i="2"/>
  <c r="F113" i="2"/>
  <c r="J109" i="2"/>
  <c r="P108" i="2"/>
  <c r="T108" i="2"/>
  <c r="J108" i="2"/>
  <c r="F112" i="2"/>
  <c r="P107" i="2"/>
  <c r="T107" i="2"/>
  <c r="F111" i="2"/>
  <c r="J107" i="2"/>
  <c r="W99" i="2"/>
  <c r="W100" i="2" s="1"/>
  <c r="W101" i="2" s="1"/>
  <c r="W102" i="2" s="1"/>
  <c r="K105" i="2"/>
  <c r="M105" i="2" s="1"/>
  <c r="U105" i="2"/>
  <c r="V105" i="2" s="1"/>
  <c r="L103" i="2"/>
  <c r="L104" i="2" s="1"/>
  <c r="L105" i="2" s="1"/>
  <c r="L106" i="2" s="1"/>
  <c r="B118" i="2"/>
  <c r="D114" i="2"/>
  <c r="B117" i="2"/>
  <c r="D113" i="2"/>
  <c r="B116" i="2"/>
  <c r="D112" i="2"/>
  <c r="B143" i="2"/>
  <c r="D139" i="2"/>
  <c r="K109" i="2" l="1"/>
  <c r="M109" i="2" s="1"/>
  <c r="U109" i="2"/>
  <c r="L107" i="2"/>
  <c r="L108" i="2" s="1"/>
  <c r="L109" i="2" s="1"/>
  <c r="T111" i="2"/>
  <c r="P111" i="2"/>
  <c r="U111" i="2" s="1"/>
  <c r="F115" i="2"/>
  <c r="J111" i="2"/>
  <c r="V111" i="2" s="1"/>
  <c r="W103" i="2"/>
  <c r="W104" i="2" s="1"/>
  <c r="W105" i="2" s="1"/>
  <c r="W106" i="2" s="1"/>
  <c r="P112" i="2"/>
  <c r="T112" i="2"/>
  <c r="F116" i="2"/>
  <c r="J112" i="2"/>
  <c r="P114" i="2"/>
  <c r="T114" i="2"/>
  <c r="J114" i="2"/>
  <c r="F118" i="2"/>
  <c r="L110" i="2"/>
  <c r="U108" i="2"/>
  <c r="V108" i="2" s="1"/>
  <c r="V109" i="2"/>
  <c r="U110" i="2"/>
  <c r="V110" i="2" s="1"/>
  <c r="U107" i="2"/>
  <c r="V107" i="2" s="1"/>
  <c r="P113" i="2"/>
  <c r="T113" i="2"/>
  <c r="J113" i="2"/>
  <c r="F117" i="2"/>
  <c r="B121" i="2"/>
  <c r="D117" i="2"/>
  <c r="B147" i="2"/>
  <c r="D143" i="2"/>
  <c r="B120" i="2"/>
  <c r="D116" i="2"/>
  <c r="B122" i="2"/>
  <c r="D118" i="2"/>
  <c r="L111" i="2" l="1"/>
  <c r="P116" i="2"/>
  <c r="T116" i="2"/>
  <c r="J116" i="2"/>
  <c r="F120" i="2"/>
  <c r="W107" i="2"/>
  <c r="W108" i="2" s="1"/>
  <c r="W109" i="2" s="1"/>
  <c r="W110" i="2" s="1"/>
  <c r="W111" i="2" s="1"/>
  <c r="T115" i="2"/>
  <c r="P115" i="2"/>
  <c r="U115" i="2" s="1"/>
  <c r="J115" i="2"/>
  <c r="F119" i="2"/>
  <c r="T117" i="2"/>
  <c r="P117" i="2"/>
  <c r="U117" i="2" s="1"/>
  <c r="F121" i="2"/>
  <c r="J117" i="2"/>
  <c r="L112" i="2"/>
  <c r="L113" i="2" s="1"/>
  <c r="L114" i="2" s="1"/>
  <c r="U112" i="2"/>
  <c r="V112" i="2" s="1"/>
  <c r="P118" i="2"/>
  <c r="T118" i="2"/>
  <c r="F122" i="2"/>
  <c r="J118" i="2"/>
  <c r="K113" i="2"/>
  <c r="M113" i="2" s="1"/>
  <c r="U113" i="2"/>
  <c r="V113" i="2" s="1"/>
  <c r="U114" i="2"/>
  <c r="V114" i="2" s="1"/>
  <c r="B151" i="2"/>
  <c r="D147" i="2"/>
  <c r="B126" i="2"/>
  <c r="D122" i="2"/>
  <c r="B125" i="2"/>
  <c r="D121" i="2"/>
  <c r="B124" i="2"/>
  <c r="D120" i="2"/>
  <c r="L115" i="2" l="1"/>
  <c r="L116" i="2" s="1"/>
  <c r="L117" i="2" s="1"/>
  <c r="V115" i="2"/>
  <c r="W112" i="2"/>
  <c r="W113" i="2" s="1"/>
  <c r="W114" i="2" s="1"/>
  <c r="W115" i="2" s="1"/>
  <c r="P122" i="2"/>
  <c r="T122" i="2"/>
  <c r="J122" i="2"/>
  <c r="F126" i="2"/>
  <c r="L118" i="2"/>
  <c r="L119" i="2" s="1"/>
  <c r="P120" i="2"/>
  <c r="T120" i="2"/>
  <c r="F124" i="2"/>
  <c r="J120" i="2"/>
  <c r="K121" i="2" s="1"/>
  <c r="M121" i="2" s="1"/>
  <c r="T119" i="2"/>
  <c r="P119" i="2"/>
  <c r="U119" i="2" s="1"/>
  <c r="J119" i="2"/>
  <c r="V119" i="2" s="1"/>
  <c r="F123" i="2"/>
  <c r="U118" i="2"/>
  <c r="V118" i="2" s="1"/>
  <c r="K117" i="2"/>
  <c r="M117" i="2" s="1"/>
  <c r="V117" i="2"/>
  <c r="T121" i="2"/>
  <c r="P121" i="2"/>
  <c r="U121" i="2" s="1"/>
  <c r="F125" i="2"/>
  <c r="J121" i="2"/>
  <c r="V121" i="2" s="1"/>
  <c r="U116" i="2"/>
  <c r="V116" i="2" s="1"/>
  <c r="B130" i="2"/>
  <c r="D126" i="2"/>
  <c r="B155" i="2"/>
  <c r="D151" i="2"/>
  <c r="B129" i="2"/>
  <c r="D125" i="2"/>
  <c r="B128" i="2"/>
  <c r="D124" i="2"/>
  <c r="U120" i="2" l="1"/>
  <c r="P123" i="2"/>
  <c r="T123" i="2"/>
  <c r="J123" i="2"/>
  <c r="F127" i="2"/>
  <c r="T126" i="2"/>
  <c r="P126" i="2"/>
  <c r="U126" i="2" s="1"/>
  <c r="F130" i="2"/>
  <c r="J126" i="2"/>
  <c r="V120" i="2"/>
  <c r="L122" i="2"/>
  <c r="L123" i="2" s="1"/>
  <c r="L124" i="2" s="1"/>
  <c r="L125" i="2" s="1"/>
  <c r="P125" i="2"/>
  <c r="T125" i="2"/>
  <c r="F129" i="2"/>
  <c r="J125" i="2"/>
  <c r="L120" i="2"/>
  <c r="L121" i="2" s="1"/>
  <c r="T124" i="2"/>
  <c r="P124" i="2"/>
  <c r="U124" i="2" s="1"/>
  <c r="F128" i="2"/>
  <c r="J124" i="2"/>
  <c r="V124" i="2" s="1"/>
  <c r="U122" i="2"/>
  <c r="V122" i="2" s="1"/>
  <c r="W116" i="2"/>
  <c r="W117" i="2" s="1"/>
  <c r="W118" i="2" s="1"/>
  <c r="W119" i="2" s="1"/>
  <c r="W120" i="2" s="1"/>
  <c r="W121" i="2" s="1"/>
  <c r="B159" i="2"/>
  <c r="D155" i="2"/>
  <c r="B132" i="2"/>
  <c r="D128" i="2"/>
  <c r="B133" i="2"/>
  <c r="D129" i="2"/>
  <c r="B134" i="2"/>
  <c r="D130" i="2"/>
  <c r="W122" i="2" l="1"/>
  <c r="T128" i="2"/>
  <c r="P128" i="2"/>
  <c r="U128" i="2" s="1"/>
  <c r="J128" i="2"/>
  <c r="V128" i="2" s="1"/>
  <c r="F132" i="2"/>
  <c r="P127" i="2"/>
  <c r="T127" i="2"/>
  <c r="F131" i="2"/>
  <c r="J127" i="2"/>
  <c r="V123" i="2"/>
  <c r="W123" i="2" s="1"/>
  <c r="W124" i="2" s="1"/>
  <c r="V126" i="2"/>
  <c r="L126" i="2"/>
  <c r="U125" i="2"/>
  <c r="V125" i="2" s="1"/>
  <c r="U123" i="2"/>
  <c r="T130" i="2"/>
  <c r="P130" i="2"/>
  <c r="U130" i="2" s="1"/>
  <c r="F134" i="2"/>
  <c r="J130" i="2"/>
  <c r="P129" i="2"/>
  <c r="T129" i="2"/>
  <c r="F133" i="2"/>
  <c r="J129" i="2"/>
  <c r="K125" i="2"/>
  <c r="M125" i="2" s="1"/>
  <c r="B136" i="2"/>
  <c r="D132" i="2"/>
  <c r="B138" i="2"/>
  <c r="D134" i="2"/>
  <c r="B163" i="2"/>
  <c r="D159" i="2"/>
  <c r="B137" i="2"/>
  <c r="D133" i="2"/>
  <c r="W125" i="2" l="1"/>
  <c r="W126" i="2" s="1"/>
  <c r="U129" i="2"/>
  <c r="V129" i="2" s="1"/>
  <c r="U127" i="2"/>
  <c r="P134" i="2"/>
  <c r="T134" i="2"/>
  <c r="F138" i="2"/>
  <c r="J134" i="2"/>
  <c r="V127" i="2"/>
  <c r="T132" i="2"/>
  <c r="P132" i="2"/>
  <c r="U132" i="2" s="1"/>
  <c r="F136" i="2"/>
  <c r="J132" i="2"/>
  <c r="P133" i="2"/>
  <c r="T133" i="2"/>
  <c r="F137" i="2"/>
  <c r="J133" i="2"/>
  <c r="V130" i="2"/>
  <c r="P131" i="2"/>
  <c r="T131" i="2"/>
  <c r="F135" i="2"/>
  <c r="J131" i="2"/>
  <c r="L127" i="2"/>
  <c r="L128" i="2" s="1"/>
  <c r="L129" i="2" s="1"/>
  <c r="L130" i="2" s="1"/>
  <c r="K129" i="2"/>
  <c r="M129" i="2" s="1"/>
  <c r="B167" i="2"/>
  <c r="D163" i="2"/>
  <c r="B140" i="2"/>
  <c r="D136" i="2"/>
  <c r="B142" i="2"/>
  <c r="D138" i="2"/>
  <c r="B141" i="2"/>
  <c r="D137" i="2"/>
  <c r="U133" i="2" l="1"/>
  <c r="V133" i="2" s="1"/>
  <c r="P138" i="2"/>
  <c r="T138" i="2"/>
  <c r="F142" i="2"/>
  <c r="J138" i="2"/>
  <c r="P136" i="2"/>
  <c r="T136" i="2"/>
  <c r="J136" i="2"/>
  <c r="F140" i="2"/>
  <c r="U134" i="2"/>
  <c r="V134" i="2" s="1"/>
  <c r="T135" i="2"/>
  <c r="P135" i="2"/>
  <c r="F139" i="2"/>
  <c r="J135" i="2"/>
  <c r="T137" i="2"/>
  <c r="P137" i="2"/>
  <c r="U137" i="2" s="1"/>
  <c r="F141" i="2"/>
  <c r="J137" i="2"/>
  <c r="V137" i="2" s="1"/>
  <c r="U131" i="2"/>
  <c r="V131" i="2" s="1"/>
  <c r="K133" i="2"/>
  <c r="M133" i="2" s="1"/>
  <c r="W127" i="2"/>
  <c r="W128" i="2" s="1"/>
  <c r="W129" i="2" s="1"/>
  <c r="W130" i="2" s="1"/>
  <c r="L131" i="2"/>
  <c r="L132" i="2" s="1"/>
  <c r="L133" i="2" s="1"/>
  <c r="L134" i="2" s="1"/>
  <c r="L135" i="2" s="1"/>
  <c r="L136" i="2" s="1"/>
  <c r="L137" i="2" s="1"/>
  <c r="V132" i="2"/>
  <c r="B146" i="2"/>
  <c r="D142" i="2"/>
  <c r="B144" i="2"/>
  <c r="D140" i="2"/>
  <c r="B145" i="2"/>
  <c r="D141" i="2"/>
  <c r="B171" i="2"/>
  <c r="D167" i="2"/>
  <c r="U135" i="2" l="1"/>
  <c r="V135" i="2"/>
  <c r="K137" i="2"/>
  <c r="W131" i="2"/>
  <c r="W132" i="2" s="1"/>
  <c r="W133" i="2" s="1"/>
  <c r="W134" i="2" s="1"/>
  <c r="W135" i="2" s="1"/>
  <c r="P140" i="2"/>
  <c r="T140" i="2"/>
  <c r="F144" i="2"/>
  <c r="J140" i="2"/>
  <c r="M137" i="2"/>
  <c r="U136" i="2"/>
  <c r="V136" i="2" s="1"/>
  <c r="W136" i="2" s="1"/>
  <c r="W137" i="2" s="1"/>
  <c r="T139" i="2"/>
  <c r="P139" i="2"/>
  <c r="U139" i="2" s="1"/>
  <c r="F143" i="2"/>
  <c r="J139" i="2"/>
  <c r="L138" i="2"/>
  <c r="P142" i="2"/>
  <c r="T142" i="2"/>
  <c r="J142" i="2"/>
  <c r="F146" i="2"/>
  <c r="T141" i="2"/>
  <c r="P141" i="2"/>
  <c r="U141" i="2" s="1"/>
  <c r="J141" i="2"/>
  <c r="F145" i="2"/>
  <c r="U138" i="2"/>
  <c r="V138" i="2" s="1"/>
  <c r="B148" i="2"/>
  <c r="D144" i="2"/>
  <c r="B175" i="2"/>
  <c r="D171" i="2"/>
  <c r="B149" i="2"/>
  <c r="D145" i="2"/>
  <c r="B150" i="2"/>
  <c r="D146" i="2"/>
  <c r="V139" i="2" l="1"/>
  <c r="W138" i="2"/>
  <c r="W139" i="2" s="1"/>
  <c r="T143" i="2"/>
  <c r="P143" i="2"/>
  <c r="U143" i="2" s="1"/>
  <c r="F147" i="2"/>
  <c r="J143" i="2"/>
  <c r="V143" i="2" s="1"/>
  <c r="U142" i="2"/>
  <c r="V142" i="2" s="1"/>
  <c r="V140" i="2"/>
  <c r="L139" i="2"/>
  <c r="L140" i="2" s="1"/>
  <c r="L141" i="2" s="1"/>
  <c r="L142" i="2" s="1"/>
  <c r="L143" i="2" s="1"/>
  <c r="L144" i="2" s="1"/>
  <c r="L145" i="2" s="1"/>
  <c r="P144" i="2"/>
  <c r="T144" i="2"/>
  <c r="F148" i="2"/>
  <c r="J144" i="2"/>
  <c r="T145" i="2"/>
  <c r="P145" i="2"/>
  <c r="U145" i="2" s="1"/>
  <c r="F149" i="2"/>
  <c r="J145" i="2"/>
  <c r="V145" i="2" s="1"/>
  <c r="K141" i="2"/>
  <c r="M141" i="2" s="1"/>
  <c r="V141" i="2"/>
  <c r="P146" i="2"/>
  <c r="T146" i="2"/>
  <c r="J146" i="2"/>
  <c r="F150" i="2"/>
  <c r="U140" i="2"/>
  <c r="B179" i="2"/>
  <c r="D175" i="2"/>
  <c r="B153" i="2"/>
  <c r="D149" i="2"/>
  <c r="B154" i="2"/>
  <c r="D150" i="2"/>
  <c r="B152" i="2"/>
  <c r="D148" i="2"/>
  <c r="K145" i="2" l="1"/>
  <c r="U144" i="2"/>
  <c r="L146" i="2"/>
  <c r="U146" i="2"/>
  <c r="V146" i="2" s="1"/>
  <c r="P147" i="2"/>
  <c r="T147" i="2"/>
  <c r="F151" i="2"/>
  <c r="J147" i="2"/>
  <c r="M145" i="2"/>
  <c r="P149" i="2"/>
  <c r="T149" i="2"/>
  <c r="F153" i="2"/>
  <c r="J149" i="2"/>
  <c r="T148" i="2"/>
  <c r="P148" i="2"/>
  <c r="U148" i="2" s="1"/>
  <c r="F152" i="2"/>
  <c r="J148" i="2"/>
  <c r="V148" i="2" s="1"/>
  <c r="V144" i="2"/>
  <c r="T150" i="2"/>
  <c r="P150" i="2"/>
  <c r="F154" i="2"/>
  <c r="J150" i="2"/>
  <c r="W140" i="2"/>
  <c r="W141" i="2" s="1"/>
  <c r="W142" i="2" s="1"/>
  <c r="W143" i="2" s="1"/>
  <c r="W144" i="2" s="1"/>
  <c r="W145" i="2" s="1"/>
  <c r="B158" i="2"/>
  <c r="D154" i="2"/>
  <c r="B156" i="2"/>
  <c r="D152" i="2"/>
  <c r="B157" i="2"/>
  <c r="D153" i="2"/>
  <c r="B183" i="2"/>
  <c r="D179" i="2"/>
  <c r="U150" i="2" l="1"/>
  <c r="P153" i="2"/>
  <c r="T153" i="2"/>
  <c r="F157" i="2"/>
  <c r="J153" i="2"/>
  <c r="P151" i="2"/>
  <c r="T151" i="2"/>
  <c r="F155" i="2"/>
  <c r="J151" i="2"/>
  <c r="T154" i="2"/>
  <c r="P154" i="2"/>
  <c r="U154" i="2" s="1"/>
  <c r="J154" i="2"/>
  <c r="F158" i="2"/>
  <c r="U147" i="2"/>
  <c r="W146" i="2"/>
  <c r="T152" i="2"/>
  <c r="P152" i="2"/>
  <c r="U152" i="2" s="1"/>
  <c r="F156" i="2"/>
  <c r="J152" i="2"/>
  <c r="V152" i="2" s="1"/>
  <c r="V150" i="2"/>
  <c r="U149" i="2"/>
  <c r="V149" i="2" s="1"/>
  <c r="V147" i="2"/>
  <c r="L147" i="2"/>
  <c r="L148" i="2" s="1"/>
  <c r="L149" i="2" s="1"/>
  <c r="L150" i="2" s="1"/>
  <c r="L151" i="2" s="1"/>
  <c r="L152" i="2" s="1"/>
  <c r="L153" i="2" s="1"/>
  <c r="K149" i="2"/>
  <c r="M149" i="2" s="1"/>
  <c r="B161" i="2"/>
  <c r="D157" i="2"/>
  <c r="B160" i="2"/>
  <c r="D156" i="2"/>
  <c r="B187" i="2"/>
  <c r="D183" i="2"/>
  <c r="B162" i="2"/>
  <c r="D158" i="2"/>
  <c r="P158" i="2" l="1"/>
  <c r="T158" i="2"/>
  <c r="J158" i="2"/>
  <c r="F162" i="2"/>
  <c r="V154" i="2"/>
  <c r="L154" i="2"/>
  <c r="P155" i="2"/>
  <c r="T155" i="2"/>
  <c r="F159" i="2"/>
  <c r="J155" i="2"/>
  <c r="K157" i="2" s="1"/>
  <c r="M157" i="2" s="1"/>
  <c r="U151" i="2"/>
  <c r="V151" i="2" s="1"/>
  <c r="T156" i="2"/>
  <c r="P156" i="2"/>
  <c r="F160" i="2"/>
  <c r="J156" i="2"/>
  <c r="P157" i="2"/>
  <c r="T157" i="2"/>
  <c r="F161" i="2"/>
  <c r="J157" i="2"/>
  <c r="K153" i="2"/>
  <c r="M153" i="2" s="1"/>
  <c r="W147" i="2"/>
  <c r="W148" i="2" s="1"/>
  <c r="W149" i="2" s="1"/>
  <c r="W150" i="2" s="1"/>
  <c r="U153" i="2"/>
  <c r="V153" i="2" s="1"/>
  <c r="B164" i="2"/>
  <c r="D160" i="2"/>
  <c r="B165" i="2"/>
  <c r="D161" i="2"/>
  <c r="B166" i="2"/>
  <c r="D162" i="2"/>
  <c r="B191" i="2"/>
  <c r="D187" i="2"/>
  <c r="U156" i="2" l="1"/>
  <c r="V156" i="2" s="1"/>
  <c r="T161" i="2"/>
  <c r="P161" i="2"/>
  <c r="U161" i="2" s="1"/>
  <c r="F165" i="2"/>
  <c r="J161" i="2"/>
  <c r="V161" i="2" s="1"/>
  <c r="L155" i="2"/>
  <c r="L156" i="2" s="1"/>
  <c r="L157" i="2" s="1"/>
  <c r="L158" i="2" s="1"/>
  <c r="U155" i="2"/>
  <c r="V155" i="2" s="1"/>
  <c r="P162" i="2"/>
  <c r="T162" i="2"/>
  <c r="F166" i="2"/>
  <c r="J162" i="2"/>
  <c r="W151" i="2"/>
  <c r="W152" i="2" s="1"/>
  <c r="W153" i="2" s="1"/>
  <c r="W154" i="2" s="1"/>
  <c r="P160" i="2"/>
  <c r="T160" i="2"/>
  <c r="J160" i="2"/>
  <c r="F164" i="2"/>
  <c r="T159" i="2"/>
  <c r="P159" i="2"/>
  <c r="U159" i="2" s="1"/>
  <c r="F163" i="2"/>
  <c r="J159" i="2"/>
  <c r="V159" i="2" s="1"/>
  <c r="U157" i="2"/>
  <c r="V157" i="2" s="1"/>
  <c r="U158" i="2"/>
  <c r="V158" i="2" s="1"/>
  <c r="B170" i="2"/>
  <c r="D166" i="2"/>
  <c r="B195" i="2"/>
  <c r="D191" i="2"/>
  <c r="B169" i="2"/>
  <c r="D165" i="2"/>
  <c r="B168" i="2"/>
  <c r="D164" i="2"/>
  <c r="U162" i="2" l="1"/>
  <c r="L159" i="2"/>
  <c r="L160" i="2" s="1"/>
  <c r="L161" i="2" s="1"/>
  <c r="P164" i="2"/>
  <c r="T164" i="2"/>
  <c r="J164" i="2"/>
  <c r="F168" i="2"/>
  <c r="T163" i="2"/>
  <c r="P163" i="2"/>
  <c r="U163" i="2" s="1"/>
  <c r="F167" i="2"/>
  <c r="J163" i="2"/>
  <c r="V163" i="2" s="1"/>
  <c r="P166" i="2"/>
  <c r="T166" i="2"/>
  <c r="F170" i="2"/>
  <c r="J166" i="2"/>
  <c r="K161" i="2"/>
  <c r="M161" i="2" s="1"/>
  <c r="T165" i="2"/>
  <c r="P165" i="2"/>
  <c r="U165" i="2" s="1"/>
  <c r="F169" i="2"/>
  <c r="J165" i="2"/>
  <c r="V165" i="2" s="1"/>
  <c r="V162" i="2"/>
  <c r="L162" i="2"/>
  <c r="U160" i="2"/>
  <c r="V160" i="2" s="1"/>
  <c r="W155" i="2"/>
  <c r="W156" i="2" s="1"/>
  <c r="W157" i="2" s="1"/>
  <c r="W158" i="2" s="1"/>
  <c r="W159" i="2" s="1"/>
  <c r="B173" i="2"/>
  <c r="D169" i="2"/>
  <c r="B172" i="2"/>
  <c r="D168" i="2"/>
  <c r="B199" i="2"/>
  <c r="D195" i="2"/>
  <c r="B174" i="2"/>
  <c r="D170" i="2"/>
  <c r="P167" i="2" l="1"/>
  <c r="T167" i="2"/>
  <c r="J167" i="2"/>
  <c r="F171" i="2"/>
  <c r="P170" i="2"/>
  <c r="U170" i="2" s="1"/>
  <c r="T170" i="2"/>
  <c r="F174" i="2"/>
  <c r="J170" i="2"/>
  <c r="K165" i="2"/>
  <c r="M165" i="2" s="1"/>
  <c r="T169" i="2"/>
  <c r="P169" i="2"/>
  <c r="F173" i="2"/>
  <c r="J169" i="2"/>
  <c r="P168" i="2"/>
  <c r="T168" i="2"/>
  <c r="F172" i="2"/>
  <c r="J168" i="2"/>
  <c r="U166" i="2"/>
  <c r="V166" i="2" s="1"/>
  <c r="W160" i="2"/>
  <c r="W161" i="2" s="1"/>
  <c r="W162" i="2" s="1"/>
  <c r="W163" i="2" s="1"/>
  <c r="L163" i="2"/>
  <c r="L164" i="2" s="1"/>
  <c r="L165" i="2" s="1"/>
  <c r="L166" i="2" s="1"/>
  <c r="L167" i="2" s="1"/>
  <c r="L168" i="2" s="1"/>
  <c r="L169" i="2" s="1"/>
  <c r="U164" i="2"/>
  <c r="V164" i="2" s="1"/>
  <c r="B178" i="2"/>
  <c r="D174" i="2"/>
  <c r="B176" i="2"/>
  <c r="D172" i="2"/>
  <c r="B203" i="2"/>
  <c r="D203" i="2" s="1"/>
  <c r="D199" i="2"/>
  <c r="B177" i="2"/>
  <c r="D173" i="2"/>
  <c r="U169" i="2" l="1"/>
  <c r="W164" i="2"/>
  <c r="W165" i="2" s="1"/>
  <c r="V169" i="2"/>
  <c r="P171" i="2"/>
  <c r="T171" i="2"/>
  <c r="J171" i="2"/>
  <c r="F175" i="2"/>
  <c r="T174" i="2"/>
  <c r="P174" i="2"/>
  <c r="U174" i="2" s="1"/>
  <c r="F178" i="2"/>
  <c r="J174" i="2"/>
  <c r="U167" i="2"/>
  <c r="V167" i="2" s="1"/>
  <c r="V170" i="2"/>
  <c r="L170" i="2"/>
  <c r="T172" i="2"/>
  <c r="P172" i="2"/>
  <c r="U172" i="2" s="1"/>
  <c r="F176" i="2"/>
  <c r="J172" i="2"/>
  <c r="V172" i="2" s="1"/>
  <c r="P173" i="2"/>
  <c r="T173" i="2"/>
  <c r="F177" i="2"/>
  <c r="J173" i="2"/>
  <c r="K169" i="2"/>
  <c r="M169" i="2" s="1"/>
  <c r="W166" i="2"/>
  <c r="U168" i="2"/>
  <c r="V168" i="2" s="1"/>
  <c r="B180" i="2"/>
  <c r="D176" i="2"/>
  <c r="B182" i="2"/>
  <c r="D178" i="2"/>
  <c r="B181" i="2"/>
  <c r="D177" i="2"/>
  <c r="K173" i="2" l="1"/>
  <c r="M173" i="2" s="1"/>
  <c r="U173" i="2"/>
  <c r="V173" i="2" s="1"/>
  <c r="T178" i="2"/>
  <c r="P178" i="2"/>
  <c r="U178" i="2" s="1"/>
  <c r="F182" i="2"/>
  <c r="J178" i="2"/>
  <c r="W167" i="2"/>
  <c r="W168" i="2" s="1"/>
  <c r="W169" i="2" s="1"/>
  <c r="W170" i="2" s="1"/>
  <c r="P177" i="2"/>
  <c r="T177" i="2"/>
  <c r="J177" i="2"/>
  <c r="K177" i="2" s="1"/>
  <c r="M177" i="2" s="1"/>
  <c r="F181" i="2"/>
  <c r="P175" i="2"/>
  <c r="T175" i="2"/>
  <c r="F179" i="2"/>
  <c r="J175" i="2"/>
  <c r="T176" i="2"/>
  <c r="P176" i="2"/>
  <c r="U176" i="2" s="1"/>
  <c r="F180" i="2"/>
  <c r="J176" i="2"/>
  <c r="V176" i="2" s="1"/>
  <c r="V174" i="2"/>
  <c r="L171" i="2"/>
  <c r="L172" i="2" s="1"/>
  <c r="L173" i="2" s="1"/>
  <c r="L174" i="2" s="1"/>
  <c r="L175" i="2" s="1"/>
  <c r="L176" i="2" s="1"/>
  <c r="L177" i="2" s="1"/>
  <c r="U171" i="2"/>
  <c r="V171" i="2" s="1"/>
  <c r="B186" i="2"/>
  <c r="D182" i="2"/>
  <c r="B184" i="2"/>
  <c r="D180" i="2"/>
  <c r="B185" i="2"/>
  <c r="D181" i="2"/>
  <c r="U175" i="2" l="1"/>
  <c r="P180" i="2"/>
  <c r="T180" i="2"/>
  <c r="J180" i="2"/>
  <c r="F184" i="2"/>
  <c r="V178" i="2"/>
  <c r="L178" i="2"/>
  <c r="P179" i="2"/>
  <c r="T179" i="2"/>
  <c r="J179" i="2"/>
  <c r="K181" i="2" s="1"/>
  <c r="M181" i="2" s="1"/>
  <c r="F183" i="2"/>
  <c r="P182" i="2"/>
  <c r="T182" i="2"/>
  <c r="F186" i="2"/>
  <c r="J182" i="2"/>
  <c r="P181" i="2"/>
  <c r="T181" i="2"/>
  <c r="F185" i="2"/>
  <c r="J181" i="2"/>
  <c r="W171" i="2"/>
  <c r="W172" i="2" s="1"/>
  <c r="W173" i="2" s="1"/>
  <c r="W174" i="2" s="1"/>
  <c r="U177" i="2"/>
  <c r="V177" i="2" s="1"/>
  <c r="V175" i="2"/>
  <c r="B189" i="2"/>
  <c r="D185" i="2"/>
  <c r="B190" i="2"/>
  <c r="D186" i="2"/>
  <c r="B188" i="2"/>
  <c r="D184" i="2"/>
  <c r="U181" i="2" l="1"/>
  <c r="V181" i="2"/>
  <c r="W175" i="2"/>
  <c r="W176" i="2" s="1"/>
  <c r="W177" i="2" s="1"/>
  <c r="W178" i="2" s="1"/>
  <c r="P185" i="2"/>
  <c r="T185" i="2"/>
  <c r="J185" i="2"/>
  <c r="F189" i="2"/>
  <c r="V182" i="2"/>
  <c r="P184" i="2"/>
  <c r="T184" i="2"/>
  <c r="F188" i="2"/>
  <c r="J184" i="2"/>
  <c r="T183" i="2"/>
  <c r="P183" i="2"/>
  <c r="F187" i="2"/>
  <c r="J183" i="2"/>
  <c r="P186" i="2"/>
  <c r="U186" i="2" s="1"/>
  <c r="T186" i="2"/>
  <c r="J186" i="2"/>
  <c r="F190" i="2"/>
  <c r="U179" i="2"/>
  <c r="L179" i="2"/>
  <c r="L180" i="2" s="1"/>
  <c r="L181" i="2" s="1"/>
  <c r="L182" i="2" s="1"/>
  <c r="U180" i="2"/>
  <c r="V180" i="2" s="1"/>
  <c r="V179" i="2"/>
  <c r="U182" i="2"/>
  <c r="B192" i="2"/>
  <c r="D188" i="2"/>
  <c r="B194" i="2"/>
  <c r="D190" i="2"/>
  <c r="B193" i="2"/>
  <c r="D189" i="2"/>
  <c r="U184" i="2" l="1"/>
  <c r="V184" i="2" s="1"/>
  <c r="V186" i="2"/>
  <c r="T189" i="2"/>
  <c r="P189" i="2"/>
  <c r="U189" i="2" s="1"/>
  <c r="F193" i="2"/>
  <c r="J189" i="2"/>
  <c r="V189" i="2" s="1"/>
  <c r="K185" i="2"/>
  <c r="M185" i="2" s="1"/>
  <c r="L183" i="2"/>
  <c r="L184" i="2" s="1"/>
  <c r="L185" i="2" s="1"/>
  <c r="L186" i="2" s="1"/>
  <c r="L187" i="2" s="1"/>
  <c r="L188" i="2" s="1"/>
  <c r="L189" i="2" s="1"/>
  <c r="P190" i="2"/>
  <c r="T190" i="2"/>
  <c r="J190" i="2"/>
  <c r="F194" i="2"/>
  <c r="T187" i="2"/>
  <c r="P187" i="2"/>
  <c r="U187" i="2" s="1"/>
  <c r="F191" i="2"/>
  <c r="J187" i="2"/>
  <c r="V187" i="2" s="1"/>
  <c r="U185" i="2"/>
  <c r="V185" i="2" s="1"/>
  <c r="P188" i="2"/>
  <c r="T188" i="2"/>
  <c r="J188" i="2"/>
  <c r="F192" i="2"/>
  <c r="U183" i="2"/>
  <c r="V183" i="2" s="1"/>
  <c r="W179" i="2"/>
  <c r="W180" i="2" s="1"/>
  <c r="W181" i="2" s="1"/>
  <c r="W182" i="2" s="1"/>
  <c r="B198" i="2"/>
  <c r="D194" i="2"/>
  <c r="B197" i="2"/>
  <c r="D193" i="2"/>
  <c r="B196" i="2"/>
  <c r="D192" i="2"/>
  <c r="L190" i="2" l="1"/>
  <c r="U190" i="2"/>
  <c r="U188" i="2"/>
  <c r="V188" i="2" s="1"/>
  <c r="P192" i="2"/>
  <c r="T192" i="2"/>
  <c r="F196" i="2"/>
  <c r="J192" i="2"/>
  <c r="P191" i="2"/>
  <c r="T191" i="2"/>
  <c r="F195" i="2"/>
  <c r="J191" i="2"/>
  <c r="P193" i="2"/>
  <c r="T193" i="2"/>
  <c r="F197" i="2"/>
  <c r="J193" i="2"/>
  <c r="P194" i="2"/>
  <c r="T194" i="2"/>
  <c r="J194" i="2"/>
  <c r="F198" i="2"/>
  <c r="W183" i="2"/>
  <c r="W184" i="2" s="1"/>
  <c r="W185" i="2" s="1"/>
  <c r="W186" i="2" s="1"/>
  <c r="W187" i="2" s="1"/>
  <c r="V190" i="2"/>
  <c r="K189" i="2"/>
  <c r="M189" i="2" s="1"/>
  <c r="B200" i="2"/>
  <c r="D196" i="2"/>
  <c r="B201" i="2"/>
  <c r="D197" i="2"/>
  <c r="B202" i="2"/>
  <c r="D202" i="2" s="1"/>
  <c r="D198" i="2"/>
  <c r="U194" i="2" l="1"/>
  <c r="U192" i="2"/>
  <c r="V192" i="2" s="1"/>
  <c r="W188" i="2"/>
  <c r="W189" i="2" s="1"/>
  <c r="W190" i="2" s="1"/>
  <c r="U191" i="2"/>
  <c r="V191" i="2" s="1"/>
  <c r="W191" i="2" s="1"/>
  <c r="P197" i="2"/>
  <c r="T197" i="2"/>
  <c r="F201" i="2"/>
  <c r="J197" i="2"/>
  <c r="T198" i="2"/>
  <c r="P198" i="2"/>
  <c r="U198" i="2" s="1"/>
  <c r="J198" i="2"/>
  <c r="F202" i="2"/>
  <c r="K193" i="2"/>
  <c r="M193" i="2" s="1"/>
  <c r="T196" i="2"/>
  <c r="P196" i="2"/>
  <c r="U196" i="2" s="1"/>
  <c r="J196" i="2"/>
  <c r="V196" i="2" s="1"/>
  <c r="F200" i="2"/>
  <c r="U193" i="2"/>
  <c r="V193" i="2" s="1"/>
  <c r="V194" i="2"/>
  <c r="L194" i="2"/>
  <c r="P195" i="2"/>
  <c r="T195" i="2"/>
  <c r="F199" i="2"/>
  <c r="J195" i="2"/>
  <c r="L191" i="2"/>
  <c r="L192" i="2" s="1"/>
  <c r="L193" i="2" s="1"/>
  <c r="B205" i="2"/>
  <c r="D205" i="2" s="1"/>
  <c r="D201" i="2"/>
  <c r="B204" i="2"/>
  <c r="D204" i="2" s="1"/>
  <c r="D200" i="2"/>
  <c r="W192" i="2" l="1"/>
  <c r="W193" i="2"/>
  <c r="W194" i="2" s="1"/>
  <c r="P199" i="2"/>
  <c r="T199" i="2"/>
  <c r="J199" i="2"/>
  <c r="F203" i="2"/>
  <c r="V195" i="2"/>
  <c r="V198" i="2"/>
  <c r="K201" i="2"/>
  <c r="M201" i="2" s="1"/>
  <c r="V197" i="2"/>
  <c r="P201" i="2"/>
  <c r="T201" i="2"/>
  <c r="F205" i="2"/>
  <c r="J201" i="2"/>
  <c r="T200" i="2"/>
  <c r="P200" i="2"/>
  <c r="U200" i="2" s="1"/>
  <c r="F204" i="2"/>
  <c r="J200" i="2"/>
  <c r="V200" i="2" s="1"/>
  <c r="K197" i="2"/>
  <c r="M197" i="2" s="1"/>
  <c r="U197" i="2"/>
  <c r="J202" i="2"/>
  <c r="T202" i="2"/>
  <c r="P202" i="2"/>
  <c r="U202" i="2" s="1"/>
  <c r="L195" i="2"/>
  <c r="L196" i="2" s="1"/>
  <c r="L197" i="2" s="1"/>
  <c r="L198" i="2" s="1"/>
  <c r="L199" i="2" s="1"/>
  <c r="L200" i="2" s="1"/>
  <c r="L201" i="2" s="1"/>
  <c r="L202" i="2" s="1"/>
  <c r="U195" i="2"/>
  <c r="J203" i="2" l="1"/>
  <c r="P203" i="2"/>
  <c r="T203" i="2"/>
  <c r="V202" i="2"/>
  <c r="J204" i="2"/>
  <c r="T204" i="2"/>
  <c r="P204" i="2"/>
  <c r="U204" i="2" s="1"/>
  <c r="U199" i="2"/>
  <c r="V199" i="2" s="1"/>
  <c r="U201" i="2"/>
  <c r="V201" i="2" s="1"/>
  <c r="J205" i="2"/>
  <c r="P205" i="2"/>
  <c r="T205" i="2"/>
  <c r="W195" i="2"/>
  <c r="W196" i="2" s="1"/>
  <c r="W197" i="2" s="1"/>
  <c r="W198" i="2" s="1"/>
  <c r="W199" i="2" l="1"/>
  <c r="W200" i="2" s="1"/>
  <c r="W201" i="2" s="1"/>
  <c r="W202" i="2" s="1"/>
  <c r="K205" i="2"/>
  <c r="M205" i="2" s="1"/>
  <c r="AA59" i="2" s="1"/>
  <c r="AB59" i="2" s="1"/>
  <c r="U203" i="2"/>
  <c r="V204" i="2"/>
  <c r="V203" i="2"/>
  <c r="W203" i="2" s="1"/>
  <c r="W204" i="2" s="1"/>
  <c r="U205" i="2"/>
  <c r="U206" i="2" s="1"/>
  <c r="AA77" i="2" s="1"/>
  <c r="V205" i="2"/>
  <c r="L203" i="2"/>
  <c r="L204" i="2" s="1"/>
  <c r="L205" i="2" s="1"/>
  <c r="W205" i="2" l="1"/>
  <c r="AA61" i="2"/>
  <c r="AB77" i="2"/>
  <c r="AB79" i="2" s="1"/>
  <c r="AA82" i="2" s="1"/>
  <c r="AA79" i="2"/>
  <c r="AA81" i="2"/>
  <c r="AA83" i="2" l="1"/>
</calcChain>
</file>

<file path=xl/sharedStrings.xml><?xml version="1.0" encoding="utf-8"?>
<sst xmlns="http://schemas.openxmlformats.org/spreadsheetml/2006/main" count="75" uniqueCount="58">
  <si>
    <t>Date</t>
  </si>
  <si>
    <t>Open</t>
  </si>
  <si>
    <t>High</t>
  </si>
  <si>
    <t>Low</t>
  </si>
  <si>
    <t>Close</t>
  </si>
  <si>
    <t>Adj Close</t>
  </si>
  <si>
    <t>null</t>
  </si>
  <si>
    <t>CE</t>
  </si>
  <si>
    <t>PE</t>
  </si>
  <si>
    <t>Day</t>
  </si>
  <si>
    <t>Expiry</t>
  </si>
  <si>
    <t>Strike Price</t>
  </si>
  <si>
    <t>Entry Price</t>
  </si>
  <si>
    <t>Option Type</t>
  </si>
  <si>
    <t>Number</t>
  </si>
  <si>
    <t>SPREAD</t>
  </si>
  <si>
    <t>POSITION</t>
  </si>
  <si>
    <t>SELL</t>
  </si>
  <si>
    <t>BUY</t>
  </si>
  <si>
    <t>EXIT PRICE</t>
  </si>
  <si>
    <t>PROFIT</t>
  </si>
  <si>
    <t>CUMULATIVE</t>
  </si>
  <si>
    <t>SUM</t>
  </si>
  <si>
    <t>Drawdown</t>
  </si>
  <si>
    <t>Total Return</t>
  </si>
  <si>
    <t>Calmar</t>
  </si>
  <si>
    <t xml:space="preserve">Weeks </t>
  </si>
  <si>
    <t>Winner</t>
  </si>
  <si>
    <t>Profit (Winner)</t>
  </si>
  <si>
    <t>Losing</t>
  </si>
  <si>
    <t>Loss (losing)</t>
  </si>
  <si>
    <t>Con. Wins</t>
  </si>
  <si>
    <t>Con. Losses</t>
  </si>
  <si>
    <t>Results</t>
  </si>
  <si>
    <t>Avg Win</t>
  </si>
  <si>
    <t>Avg Loss</t>
  </si>
  <si>
    <t>R:R</t>
  </si>
  <si>
    <t>Total Trades</t>
  </si>
  <si>
    <t>Brokerage</t>
  </si>
  <si>
    <t xml:space="preserve">Margin </t>
  </si>
  <si>
    <t>Brokerage Cost</t>
  </si>
  <si>
    <t xml:space="preserve">Slippage </t>
  </si>
  <si>
    <t>Margin</t>
  </si>
  <si>
    <t>Slippage Cost</t>
  </si>
  <si>
    <t>Tax</t>
  </si>
  <si>
    <t>STT/CTT</t>
  </si>
  <si>
    <t>Transaction Charges</t>
  </si>
  <si>
    <t>GST</t>
  </si>
  <si>
    <t>SEBI Charges</t>
  </si>
  <si>
    <t>Stamp Charges</t>
  </si>
  <si>
    <t>Brokerage(Single Leg)</t>
  </si>
  <si>
    <t>Total Cost</t>
  </si>
  <si>
    <t>Tax Cost</t>
  </si>
  <si>
    <t>Actual DD</t>
  </si>
  <si>
    <t>Actual ROI</t>
  </si>
  <si>
    <t>Net Profits</t>
  </si>
  <si>
    <t>Cumulative</t>
  </si>
  <si>
    <t>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</si>
</sst>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15" fontId="0" fillId="0" borderId="0" xfId="0" applyNumberFormat="1"/>
    <xf numFmtId="0" fontId="16" fillId="0" borderId="0" xfId="0" applyFont="1" applyFill="1"/>
    <xf numFmtId="0" fontId="0" fillId="0" borderId="10" xfId="0" applyBorder="1"/>
    <xf numFmtId="14" fontId="0" fillId="0" borderId="10" xfId="0" applyNumberFormat="1" applyBorder="1"/>
    <xf numFmtId="15" fontId="0" fillId="0" borderId="10" xfId="0" applyNumberFormat="1" applyBorder="1"/>
    <xf numFmtId="0" fontId="16" fillId="0" borderId="11" xfId="0" applyFont="1" applyBorder="1"/>
    <xf numFmtId="0" fontId="0" fillId="0" borderId="0" xfId="0" applyFill="1" applyBorder="1"/>
    <xf numFmtId="0" fontId="0" fillId="0" borderId="10" xfId="0" applyFill="1" applyBorder="1"/>
    <xf numFmtId="0" fontId="0" fillId="0" borderId="0" xfId="0" applyBorder="1"/>
    <xf numFmtId="14" fontId="0" fillId="33" borderId="0" xfId="0" applyNumberFormat="1" applyFill="1"/>
    <xf numFmtId="0" fontId="16" fillId="0" borderId="0" xfId="0" applyFont="1" applyFill="1" applyBorder="1"/>
    <xf numFmtId="14" fontId="0" fillId="0" borderId="0" xfId="0" applyNumberFormat="1" applyBorder="1"/>
    <xf numFmtId="15" fontId="0" fillId="0" borderId="0" xfId="0" applyNumberFormat="1" applyBorder="1"/>
    <xf numFmtId="10" fontId="0" fillId="0" borderId="0" xfId="0" applyNumberFormat="1"/>
    <xf numFmtId="10" fontId="0" fillId="34" borderId="0" xfId="0" applyNumberFormat="1" applyFill="1"/>
    <xf numFmtId="9" fontId="0" fillId="34" borderId="0" xfId="0" applyNumberFormat="1" applyFill="1"/>
    <xf numFmtId="0" fontId="16" fillId="0" borderId="0" xfId="0" applyNumberFormat="1" applyFont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'Iron Condor (Hedge)'!$W$2:$W$205</c:f>
              <c:numCache>
                <c:formatCode>General</c:formatCode>
                <c:ptCount val="204"/>
                <c:pt idx="0">
                  <c:v>1997.9889430500002</c:v>
                </c:pt>
                <c:pt idx="1">
                  <c:v>4889.9652126000001</c:v>
                </c:pt>
                <c:pt idx="2">
                  <c:v>4359.9538294499998</c:v>
                </c:pt>
                <c:pt idx="3">
                  <c:v>3061.9610856499999</c:v>
                </c:pt>
                <c:pt idx="4">
                  <c:v>5102.4021490499999</c:v>
                </c:pt>
                <c:pt idx="5">
                  <c:v>7834.5586714000001</c:v>
                </c:pt>
                <c:pt idx="6">
                  <c:v>7327.0613997999999</c:v>
                </c:pt>
                <c:pt idx="7">
                  <c:v>6094.1094226999994</c:v>
                </c:pt>
                <c:pt idx="8">
                  <c:v>9672.8111685000003</c:v>
                </c:pt>
                <c:pt idx="9">
                  <c:v>-22225.751983450002</c:v>
                </c:pt>
                <c:pt idx="10">
                  <c:v>-23301.1051797</c:v>
                </c:pt>
                <c:pt idx="11">
                  <c:v>-1905.1298011500003</c:v>
                </c:pt>
                <c:pt idx="12">
                  <c:v>2927.1537023499986</c:v>
                </c:pt>
                <c:pt idx="13">
                  <c:v>10766.046200049997</c:v>
                </c:pt>
                <c:pt idx="14">
                  <c:v>8915.2113236999976</c:v>
                </c:pt>
                <c:pt idx="15">
                  <c:v>3777.3117766499972</c:v>
                </c:pt>
                <c:pt idx="16">
                  <c:v>4574.4502579499976</c:v>
                </c:pt>
                <c:pt idx="17">
                  <c:v>11621.735570299996</c:v>
                </c:pt>
                <c:pt idx="18">
                  <c:v>8692.7073698999957</c:v>
                </c:pt>
                <c:pt idx="19">
                  <c:v>4390.3315181499947</c:v>
                </c:pt>
                <c:pt idx="20">
                  <c:v>-9289.5051675500054</c:v>
                </c:pt>
                <c:pt idx="21">
                  <c:v>-2804.0773851500062</c:v>
                </c:pt>
                <c:pt idx="22">
                  <c:v>1455.2705985499942</c:v>
                </c:pt>
                <c:pt idx="23">
                  <c:v>-2444.352813250006</c:v>
                </c:pt>
                <c:pt idx="24">
                  <c:v>1561.3673195999945</c:v>
                </c:pt>
                <c:pt idx="25">
                  <c:v>5744.3918688999947</c:v>
                </c:pt>
                <c:pt idx="26">
                  <c:v>4293.8078645499945</c:v>
                </c:pt>
                <c:pt idx="27">
                  <c:v>2252.8538239999943</c:v>
                </c:pt>
                <c:pt idx="28">
                  <c:v>4551.3008293999937</c:v>
                </c:pt>
                <c:pt idx="29">
                  <c:v>8799.2477665999941</c:v>
                </c:pt>
                <c:pt idx="30">
                  <c:v>7671.3616433999941</c:v>
                </c:pt>
                <c:pt idx="31">
                  <c:v>5610.3950592499941</c:v>
                </c:pt>
                <c:pt idx="32">
                  <c:v>7143.8990931999942</c:v>
                </c:pt>
                <c:pt idx="33">
                  <c:v>9676.2853159499937</c:v>
                </c:pt>
                <c:pt idx="34">
                  <c:v>9406.432615199994</c:v>
                </c:pt>
                <c:pt idx="35">
                  <c:v>8208.5069737999947</c:v>
                </c:pt>
                <c:pt idx="36">
                  <c:v>10101.614207749995</c:v>
                </c:pt>
                <c:pt idx="37">
                  <c:v>10361.701776349995</c:v>
                </c:pt>
                <c:pt idx="38">
                  <c:v>9826.6916416999957</c:v>
                </c:pt>
                <c:pt idx="39">
                  <c:v>9239.1485800999963</c:v>
                </c:pt>
                <c:pt idx="40">
                  <c:v>10897.511791549996</c:v>
                </c:pt>
                <c:pt idx="41">
                  <c:v>12500.941349299996</c:v>
                </c:pt>
                <c:pt idx="42">
                  <c:v>12033.469164899996</c:v>
                </c:pt>
                <c:pt idx="43">
                  <c:v>11485.951190499996</c:v>
                </c:pt>
                <c:pt idx="44">
                  <c:v>13536.376603699997</c:v>
                </c:pt>
                <c:pt idx="45">
                  <c:v>16300.996512199996</c:v>
                </c:pt>
                <c:pt idx="46">
                  <c:v>15703.447178799996</c:v>
                </c:pt>
                <c:pt idx="47">
                  <c:v>14504.520910219995</c:v>
                </c:pt>
                <c:pt idx="48">
                  <c:v>16779.692842919994</c:v>
                </c:pt>
                <c:pt idx="49">
                  <c:v>11755.962770669994</c:v>
                </c:pt>
                <c:pt idx="50">
                  <c:v>11003.316224369994</c:v>
                </c:pt>
                <c:pt idx="51">
                  <c:v>9535.2124755699933</c:v>
                </c:pt>
                <c:pt idx="52">
                  <c:v>12557.046674119993</c:v>
                </c:pt>
                <c:pt idx="53">
                  <c:v>-333.41940573000829</c:v>
                </c:pt>
                <c:pt idx="54">
                  <c:v>-1277.1901278100081</c:v>
                </c:pt>
                <c:pt idx="55">
                  <c:v>1248.9809401899915</c:v>
                </c:pt>
                <c:pt idx="56">
                  <c:v>4430.6305015399921</c:v>
                </c:pt>
                <c:pt idx="57">
                  <c:v>8678.5818231399917</c:v>
                </c:pt>
                <c:pt idx="58">
                  <c:v>7583.2116988899916</c:v>
                </c:pt>
                <c:pt idx="59">
                  <c:v>5559.7686339899919</c:v>
                </c:pt>
                <c:pt idx="60">
                  <c:v>8404.3028004899934</c:v>
                </c:pt>
                <c:pt idx="61">
                  <c:v>12817.063851989995</c:v>
                </c:pt>
                <c:pt idx="62">
                  <c:v>11951.846747939995</c:v>
                </c:pt>
                <c:pt idx="63">
                  <c:v>9690.7503433899947</c:v>
                </c:pt>
                <c:pt idx="64">
                  <c:v>11731.130025189996</c:v>
                </c:pt>
                <c:pt idx="65">
                  <c:v>15951.607943339995</c:v>
                </c:pt>
                <c:pt idx="66">
                  <c:v>15421.600944589996</c:v>
                </c:pt>
                <c:pt idx="67">
                  <c:v>13508.226869489996</c:v>
                </c:pt>
                <c:pt idx="68">
                  <c:v>16400.203139039997</c:v>
                </c:pt>
                <c:pt idx="69">
                  <c:v>19067.428504689997</c:v>
                </c:pt>
                <c:pt idx="70">
                  <c:v>18227.222695739998</c:v>
                </c:pt>
                <c:pt idx="71">
                  <c:v>17156.868250989999</c:v>
                </c:pt>
                <c:pt idx="72">
                  <c:v>19641.803601889998</c:v>
                </c:pt>
                <c:pt idx="73">
                  <c:v>-6741.7804770100047</c:v>
                </c:pt>
                <c:pt idx="74">
                  <c:v>-7459.4050720100049</c:v>
                </c:pt>
                <c:pt idx="75">
                  <c:v>8243.910076589993</c:v>
                </c:pt>
                <c:pt idx="76">
                  <c:v>11437.164291289992</c:v>
                </c:pt>
                <c:pt idx="77">
                  <c:v>16231.494989229992</c:v>
                </c:pt>
                <c:pt idx="78">
                  <c:v>15063.588163229992</c:v>
                </c:pt>
                <c:pt idx="79">
                  <c:v>12427.260950579992</c:v>
                </c:pt>
                <c:pt idx="80">
                  <c:v>18588.054871479992</c:v>
                </c:pt>
                <c:pt idx="81">
                  <c:v>24246.914898829993</c:v>
                </c:pt>
                <c:pt idx="82">
                  <c:v>21510.524968179994</c:v>
                </c:pt>
                <c:pt idx="83">
                  <c:v>18241.296679779993</c:v>
                </c:pt>
                <c:pt idx="84">
                  <c:v>20306.709578679991</c:v>
                </c:pt>
                <c:pt idx="85">
                  <c:v>23658.172005829991</c:v>
                </c:pt>
                <c:pt idx="86">
                  <c:v>23170.687277829991</c:v>
                </c:pt>
                <c:pt idx="87">
                  <c:v>21762.629928629991</c:v>
                </c:pt>
                <c:pt idx="88">
                  <c:v>23243.701876829989</c:v>
                </c:pt>
                <c:pt idx="89">
                  <c:v>24835.95452797999</c:v>
                </c:pt>
                <c:pt idx="90">
                  <c:v>24561.107460129988</c:v>
                </c:pt>
                <c:pt idx="91">
                  <c:v>23683.382516329988</c:v>
                </c:pt>
                <c:pt idx="92">
                  <c:v>10137.360412879989</c:v>
                </c:pt>
                <c:pt idx="93">
                  <c:v>11625.923911729989</c:v>
                </c:pt>
                <c:pt idx="94">
                  <c:v>13908.127033079989</c:v>
                </c:pt>
                <c:pt idx="95">
                  <c:v>13373.116898429989</c:v>
                </c:pt>
                <c:pt idx="96">
                  <c:v>14771.777405079989</c:v>
                </c:pt>
                <c:pt idx="97">
                  <c:v>16704.839575829988</c:v>
                </c:pt>
                <c:pt idx="98">
                  <c:v>16427.490940029988</c:v>
                </c:pt>
                <c:pt idx="99">
                  <c:v>15697.358505279988</c:v>
                </c:pt>
                <c:pt idx="100">
                  <c:v>17103.501793779989</c:v>
                </c:pt>
                <c:pt idx="101">
                  <c:v>18974.129991379988</c:v>
                </c:pt>
                <c:pt idx="102">
                  <c:v>18686.770699379987</c:v>
                </c:pt>
                <c:pt idx="103">
                  <c:v>17961.641400529988</c:v>
                </c:pt>
                <c:pt idx="104">
                  <c:v>19499.328687579989</c:v>
                </c:pt>
                <c:pt idx="105">
                  <c:v>21801.974023729988</c:v>
                </c:pt>
                <c:pt idx="106">
                  <c:v>21324.49556752999</c:v>
                </c:pt>
                <c:pt idx="107">
                  <c:v>20409.24710447999</c:v>
                </c:pt>
                <c:pt idx="108">
                  <c:v>20998.109868129988</c:v>
                </c:pt>
                <c:pt idx="109">
                  <c:v>22301.877399879988</c:v>
                </c:pt>
                <c:pt idx="110">
                  <c:v>22092.071098729986</c:v>
                </c:pt>
                <c:pt idx="111">
                  <c:v>21612.095458979988</c:v>
                </c:pt>
                <c:pt idx="112">
                  <c:v>23285.446156129987</c:v>
                </c:pt>
                <c:pt idx="113">
                  <c:v>25003.127956779987</c:v>
                </c:pt>
                <c:pt idx="114">
                  <c:v>24525.653884979987</c:v>
                </c:pt>
                <c:pt idx="115">
                  <c:v>23732.964713879988</c:v>
                </c:pt>
                <c:pt idx="116">
                  <c:v>25705.977437029989</c:v>
                </c:pt>
                <c:pt idx="117">
                  <c:v>27991.142488329988</c:v>
                </c:pt>
                <c:pt idx="118">
                  <c:v>27503.662144729988</c:v>
                </c:pt>
                <c:pt idx="119">
                  <c:v>26620.929680629986</c:v>
                </c:pt>
                <c:pt idx="120">
                  <c:v>29133.018373779985</c:v>
                </c:pt>
                <c:pt idx="121">
                  <c:v>31782.772223379987</c:v>
                </c:pt>
                <c:pt idx="122">
                  <c:v>31012.614701429986</c:v>
                </c:pt>
                <c:pt idx="123">
                  <c:v>29947.272161379988</c:v>
                </c:pt>
                <c:pt idx="124">
                  <c:v>31857.850911379988</c:v>
                </c:pt>
                <c:pt idx="125">
                  <c:v>33843.353936679989</c:v>
                </c:pt>
                <c:pt idx="126">
                  <c:v>33460.935062579985</c:v>
                </c:pt>
                <c:pt idx="127">
                  <c:v>32718.294788079984</c:v>
                </c:pt>
                <c:pt idx="128">
                  <c:v>36242.058495779987</c:v>
                </c:pt>
                <c:pt idx="129">
                  <c:v>39056.626459679988</c:v>
                </c:pt>
                <c:pt idx="130">
                  <c:v>37798.654418679987</c:v>
                </c:pt>
                <c:pt idx="131">
                  <c:v>36653.257319829987</c:v>
                </c:pt>
                <c:pt idx="132">
                  <c:v>40449.218418879987</c:v>
                </c:pt>
                <c:pt idx="133">
                  <c:v>32975.40545197999</c:v>
                </c:pt>
                <c:pt idx="134">
                  <c:v>31532.32176707999</c:v>
                </c:pt>
                <c:pt idx="135">
                  <c:v>29866.559075029989</c:v>
                </c:pt>
                <c:pt idx="136">
                  <c:v>31822.082744529987</c:v>
                </c:pt>
                <c:pt idx="137">
                  <c:v>35238.471943979988</c:v>
                </c:pt>
                <c:pt idx="138">
                  <c:v>34836.04052627999</c:v>
                </c:pt>
                <c:pt idx="139">
                  <c:v>32700.026903629991</c:v>
                </c:pt>
                <c:pt idx="140">
                  <c:v>34310.952396429988</c:v>
                </c:pt>
                <c:pt idx="141">
                  <c:v>34879.546396829988</c:v>
                </c:pt>
                <c:pt idx="142">
                  <c:v>34552.166402029987</c:v>
                </c:pt>
                <c:pt idx="143">
                  <c:v>33591.889715879988</c:v>
                </c:pt>
                <c:pt idx="144">
                  <c:v>30238.98535427999</c:v>
                </c:pt>
                <c:pt idx="145">
                  <c:v>32686.467336329992</c:v>
                </c:pt>
                <c:pt idx="146">
                  <c:v>32241.509263479991</c:v>
                </c:pt>
                <c:pt idx="147">
                  <c:v>31351.276479929991</c:v>
                </c:pt>
                <c:pt idx="148">
                  <c:v>32195.56223847999</c:v>
                </c:pt>
                <c:pt idx="149">
                  <c:v>33883.900421329992</c:v>
                </c:pt>
                <c:pt idx="150">
                  <c:v>33686.593191129992</c:v>
                </c:pt>
                <c:pt idx="151">
                  <c:v>33099.041360729992</c:v>
                </c:pt>
                <c:pt idx="152">
                  <c:v>34319.880091729996</c:v>
                </c:pt>
                <c:pt idx="153">
                  <c:v>36080.632213129997</c:v>
                </c:pt>
                <c:pt idx="154">
                  <c:v>35833.298008329999</c:v>
                </c:pt>
                <c:pt idx="155">
                  <c:v>35265.767490329999</c:v>
                </c:pt>
                <c:pt idx="156">
                  <c:v>36544.563186580002</c:v>
                </c:pt>
                <c:pt idx="157">
                  <c:v>37978.188647330004</c:v>
                </c:pt>
                <c:pt idx="158">
                  <c:v>37753.372938480003</c:v>
                </c:pt>
                <c:pt idx="159">
                  <c:v>37300.91454618</c:v>
                </c:pt>
                <c:pt idx="160">
                  <c:v>38457.35263288</c:v>
                </c:pt>
                <c:pt idx="161">
                  <c:v>39573.831398379996</c:v>
                </c:pt>
                <c:pt idx="162">
                  <c:v>39313.993738229998</c:v>
                </c:pt>
                <c:pt idx="163">
                  <c:v>38906.563569029997</c:v>
                </c:pt>
                <c:pt idx="164">
                  <c:v>39965.607112879996</c:v>
                </c:pt>
                <c:pt idx="165">
                  <c:v>40867.319324279997</c:v>
                </c:pt>
                <c:pt idx="166">
                  <c:v>40647.506751329995</c:v>
                </c:pt>
                <c:pt idx="167">
                  <c:v>40352.642755479996</c:v>
                </c:pt>
                <c:pt idx="168">
                  <c:v>40291.882659729992</c:v>
                </c:pt>
                <c:pt idx="169">
                  <c:v>41191.102071979993</c:v>
                </c:pt>
                <c:pt idx="170">
                  <c:v>41006.311450329995</c:v>
                </c:pt>
                <c:pt idx="171">
                  <c:v>40646.411072179995</c:v>
                </c:pt>
                <c:pt idx="172">
                  <c:v>42052.567513879992</c:v>
                </c:pt>
                <c:pt idx="173">
                  <c:v>42859.395519179991</c:v>
                </c:pt>
                <c:pt idx="174">
                  <c:v>42519.507684629993</c:v>
                </c:pt>
                <c:pt idx="175">
                  <c:v>42207.137097529994</c:v>
                </c:pt>
                <c:pt idx="176">
                  <c:v>43428.497572129992</c:v>
                </c:pt>
                <c:pt idx="177">
                  <c:v>44020.567792129994</c:v>
                </c:pt>
                <c:pt idx="178">
                  <c:v>43700.69250117999</c:v>
                </c:pt>
                <c:pt idx="179">
                  <c:v>43453.358296379993</c:v>
                </c:pt>
                <c:pt idx="180">
                  <c:v>44567.339878329993</c:v>
                </c:pt>
                <c:pt idx="181">
                  <c:v>45666.338358979992</c:v>
                </c:pt>
                <c:pt idx="182">
                  <c:v>45326.450524429994</c:v>
                </c:pt>
                <c:pt idx="183">
                  <c:v>44946.537602679993</c:v>
                </c:pt>
                <c:pt idx="184">
                  <c:v>42329.379204379991</c:v>
                </c:pt>
                <c:pt idx="185">
                  <c:v>44282.418843529995</c:v>
                </c:pt>
                <c:pt idx="186">
                  <c:v>43679.866374229998</c:v>
                </c:pt>
                <c:pt idx="187">
                  <c:v>42857.175925329997</c:v>
                </c:pt>
                <c:pt idx="188">
                  <c:v>44091.022317679999</c:v>
                </c:pt>
                <c:pt idx="189">
                  <c:v>45479.694090129997</c:v>
                </c:pt>
                <c:pt idx="190">
                  <c:v>45189.837614579999</c:v>
                </c:pt>
                <c:pt idx="191">
                  <c:v>44759.888949430002</c:v>
                </c:pt>
                <c:pt idx="192">
                  <c:v>46068.650848280005</c:v>
                </c:pt>
                <c:pt idx="193">
                  <c:v>47132.693143630007</c:v>
                </c:pt>
                <c:pt idx="194">
                  <c:v>46797.808444980008</c:v>
                </c:pt>
                <c:pt idx="195">
                  <c:v>46505.450401480011</c:v>
                </c:pt>
                <c:pt idx="196">
                  <c:v>47337.25024228001</c:v>
                </c:pt>
                <c:pt idx="197">
                  <c:v>48698.457380080014</c:v>
                </c:pt>
                <c:pt idx="198">
                  <c:v>48511.160806080014</c:v>
                </c:pt>
                <c:pt idx="199">
                  <c:v>48071.210253530015</c:v>
                </c:pt>
                <c:pt idx="200">
                  <c:v>48813.111486530011</c:v>
                </c:pt>
                <c:pt idx="201">
                  <c:v>49390.202989630008</c:v>
                </c:pt>
                <c:pt idx="202">
                  <c:v>49180.39668848001</c:v>
                </c:pt>
                <c:pt idx="203">
                  <c:v>48960.584115530008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5-422F-B1B3-F846CC71A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623647"/>
        <c:axId val="820624063"/>
      </c:lineChart>
      <c:catAx>
        <c:axId val="82062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24063"/>
        <c:crosses val="autoZero"/>
        <c:auto val="1"/>
        <c:lblAlgn val="ctr"/>
        <c:lblOffset val="100"/>
        <c:noMultiLvlLbl val="0"/>
      </c:catAx>
      <c:valAx>
        <c:axId val="8206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2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47625</xdr:colOff>
      <xdr:row>86</xdr:row>
      <xdr:rowOff>47631</xdr:rowOff>
    </xdr:from>
    <xdr:to>
      <xdr:col>30</xdr:col>
      <xdr:colOff>76200</xdr:colOff>
      <xdr:row>100</xdr:row>
      <xdr:rowOff>123831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"/>
  <sheetViews>
    <sheetView topLeftCell="A221" zoomScaleNormal="100" workbookViewId="0">
      <selection activeCell="B248" sqref="B248"/>
    </sheetView>
  </sheetViews>
  <sheetFormatPr defaultRowHeight="15" x14ac:dyDescent="0.25"/>
  <cols>
    <col min="1" max="1" width="11.85546875" bestFit="1" customWidth="1"/>
    <col min="2" max="2" width="10.7109375" customWidth="1"/>
  </cols>
  <sheetData>
    <row r="1" spans="1:11" x14ac:dyDescent="0.25">
      <c r="A1" s="2" t="s">
        <v>0</v>
      </c>
      <c r="B1" s="2" t="s">
        <v>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7</v>
      </c>
      <c r="I1" s="2" t="s">
        <v>8</v>
      </c>
      <c r="J1" s="5" t="s">
        <v>7</v>
      </c>
      <c r="K1" s="2" t="s">
        <v>8</v>
      </c>
    </row>
    <row r="2" spans="1:11" x14ac:dyDescent="0.25">
      <c r="A2" s="1">
        <v>44593</v>
      </c>
      <c r="B2" s="1" t="str">
        <f>TEXT(A2,"dddd")</f>
        <v>Tuesday</v>
      </c>
      <c r="C2">
        <v>17529.449218999998</v>
      </c>
      <c r="D2">
        <v>17622.400390999999</v>
      </c>
      <c r="E2">
        <v>17244.550781000002</v>
      </c>
      <c r="F2">
        <v>17576.849609000001</v>
      </c>
      <c r="G2">
        <v>17576.849609000001</v>
      </c>
      <c r="H2">
        <f>IF(B2="Friday",CEILING(G2+250,50),0)</f>
        <v>0</v>
      </c>
      <c r="I2">
        <f>IF(B2="Friday",FLOOR(G2-250,50),0)</f>
        <v>0</v>
      </c>
    </row>
    <row r="3" spans="1:11" x14ac:dyDescent="0.25">
      <c r="A3" s="1">
        <v>44594</v>
      </c>
      <c r="B3" s="1" t="str">
        <f t="shared" ref="B3:B66" si="0">TEXT(A3,"dddd")</f>
        <v>Wednesday</v>
      </c>
      <c r="C3">
        <v>17706.199218999998</v>
      </c>
      <c r="D3">
        <v>17794.599609000001</v>
      </c>
      <c r="E3">
        <v>17674.800781000002</v>
      </c>
      <c r="F3">
        <v>17780</v>
      </c>
      <c r="G3">
        <v>17780</v>
      </c>
      <c r="H3">
        <f t="shared" ref="H3:H66" si="1">IF(B3="Friday",CEILING(G3+250,50),0)</f>
        <v>0</v>
      </c>
      <c r="I3">
        <f t="shared" ref="I3:I66" si="2">IF(B3="Friday",FLOOR(G3-250,50),0)</f>
        <v>0</v>
      </c>
    </row>
    <row r="4" spans="1:11" x14ac:dyDescent="0.25">
      <c r="A4" s="1">
        <v>44595</v>
      </c>
      <c r="B4" s="1" t="str">
        <f t="shared" si="0"/>
        <v>Thursday</v>
      </c>
      <c r="C4">
        <v>17767.75</v>
      </c>
      <c r="D4">
        <v>17781.150390999999</v>
      </c>
      <c r="E4">
        <v>17511.150390999999</v>
      </c>
      <c r="F4">
        <v>17560.199218999998</v>
      </c>
      <c r="G4">
        <v>17560.199218999998</v>
      </c>
      <c r="H4">
        <f t="shared" si="1"/>
        <v>0</v>
      </c>
      <c r="I4">
        <f t="shared" si="2"/>
        <v>0</v>
      </c>
    </row>
    <row r="5" spans="1:11" x14ac:dyDescent="0.25">
      <c r="A5" s="1">
        <v>44596</v>
      </c>
      <c r="B5" s="1" t="str">
        <f t="shared" si="0"/>
        <v>Friday</v>
      </c>
      <c r="C5">
        <v>17590.199218999998</v>
      </c>
      <c r="D5">
        <v>17617.800781000002</v>
      </c>
      <c r="E5">
        <v>17462.550781000002</v>
      </c>
      <c r="F5">
        <v>17516.300781000002</v>
      </c>
      <c r="G5">
        <v>17516.300781000002</v>
      </c>
      <c r="H5">
        <f t="shared" si="1"/>
        <v>17800</v>
      </c>
      <c r="I5">
        <f t="shared" si="2"/>
        <v>17250</v>
      </c>
      <c r="J5">
        <f>IF(H5=0,0,H5+250)</f>
        <v>18050</v>
      </c>
      <c r="K5">
        <f>IF(I5=0,0,I5-250)</f>
        <v>17000</v>
      </c>
    </row>
    <row r="6" spans="1:11" x14ac:dyDescent="0.25">
      <c r="A6" s="1">
        <v>44599</v>
      </c>
      <c r="B6" s="1" t="str">
        <f t="shared" si="0"/>
        <v>Monday</v>
      </c>
      <c r="C6">
        <v>17456.300781000002</v>
      </c>
      <c r="D6">
        <v>17536.75</v>
      </c>
      <c r="E6">
        <v>17119.400390999999</v>
      </c>
      <c r="F6">
        <v>17213.599609000001</v>
      </c>
      <c r="G6">
        <v>17213.599609000001</v>
      </c>
      <c r="H6">
        <f t="shared" si="1"/>
        <v>0</v>
      </c>
      <c r="I6">
        <f t="shared" si="2"/>
        <v>0</v>
      </c>
      <c r="J6">
        <f t="shared" ref="J6:J69" si="3">IF(H6=0,0,H6+250)</f>
        <v>0</v>
      </c>
      <c r="K6">
        <f t="shared" ref="K6:K69" si="4">IF(I6=0,0,I6-250)</f>
        <v>0</v>
      </c>
    </row>
    <row r="7" spans="1:11" x14ac:dyDescent="0.25">
      <c r="A7" s="1">
        <v>44600</v>
      </c>
      <c r="B7" s="1" t="str">
        <f t="shared" si="0"/>
        <v>Tuesday</v>
      </c>
      <c r="C7">
        <v>17279.849609000001</v>
      </c>
      <c r="D7">
        <v>17306.449218999998</v>
      </c>
      <c r="E7">
        <v>17043.650390999999</v>
      </c>
      <c r="F7">
        <v>17266.75</v>
      </c>
      <c r="G7">
        <v>17266.75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0</v>
      </c>
    </row>
    <row r="8" spans="1:11" x14ac:dyDescent="0.25">
      <c r="A8" s="1">
        <v>44601</v>
      </c>
      <c r="B8" s="1" t="str">
        <f t="shared" si="0"/>
        <v>Wednesday</v>
      </c>
      <c r="C8">
        <v>17370.099609000001</v>
      </c>
      <c r="D8">
        <v>17477.150390999999</v>
      </c>
      <c r="E8">
        <v>17339</v>
      </c>
      <c r="F8">
        <v>17463.800781000002</v>
      </c>
      <c r="G8">
        <v>17463.800781000002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4"/>
        <v>0</v>
      </c>
    </row>
    <row r="9" spans="1:11" x14ac:dyDescent="0.25">
      <c r="A9" s="1">
        <v>44602</v>
      </c>
      <c r="B9" s="1" t="str">
        <f t="shared" si="0"/>
        <v>Thursday</v>
      </c>
      <c r="C9">
        <v>17554.099609000001</v>
      </c>
      <c r="D9">
        <v>17639.449218999998</v>
      </c>
      <c r="E9">
        <v>17427.150390999999</v>
      </c>
      <c r="F9">
        <v>17605.849609000001</v>
      </c>
      <c r="G9">
        <v>17605.849609000001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</row>
    <row r="10" spans="1:11" x14ac:dyDescent="0.25">
      <c r="A10" s="1">
        <v>44603</v>
      </c>
      <c r="B10" s="1" t="str">
        <f t="shared" si="0"/>
        <v>Friday</v>
      </c>
      <c r="C10">
        <v>17451</v>
      </c>
      <c r="D10">
        <v>17454.75</v>
      </c>
      <c r="E10">
        <v>17303</v>
      </c>
      <c r="F10">
        <v>17374.75</v>
      </c>
      <c r="G10">
        <v>17374.75</v>
      </c>
      <c r="H10">
        <f t="shared" si="1"/>
        <v>17650</v>
      </c>
      <c r="I10">
        <f t="shared" si="2"/>
        <v>17100</v>
      </c>
      <c r="J10">
        <f t="shared" si="3"/>
        <v>17900</v>
      </c>
      <c r="K10">
        <f t="shared" si="4"/>
        <v>16850</v>
      </c>
    </row>
    <row r="11" spans="1:11" x14ac:dyDescent="0.25">
      <c r="A11" s="1">
        <v>44606</v>
      </c>
      <c r="B11" s="1" t="str">
        <f t="shared" si="0"/>
        <v>Monday</v>
      </c>
      <c r="C11">
        <v>17076.150390999999</v>
      </c>
      <c r="D11">
        <v>17099.5</v>
      </c>
      <c r="E11">
        <v>16809.650390999999</v>
      </c>
      <c r="F11">
        <v>16842.800781000002</v>
      </c>
      <c r="G11">
        <v>16842.800781000002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0</v>
      </c>
    </row>
    <row r="12" spans="1:11" x14ac:dyDescent="0.25">
      <c r="A12" s="1">
        <v>44607</v>
      </c>
      <c r="B12" s="1" t="str">
        <f t="shared" si="0"/>
        <v>Tuesday</v>
      </c>
      <c r="C12">
        <v>16933.25</v>
      </c>
      <c r="D12">
        <v>17375</v>
      </c>
      <c r="E12">
        <v>16839.25</v>
      </c>
      <c r="F12">
        <v>17352.449218999998</v>
      </c>
      <c r="G12">
        <v>17352.449218999998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</row>
    <row r="13" spans="1:11" x14ac:dyDescent="0.25">
      <c r="A13" s="1">
        <v>44608</v>
      </c>
      <c r="B13" s="1" t="str">
        <f t="shared" si="0"/>
        <v>Wednesday</v>
      </c>
      <c r="C13">
        <v>17408.449218999998</v>
      </c>
      <c r="D13">
        <v>17490.599609000001</v>
      </c>
      <c r="E13">
        <v>17257.699218999998</v>
      </c>
      <c r="F13">
        <v>17322.199218999998</v>
      </c>
      <c r="G13">
        <v>17322.199218999998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</row>
    <row r="14" spans="1:11" x14ac:dyDescent="0.25">
      <c r="A14" s="1">
        <v>44609</v>
      </c>
      <c r="B14" s="1" t="str">
        <f t="shared" si="0"/>
        <v>Thursday</v>
      </c>
      <c r="C14">
        <v>17396.550781000002</v>
      </c>
      <c r="D14">
        <v>17442.900390999999</v>
      </c>
      <c r="E14">
        <v>17235.849609000001</v>
      </c>
      <c r="F14">
        <v>17304.599609000001</v>
      </c>
      <c r="G14">
        <v>17304.599609000001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0</v>
      </c>
    </row>
    <row r="15" spans="1:11" x14ac:dyDescent="0.25">
      <c r="A15" s="1">
        <v>44610</v>
      </c>
      <c r="B15" s="1" t="str">
        <f t="shared" si="0"/>
        <v>Friday</v>
      </c>
      <c r="C15">
        <v>17236.050781000002</v>
      </c>
      <c r="D15">
        <v>17380.800781000002</v>
      </c>
      <c r="E15">
        <v>17219.199218999998</v>
      </c>
      <c r="F15">
        <v>17276.300781000002</v>
      </c>
      <c r="G15">
        <v>17276.300781000002</v>
      </c>
      <c r="H15">
        <f t="shared" si="1"/>
        <v>17550</v>
      </c>
      <c r="I15">
        <f t="shared" si="2"/>
        <v>17000</v>
      </c>
      <c r="J15">
        <f t="shared" si="3"/>
        <v>17800</v>
      </c>
      <c r="K15">
        <f t="shared" si="4"/>
        <v>16750</v>
      </c>
    </row>
    <row r="16" spans="1:11" x14ac:dyDescent="0.25">
      <c r="A16" s="1">
        <v>44613</v>
      </c>
      <c r="B16" s="1" t="str">
        <f t="shared" si="0"/>
        <v>Monday</v>
      </c>
      <c r="C16">
        <v>17192.25</v>
      </c>
      <c r="D16">
        <v>17351.050781000002</v>
      </c>
      <c r="E16">
        <v>17070.699218999998</v>
      </c>
      <c r="F16">
        <v>17206.650390999999</v>
      </c>
      <c r="G16">
        <v>17206.650390999999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</row>
    <row r="17" spans="1:11" x14ac:dyDescent="0.25">
      <c r="A17" s="1">
        <v>44614</v>
      </c>
      <c r="B17" s="1" t="str">
        <f t="shared" si="0"/>
        <v>Tuesday</v>
      </c>
      <c r="C17">
        <v>16847.949218999998</v>
      </c>
      <c r="D17">
        <v>17148.550781000002</v>
      </c>
      <c r="E17">
        <v>16843.800781000002</v>
      </c>
      <c r="F17">
        <v>17092.199218999998</v>
      </c>
      <c r="G17">
        <v>17092.199218999998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4"/>
        <v>0</v>
      </c>
    </row>
    <row r="18" spans="1:11" x14ac:dyDescent="0.25">
      <c r="A18" s="1">
        <v>44615</v>
      </c>
      <c r="B18" s="1" t="str">
        <f t="shared" si="0"/>
        <v>Wednesday</v>
      </c>
      <c r="C18">
        <v>17194.5</v>
      </c>
      <c r="D18">
        <f>INDEX(Nifty!A1:K251,MATCH('Iron Condor (Hedge)'!B18,Nifty!A1:A251),)</f>
        <v>16456</v>
      </c>
      <c r="E18">
        <v>17027.849609000001</v>
      </c>
      <c r="F18">
        <v>17063.25</v>
      </c>
      <c r="G18">
        <v>17063.25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4"/>
        <v>0</v>
      </c>
    </row>
    <row r="19" spans="1:11" x14ac:dyDescent="0.25">
      <c r="A19" s="1">
        <v>44616</v>
      </c>
      <c r="B19" s="1" t="str">
        <f t="shared" si="0"/>
        <v>Thursday</v>
      </c>
      <c r="C19">
        <v>16548.900390999999</v>
      </c>
      <c r="D19">
        <v>16705.25</v>
      </c>
      <c r="E19">
        <v>16203.25</v>
      </c>
      <c r="F19">
        <v>16247.950194999999</v>
      </c>
      <c r="G19">
        <v>16247.950194999999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</row>
    <row r="20" spans="1:11" x14ac:dyDescent="0.25">
      <c r="A20" s="1">
        <v>44617</v>
      </c>
      <c r="B20" s="1" t="str">
        <f t="shared" si="0"/>
        <v>Friday</v>
      </c>
      <c r="C20">
        <v>16515.650390999999</v>
      </c>
      <c r="D20">
        <v>16748.800781000002</v>
      </c>
      <c r="E20">
        <v>16478.300781000002</v>
      </c>
      <c r="F20">
        <v>16658.400390999999</v>
      </c>
      <c r="G20">
        <v>16658.400390999999</v>
      </c>
      <c r="H20">
        <f t="shared" si="1"/>
        <v>16950</v>
      </c>
      <c r="I20">
        <f t="shared" si="2"/>
        <v>16400</v>
      </c>
      <c r="J20">
        <f t="shared" si="3"/>
        <v>17200</v>
      </c>
      <c r="K20">
        <f t="shared" si="4"/>
        <v>16150</v>
      </c>
    </row>
    <row r="21" spans="1:11" x14ac:dyDescent="0.25">
      <c r="A21" s="1">
        <v>44620</v>
      </c>
      <c r="B21" s="1" t="str">
        <f t="shared" si="0"/>
        <v>Monday</v>
      </c>
      <c r="C21">
        <v>16481.599609000001</v>
      </c>
      <c r="D21">
        <v>16815.900390999999</v>
      </c>
      <c r="E21">
        <v>16356.299805000001</v>
      </c>
      <c r="F21">
        <v>16793.900390999999</v>
      </c>
      <c r="G21">
        <v>16793.900390999999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4"/>
        <v>0</v>
      </c>
    </row>
    <row r="22" spans="1:11" x14ac:dyDescent="0.25">
      <c r="A22" s="1">
        <v>44622</v>
      </c>
      <c r="B22" s="1" t="str">
        <f t="shared" si="0"/>
        <v>Wednesday</v>
      </c>
      <c r="C22">
        <v>16593.099609000001</v>
      </c>
      <c r="D22">
        <v>16678.5</v>
      </c>
      <c r="E22">
        <v>16478.650390999999</v>
      </c>
      <c r="F22">
        <v>16605.949218999998</v>
      </c>
      <c r="G22">
        <v>16605.949218999998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</row>
    <row r="23" spans="1:11" x14ac:dyDescent="0.25">
      <c r="A23" s="1">
        <v>44623</v>
      </c>
      <c r="B23" s="1" t="str">
        <f t="shared" si="0"/>
        <v>Thursday</v>
      </c>
      <c r="C23">
        <v>16723.199218999998</v>
      </c>
      <c r="D23">
        <v>16768.949218999998</v>
      </c>
      <c r="E23">
        <v>16442.949218999998</v>
      </c>
      <c r="F23">
        <v>16498.050781000002</v>
      </c>
      <c r="G23">
        <v>16498.050781000002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0</v>
      </c>
    </row>
    <row r="24" spans="1:11" x14ac:dyDescent="0.25">
      <c r="A24" s="1">
        <v>44624</v>
      </c>
      <c r="B24" s="1" t="str">
        <f t="shared" si="0"/>
        <v>Friday</v>
      </c>
      <c r="C24">
        <v>16339.450194999999</v>
      </c>
      <c r="D24">
        <v>16456</v>
      </c>
      <c r="E24">
        <v>16133.799805000001</v>
      </c>
      <c r="F24">
        <v>16245.349609000001</v>
      </c>
      <c r="G24">
        <v>16245.349609000001</v>
      </c>
      <c r="H24">
        <f t="shared" si="1"/>
        <v>16500</v>
      </c>
      <c r="I24">
        <f t="shared" si="2"/>
        <v>15950</v>
      </c>
      <c r="J24">
        <f t="shared" si="3"/>
        <v>16750</v>
      </c>
      <c r="K24">
        <f t="shared" si="4"/>
        <v>15700</v>
      </c>
    </row>
    <row r="25" spans="1:11" x14ac:dyDescent="0.25">
      <c r="A25" s="1">
        <v>44627</v>
      </c>
      <c r="B25" s="1" t="str">
        <f t="shared" si="0"/>
        <v>Monday</v>
      </c>
      <c r="C25">
        <v>15867.950194999999</v>
      </c>
      <c r="D25">
        <v>15944.599609000001</v>
      </c>
      <c r="E25">
        <v>15711.450194999999</v>
      </c>
      <c r="F25">
        <v>15863.150390999999</v>
      </c>
      <c r="G25">
        <v>15863.150390999999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</row>
    <row r="26" spans="1:11" x14ac:dyDescent="0.25">
      <c r="A26" s="1">
        <v>44628</v>
      </c>
      <c r="B26" s="1" t="str">
        <f t="shared" si="0"/>
        <v>Tuesday</v>
      </c>
      <c r="C26">
        <v>15747.75</v>
      </c>
      <c r="D26">
        <v>16028.75</v>
      </c>
      <c r="E26">
        <v>15671.450194999999</v>
      </c>
      <c r="F26">
        <v>16013.450194999999</v>
      </c>
      <c r="G26">
        <v>16013.450194999999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4"/>
        <v>0</v>
      </c>
    </row>
    <row r="27" spans="1:11" x14ac:dyDescent="0.25">
      <c r="A27" s="1">
        <v>44629</v>
      </c>
      <c r="B27" s="1" t="str">
        <f t="shared" si="0"/>
        <v>Wednesday</v>
      </c>
      <c r="C27">
        <v>16078</v>
      </c>
      <c r="D27">
        <v>16418.050781000002</v>
      </c>
      <c r="E27">
        <v>15990</v>
      </c>
      <c r="F27">
        <v>16345.349609000001</v>
      </c>
      <c r="G27">
        <v>16345.349609000001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0</v>
      </c>
    </row>
    <row r="28" spans="1:11" x14ac:dyDescent="0.25">
      <c r="A28" s="1">
        <v>44630</v>
      </c>
      <c r="B28" s="1" t="str">
        <f t="shared" si="0"/>
        <v>Thursday</v>
      </c>
      <c r="C28">
        <v>16757.099609000001</v>
      </c>
      <c r="D28">
        <v>16757.300781000002</v>
      </c>
      <c r="E28">
        <v>16447.900390999999</v>
      </c>
      <c r="F28">
        <v>16594.900390999999</v>
      </c>
      <c r="G28">
        <v>16594.900390999999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</row>
    <row r="29" spans="1:11" x14ac:dyDescent="0.25">
      <c r="A29" s="1">
        <v>44631</v>
      </c>
      <c r="B29" s="1" t="str">
        <f t="shared" si="0"/>
        <v>Friday</v>
      </c>
      <c r="C29">
        <v>16528.800781000002</v>
      </c>
      <c r="D29">
        <v>16694.400390999999</v>
      </c>
      <c r="E29">
        <v>16470.900390999999</v>
      </c>
      <c r="F29">
        <v>16630.449218999998</v>
      </c>
      <c r="G29">
        <v>16630.449218999998</v>
      </c>
      <c r="H29">
        <f t="shared" si="1"/>
        <v>16900</v>
      </c>
      <c r="I29">
        <f t="shared" si="2"/>
        <v>16350</v>
      </c>
      <c r="J29">
        <f t="shared" si="3"/>
        <v>17150</v>
      </c>
      <c r="K29">
        <f t="shared" si="4"/>
        <v>16100</v>
      </c>
    </row>
    <row r="30" spans="1:11" x14ac:dyDescent="0.25">
      <c r="A30" s="1">
        <v>44634</v>
      </c>
      <c r="B30" s="1" t="str">
        <f t="shared" si="0"/>
        <v>Monday</v>
      </c>
      <c r="C30">
        <v>16633.699218999998</v>
      </c>
      <c r="D30">
        <v>16887.949218999998</v>
      </c>
      <c r="E30">
        <v>16606.5</v>
      </c>
      <c r="F30">
        <v>16871.300781000002</v>
      </c>
      <c r="G30">
        <v>16871.300781000002</v>
      </c>
      <c r="H30">
        <f t="shared" si="1"/>
        <v>0</v>
      </c>
      <c r="I30">
        <f t="shared" si="2"/>
        <v>0</v>
      </c>
      <c r="J30">
        <f t="shared" si="3"/>
        <v>0</v>
      </c>
      <c r="K30">
        <f t="shared" si="4"/>
        <v>0</v>
      </c>
    </row>
    <row r="31" spans="1:11" x14ac:dyDescent="0.25">
      <c r="A31" s="1">
        <v>44635</v>
      </c>
      <c r="B31" s="1" t="str">
        <f t="shared" si="0"/>
        <v>Tuesday</v>
      </c>
      <c r="C31">
        <v>16900.650390999999</v>
      </c>
      <c r="D31">
        <v>16927.75</v>
      </c>
      <c r="E31">
        <v>16555</v>
      </c>
      <c r="F31">
        <v>16663</v>
      </c>
      <c r="G31">
        <v>16663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</row>
    <row r="32" spans="1:11" x14ac:dyDescent="0.25">
      <c r="A32" s="1">
        <v>44636</v>
      </c>
      <c r="B32" s="1" t="str">
        <f t="shared" si="0"/>
        <v>Wednesday</v>
      </c>
      <c r="C32">
        <v>16876.650390999999</v>
      </c>
      <c r="D32">
        <v>16987.900390999999</v>
      </c>
      <c r="E32">
        <v>16837.849609000001</v>
      </c>
      <c r="F32">
        <v>16975.349609000001</v>
      </c>
      <c r="G32">
        <v>16975.349609000001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4"/>
        <v>0</v>
      </c>
    </row>
    <row r="33" spans="1:11" x14ac:dyDescent="0.25">
      <c r="A33" s="1">
        <v>44637</v>
      </c>
      <c r="B33" s="1" t="str">
        <f t="shared" si="0"/>
        <v>Thursday</v>
      </c>
      <c r="C33">
        <v>17202.900390999999</v>
      </c>
      <c r="D33">
        <v>17344.599609000001</v>
      </c>
      <c r="E33">
        <v>17175.75</v>
      </c>
      <c r="F33">
        <v>17287.050781000002</v>
      </c>
      <c r="G33">
        <v>17287.050781000002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4"/>
        <v>0</v>
      </c>
    </row>
    <row r="34" spans="1:11" x14ac:dyDescent="0.25">
      <c r="A34" s="1">
        <v>44641</v>
      </c>
      <c r="B34" s="13" t="str">
        <f t="shared" si="0"/>
        <v>Monday</v>
      </c>
      <c r="C34">
        <v>17329.5</v>
      </c>
      <c r="D34">
        <v>17353.349609000001</v>
      </c>
      <c r="E34">
        <v>17096.400390999999</v>
      </c>
      <c r="F34">
        <v>17117.599609000001</v>
      </c>
      <c r="G34">
        <v>17117.599609000001</v>
      </c>
      <c r="H34">
        <f>IF(B34="Monday",CEILING(G34+250,50),0)</f>
        <v>17400</v>
      </c>
      <c r="I34">
        <f>IF(B34="Monday",FLOOR(G34-250,50),0)</f>
        <v>16850</v>
      </c>
      <c r="J34">
        <f t="shared" si="3"/>
        <v>17650</v>
      </c>
      <c r="K34">
        <f t="shared" si="4"/>
        <v>16600</v>
      </c>
    </row>
    <row r="35" spans="1:11" x14ac:dyDescent="0.25">
      <c r="A35" s="1">
        <v>44642</v>
      </c>
      <c r="B35" s="1" t="str">
        <f t="shared" si="0"/>
        <v>Tuesday</v>
      </c>
      <c r="C35">
        <v>17120.400390999999</v>
      </c>
      <c r="D35">
        <v>17334.400390999999</v>
      </c>
      <c r="E35">
        <v>17006.300781000002</v>
      </c>
      <c r="F35">
        <v>17315.5</v>
      </c>
      <c r="G35">
        <v>17315.5</v>
      </c>
      <c r="H35">
        <f t="shared" si="1"/>
        <v>0</v>
      </c>
      <c r="I35">
        <f t="shared" si="2"/>
        <v>0</v>
      </c>
      <c r="J35">
        <f t="shared" si="3"/>
        <v>0</v>
      </c>
      <c r="K35">
        <f t="shared" si="4"/>
        <v>0</v>
      </c>
    </row>
    <row r="36" spans="1:11" x14ac:dyDescent="0.25">
      <c r="A36" s="1">
        <v>44643</v>
      </c>
      <c r="B36" s="1" t="str">
        <f t="shared" si="0"/>
        <v>Wednesday</v>
      </c>
      <c r="C36">
        <v>17405.050781000002</v>
      </c>
      <c r="D36">
        <v>17442.400390999999</v>
      </c>
      <c r="E36">
        <v>17199.599609000001</v>
      </c>
      <c r="F36">
        <v>17245.650390999999</v>
      </c>
      <c r="G36">
        <v>17245.650390999999</v>
      </c>
      <c r="H36">
        <f t="shared" si="1"/>
        <v>0</v>
      </c>
      <c r="I36">
        <f t="shared" si="2"/>
        <v>0</v>
      </c>
      <c r="J36">
        <f t="shared" si="3"/>
        <v>0</v>
      </c>
      <c r="K36">
        <f t="shared" si="4"/>
        <v>0</v>
      </c>
    </row>
    <row r="37" spans="1:11" x14ac:dyDescent="0.25">
      <c r="A37" s="1">
        <v>44644</v>
      </c>
      <c r="B37" s="1" t="str">
        <f t="shared" si="0"/>
        <v>Thursday</v>
      </c>
      <c r="C37">
        <v>17094.949218999998</v>
      </c>
      <c r="D37">
        <v>17291.75</v>
      </c>
      <c r="E37">
        <v>17091.150390999999</v>
      </c>
      <c r="F37">
        <v>17222.75</v>
      </c>
      <c r="G37">
        <v>17222.75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</row>
    <row r="38" spans="1:11" x14ac:dyDescent="0.25">
      <c r="A38" s="1">
        <v>44645</v>
      </c>
      <c r="B38" s="1" t="str">
        <f t="shared" si="0"/>
        <v>Friday</v>
      </c>
      <c r="C38">
        <v>17289</v>
      </c>
      <c r="D38">
        <v>17294.900390999999</v>
      </c>
      <c r="E38">
        <v>17076.550781000002</v>
      </c>
      <c r="F38">
        <v>17153</v>
      </c>
      <c r="G38">
        <v>17153</v>
      </c>
      <c r="H38">
        <f t="shared" si="1"/>
        <v>17450</v>
      </c>
      <c r="I38">
        <f t="shared" si="2"/>
        <v>16900</v>
      </c>
      <c r="J38">
        <f t="shared" si="3"/>
        <v>17700</v>
      </c>
      <c r="K38">
        <f t="shared" si="4"/>
        <v>16650</v>
      </c>
    </row>
    <row r="39" spans="1:11" x14ac:dyDescent="0.25">
      <c r="A39" s="1">
        <v>44648</v>
      </c>
      <c r="B39" s="1" t="str">
        <f t="shared" si="0"/>
        <v>Monday</v>
      </c>
      <c r="C39">
        <v>17181.849609000001</v>
      </c>
      <c r="D39">
        <v>17235.099609000001</v>
      </c>
      <c r="E39">
        <v>17003.900390999999</v>
      </c>
      <c r="F39">
        <v>17222</v>
      </c>
      <c r="G39">
        <v>17222</v>
      </c>
      <c r="H39">
        <f t="shared" si="1"/>
        <v>0</v>
      </c>
      <c r="I39">
        <f t="shared" si="2"/>
        <v>0</v>
      </c>
      <c r="J39">
        <f t="shared" si="3"/>
        <v>0</v>
      </c>
      <c r="K39">
        <f t="shared" si="4"/>
        <v>0</v>
      </c>
    </row>
    <row r="40" spans="1:11" x14ac:dyDescent="0.25">
      <c r="A40" s="1">
        <v>44649</v>
      </c>
      <c r="B40" s="1" t="str">
        <f t="shared" si="0"/>
        <v>Tuesday</v>
      </c>
      <c r="C40">
        <v>17297.199218999998</v>
      </c>
      <c r="D40">
        <v>17343.650390999999</v>
      </c>
      <c r="E40">
        <v>17235.699218999998</v>
      </c>
      <c r="F40">
        <v>17325.300781000002</v>
      </c>
      <c r="G40">
        <v>17325.300781000002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0</v>
      </c>
    </row>
    <row r="41" spans="1:11" x14ac:dyDescent="0.25">
      <c r="A41" s="1">
        <v>44650</v>
      </c>
      <c r="B41" s="1" t="str">
        <f t="shared" si="0"/>
        <v>Wednesday</v>
      </c>
      <c r="C41">
        <v>17468.150390999999</v>
      </c>
      <c r="D41">
        <v>17522.5</v>
      </c>
      <c r="E41">
        <v>17387.199218999998</v>
      </c>
      <c r="F41">
        <v>17498.25</v>
      </c>
      <c r="G41">
        <v>17498.25</v>
      </c>
      <c r="H41">
        <f t="shared" si="1"/>
        <v>0</v>
      </c>
      <c r="I41">
        <f t="shared" si="2"/>
        <v>0</v>
      </c>
      <c r="J41">
        <f t="shared" si="3"/>
        <v>0</v>
      </c>
      <c r="K41">
        <f t="shared" si="4"/>
        <v>0</v>
      </c>
    </row>
    <row r="42" spans="1:11" x14ac:dyDescent="0.25">
      <c r="A42" s="1">
        <v>44651</v>
      </c>
      <c r="B42" s="1" t="str">
        <f t="shared" si="0"/>
        <v>Thursday</v>
      </c>
      <c r="C42">
        <v>17519.199218999998</v>
      </c>
      <c r="D42">
        <v>17559.800781000002</v>
      </c>
      <c r="E42">
        <v>17435.199218999998</v>
      </c>
      <c r="F42">
        <v>17464.75</v>
      </c>
      <c r="G42">
        <v>17464.75</v>
      </c>
      <c r="H42">
        <f t="shared" si="1"/>
        <v>0</v>
      </c>
      <c r="I42">
        <f t="shared" si="2"/>
        <v>0</v>
      </c>
      <c r="J42">
        <f t="shared" si="3"/>
        <v>0</v>
      </c>
      <c r="K42">
        <f t="shared" si="4"/>
        <v>0</v>
      </c>
    </row>
    <row r="43" spans="1:11" x14ac:dyDescent="0.25">
      <c r="A43" s="1">
        <v>44652</v>
      </c>
      <c r="B43" s="1" t="str">
        <f t="shared" si="0"/>
        <v>Friday</v>
      </c>
      <c r="C43">
        <v>17436.900390999999</v>
      </c>
      <c r="D43">
        <v>17703.699218999998</v>
      </c>
      <c r="E43">
        <v>17422.699218999998</v>
      </c>
      <c r="F43">
        <v>17670.449218999998</v>
      </c>
      <c r="G43">
        <v>17670.449218999998</v>
      </c>
      <c r="H43">
        <f t="shared" si="1"/>
        <v>17950</v>
      </c>
      <c r="I43">
        <f t="shared" si="2"/>
        <v>17400</v>
      </c>
      <c r="J43">
        <f t="shared" si="3"/>
        <v>18200</v>
      </c>
      <c r="K43">
        <f t="shared" si="4"/>
        <v>17150</v>
      </c>
    </row>
    <row r="44" spans="1:11" x14ac:dyDescent="0.25">
      <c r="A44" s="1">
        <v>44655</v>
      </c>
      <c r="B44" s="1" t="str">
        <f t="shared" si="0"/>
        <v>Monday</v>
      </c>
      <c r="C44">
        <v>17809.099609000001</v>
      </c>
      <c r="D44">
        <v>18114.650390999999</v>
      </c>
      <c r="E44">
        <v>17791.400390999999</v>
      </c>
      <c r="F44">
        <v>18053.400390999999</v>
      </c>
      <c r="G44">
        <v>18053.400390999999</v>
      </c>
      <c r="H44">
        <f t="shared" si="1"/>
        <v>0</v>
      </c>
      <c r="I44">
        <f t="shared" si="2"/>
        <v>0</v>
      </c>
      <c r="J44">
        <f t="shared" si="3"/>
        <v>0</v>
      </c>
      <c r="K44">
        <f t="shared" si="4"/>
        <v>0</v>
      </c>
    </row>
    <row r="45" spans="1:11" x14ac:dyDescent="0.25">
      <c r="A45" s="1">
        <v>44656</v>
      </c>
      <c r="B45" s="1" t="str">
        <f t="shared" si="0"/>
        <v>Tuesday</v>
      </c>
      <c r="C45">
        <v>18080.599609000001</v>
      </c>
      <c r="D45">
        <v>18095.449218999998</v>
      </c>
      <c r="E45">
        <v>17921.550781000002</v>
      </c>
      <c r="F45">
        <v>17957.400390999999</v>
      </c>
      <c r="G45">
        <v>17957.400390999999</v>
      </c>
      <c r="H45">
        <f t="shared" si="1"/>
        <v>0</v>
      </c>
      <c r="I45">
        <f t="shared" si="2"/>
        <v>0</v>
      </c>
      <c r="J45">
        <f t="shared" si="3"/>
        <v>0</v>
      </c>
      <c r="K45">
        <f t="shared" si="4"/>
        <v>0</v>
      </c>
    </row>
    <row r="46" spans="1:11" x14ac:dyDescent="0.25">
      <c r="A46" s="1">
        <v>44657</v>
      </c>
      <c r="B46" s="1" t="str">
        <f t="shared" si="0"/>
        <v>Wednesday</v>
      </c>
      <c r="C46">
        <v>17842.75</v>
      </c>
      <c r="D46">
        <v>17901</v>
      </c>
      <c r="E46">
        <v>17779.849609000001</v>
      </c>
      <c r="F46">
        <v>17807.650390999999</v>
      </c>
      <c r="G46">
        <v>17807.650390999999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0</v>
      </c>
    </row>
    <row r="47" spans="1:11" x14ac:dyDescent="0.25">
      <c r="A47" s="1">
        <v>44658</v>
      </c>
      <c r="B47" s="1" t="str">
        <f t="shared" si="0"/>
        <v>Thursday</v>
      </c>
      <c r="C47">
        <v>17723.300781000002</v>
      </c>
      <c r="D47">
        <v>17787.5</v>
      </c>
      <c r="E47">
        <v>17623.699218999998</v>
      </c>
      <c r="F47">
        <v>17639.550781000002</v>
      </c>
      <c r="G47">
        <v>17639.550781000002</v>
      </c>
      <c r="H47">
        <f t="shared" si="1"/>
        <v>0</v>
      </c>
      <c r="I47">
        <f t="shared" si="2"/>
        <v>0</v>
      </c>
      <c r="J47">
        <f t="shared" si="3"/>
        <v>0</v>
      </c>
      <c r="K47">
        <f t="shared" si="4"/>
        <v>0</v>
      </c>
    </row>
    <row r="48" spans="1:11" x14ac:dyDescent="0.25">
      <c r="A48" s="1">
        <v>44659</v>
      </c>
      <c r="B48" s="1" t="str">
        <f t="shared" si="0"/>
        <v>Friday</v>
      </c>
      <c r="C48">
        <v>17698.150390999999</v>
      </c>
      <c r="D48">
        <v>17842.75</v>
      </c>
      <c r="E48">
        <v>17600.550781000002</v>
      </c>
      <c r="F48">
        <v>17784.349609000001</v>
      </c>
      <c r="G48">
        <v>17784.349609000001</v>
      </c>
      <c r="H48">
        <f t="shared" si="1"/>
        <v>18050</v>
      </c>
      <c r="I48">
        <f t="shared" si="2"/>
        <v>17500</v>
      </c>
      <c r="J48">
        <f t="shared" si="3"/>
        <v>18300</v>
      </c>
      <c r="K48">
        <f t="shared" si="4"/>
        <v>17250</v>
      </c>
    </row>
    <row r="49" spans="1:11" x14ac:dyDescent="0.25">
      <c r="A49" s="1">
        <v>44662</v>
      </c>
      <c r="B49" s="1" t="str">
        <f t="shared" si="0"/>
        <v>Monday</v>
      </c>
      <c r="C49">
        <v>17740.900390999999</v>
      </c>
      <c r="D49">
        <v>17779.050781000002</v>
      </c>
      <c r="E49">
        <v>17650.949218999998</v>
      </c>
      <c r="F49">
        <v>17674.949218999998</v>
      </c>
      <c r="G49">
        <v>17674.949218999998</v>
      </c>
      <c r="H49">
        <f t="shared" si="1"/>
        <v>0</v>
      </c>
      <c r="I49">
        <f t="shared" si="2"/>
        <v>0</v>
      </c>
      <c r="J49">
        <f t="shared" si="3"/>
        <v>0</v>
      </c>
      <c r="K49">
        <f t="shared" si="4"/>
        <v>0</v>
      </c>
    </row>
    <row r="50" spans="1:11" x14ac:dyDescent="0.25">
      <c r="A50" s="1">
        <v>44663</v>
      </c>
      <c r="B50" s="1" t="str">
        <f t="shared" si="0"/>
        <v>Tuesday</v>
      </c>
      <c r="C50">
        <v>17584.849609000001</v>
      </c>
      <c r="D50">
        <v>17595.300781000002</v>
      </c>
      <c r="E50">
        <v>17442.349609000001</v>
      </c>
      <c r="F50">
        <v>17530.300781000002</v>
      </c>
      <c r="G50">
        <v>17530.300781000002</v>
      </c>
      <c r="H50">
        <f t="shared" si="1"/>
        <v>0</v>
      </c>
      <c r="I50">
        <f t="shared" si="2"/>
        <v>0</v>
      </c>
      <c r="J50">
        <f t="shared" si="3"/>
        <v>0</v>
      </c>
      <c r="K50">
        <f t="shared" si="4"/>
        <v>0</v>
      </c>
    </row>
    <row r="51" spans="1:11" x14ac:dyDescent="0.25">
      <c r="A51" s="1">
        <v>44664</v>
      </c>
      <c r="B51" s="1" t="str">
        <f t="shared" si="0"/>
        <v>Wednesday</v>
      </c>
      <c r="C51">
        <v>17599.900390999999</v>
      </c>
      <c r="D51">
        <v>17663.650390999999</v>
      </c>
      <c r="E51">
        <v>17457.400390999999</v>
      </c>
      <c r="F51">
        <v>17475.650390999999</v>
      </c>
      <c r="G51">
        <v>17475.650390999999</v>
      </c>
      <c r="H51">
        <f t="shared" si="1"/>
        <v>0</v>
      </c>
      <c r="I51">
        <f t="shared" si="2"/>
        <v>0</v>
      </c>
      <c r="J51">
        <f t="shared" si="3"/>
        <v>0</v>
      </c>
      <c r="K51">
        <f t="shared" si="4"/>
        <v>0</v>
      </c>
    </row>
    <row r="52" spans="1:11" x14ac:dyDescent="0.25">
      <c r="A52" s="1">
        <v>44669</v>
      </c>
      <c r="B52" s="13" t="str">
        <f t="shared" si="0"/>
        <v>Monday</v>
      </c>
      <c r="C52">
        <v>17183.449218999998</v>
      </c>
      <c r="D52">
        <v>17237.75</v>
      </c>
      <c r="E52">
        <v>17067.849609000001</v>
      </c>
      <c r="F52">
        <v>17173.650390999999</v>
      </c>
      <c r="G52">
        <v>17173.650390999999</v>
      </c>
      <c r="H52">
        <f>IF(B52="Monday",CEILING(G52+250,50),0)</f>
        <v>17450</v>
      </c>
      <c r="I52">
        <f>IF(B52="Monday",FLOOR(G52-250,50),0)</f>
        <v>16900</v>
      </c>
      <c r="J52">
        <f t="shared" si="3"/>
        <v>17700</v>
      </c>
      <c r="K52">
        <f t="shared" si="4"/>
        <v>16650</v>
      </c>
    </row>
    <row r="53" spans="1:11" x14ac:dyDescent="0.25">
      <c r="A53" s="1">
        <v>44670</v>
      </c>
      <c r="B53" s="1" t="str">
        <f t="shared" si="0"/>
        <v>Tuesday</v>
      </c>
      <c r="C53">
        <v>17258.949218999998</v>
      </c>
      <c r="D53">
        <v>17275.650390999999</v>
      </c>
      <c r="E53">
        <v>16824.699218999998</v>
      </c>
      <c r="F53">
        <v>16958.650390999999</v>
      </c>
      <c r="G53">
        <v>16958.650390999999</v>
      </c>
      <c r="H53">
        <f t="shared" si="1"/>
        <v>0</v>
      </c>
      <c r="I53">
        <f t="shared" si="2"/>
        <v>0</v>
      </c>
      <c r="J53">
        <f t="shared" si="3"/>
        <v>0</v>
      </c>
      <c r="K53">
        <f t="shared" si="4"/>
        <v>0</v>
      </c>
    </row>
    <row r="54" spans="1:11" x14ac:dyDescent="0.25">
      <c r="A54" s="1">
        <v>44671</v>
      </c>
      <c r="B54" s="1" t="str">
        <f t="shared" si="0"/>
        <v>Wednesday</v>
      </c>
      <c r="C54">
        <v>17045.25</v>
      </c>
      <c r="D54">
        <v>17186.900390999999</v>
      </c>
      <c r="E54">
        <v>16978.949218999998</v>
      </c>
      <c r="F54">
        <v>17136.550781000002</v>
      </c>
      <c r="G54">
        <v>17136.550781000002</v>
      </c>
      <c r="H54">
        <f t="shared" si="1"/>
        <v>0</v>
      </c>
      <c r="I54">
        <f t="shared" si="2"/>
        <v>0</v>
      </c>
      <c r="J54">
        <f t="shared" si="3"/>
        <v>0</v>
      </c>
      <c r="K54">
        <f t="shared" si="4"/>
        <v>0</v>
      </c>
    </row>
    <row r="55" spans="1:11" x14ac:dyDescent="0.25">
      <c r="A55" s="1">
        <v>44672</v>
      </c>
      <c r="B55" s="1" t="str">
        <f t="shared" si="0"/>
        <v>Thursday</v>
      </c>
      <c r="C55">
        <v>17234.599609000001</v>
      </c>
      <c r="D55">
        <v>17414.699218999998</v>
      </c>
      <c r="E55">
        <v>17215.5</v>
      </c>
      <c r="F55">
        <v>17392.599609000001</v>
      </c>
      <c r="G55">
        <v>17392.599609000001</v>
      </c>
      <c r="H55">
        <f t="shared" si="1"/>
        <v>0</v>
      </c>
      <c r="I55">
        <f t="shared" si="2"/>
        <v>0</v>
      </c>
      <c r="J55">
        <f t="shared" si="3"/>
        <v>0</v>
      </c>
      <c r="K55">
        <f t="shared" si="4"/>
        <v>0</v>
      </c>
    </row>
    <row r="56" spans="1:11" x14ac:dyDescent="0.25">
      <c r="A56" s="1">
        <v>44673</v>
      </c>
      <c r="B56" s="1" t="str">
        <f t="shared" si="0"/>
        <v>Friday</v>
      </c>
      <c r="C56">
        <v>17242.75</v>
      </c>
      <c r="D56">
        <v>17315.300781000002</v>
      </c>
      <c r="E56">
        <v>17149.199218999998</v>
      </c>
      <c r="F56">
        <v>17171.949218999998</v>
      </c>
      <c r="G56">
        <v>17171.949218999998</v>
      </c>
      <c r="H56">
        <f t="shared" si="1"/>
        <v>17450</v>
      </c>
      <c r="I56">
        <f t="shared" si="2"/>
        <v>16900</v>
      </c>
      <c r="J56">
        <f t="shared" si="3"/>
        <v>17700</v>
      </c>
      <c r="K56">
        <f t="shared" si="4"/>
        <v>16650</v>
      </c>
    </row>
    <row r="57" spans="1:11" x14ac:dyDescent="0.25">
      <c r="A57" s="1">
        <v>44676</v>
      </c>
      <c r="B57" s="1" t="str">
        <f t="shared" si="0"/>
        <v>Monday</v>
      </c>
      <c r="C57">
        <v>17009.050781000002</v>
      </c>
      <c r="D57">
        <v>17054.300781000002</v>
      </c>
      <c r="E57">
        <v>16888.699218999998</v>
      </c>
      <c r="F57">
        <v>16953.949218999998</v>
      </c>
      <c r="G57">
        <v>16953.949218999998</v>
      </c>
      <c r="H57">
        <f t="shared" si="1"/>
        <v>0</v>
      </c>
      <c r="I57">
        <f t="shared" si="2"/>
        <v>0</v>
      </c>
      <c r="J57">
        <f t="shared" si="3"/>
        <v>0</v>
      </c>
      <c r="K57">
        <f t="shared" si="4"/>
        <v>0</v>
      </c>
    </row>
    <row r="58" spans="1:11" x14ac:dyDescent="0.25">
      <c r="A58" s="1">
        <v>44677</v>
      </c>
      <c r="B58" s="1" t="str">
        <f t="shared" si="0"/>
        <v>Tuesday</v>
      </c>
      <c r="C58">
        <v>17121.300781000002</v>
      </c>
      <c r="D58">
        <v>17223.849609000001</v>
      </c>
      <c r="E58">
        <v>17064.449218999998</v>
      </c>
      <c r="F58">
        <v>17200.800781000002</v>
      </c>
      <c r="G58">
        <v>17200.800781000002</v>
      </c>
      <c r="H58">
        <f t="shared" si="1"/>
        <v>0</v>
      </c>
      <c r="I58">
        <f t="shared" si="2"/>
        <v>0</v>
      </c>
      <c r="J58">
        <f t="shared" si="3"/>
        <v>0</v>
      </c>
      <c r="K58">
        <f t="shared" si="4"/>
        <v>0</v>
      </c>
    </row>
    <row r="59" spans="1:11" x14ac:dyDescent="0.25">
      <c r="A59" s="1">
        <v>44678</v>
      </c>
      <c r="B59" s="1" t="str">
        <f t="shared" si="0"/>
        <v>Wednesday</v>
      </c>
      <c r="C59">
        <v>17073.349609000001</v>
      </c>
      <c r="D59">
        <v>17110.699218999998</v>
      </c>
      <c r="E59">
        <v>16958.449218999998</v>
      </c>
      <c r="F59">
        <v>17038.400390999999</v>
      </c>
      <c r="G59">
        <v>17038.400390999999</v>
      </c>
      <c r="H59">
        <f t="shared" si="1"/>
        <v>0</v>
      </c>
      <c r="I59">
        <f t="shared" si="2"/>
        <v>0</v>
      </c>
      <c r="J59">
        <f t="shared" si="3"/>
        <v>0</v>
      </c>
      <c r="K59">
        <f t="shared" si="4"/>
        <v>0</v>
      </c>
    </row>
    <row r="60" spans="1:11" x14ac:dyDescent="0.25">
      <c r="A60" s="1">
        <v>44679</v>
      </c>
      <c r="B60" s="1" t="str">
        <f t="shared" si="0"/>
        <v>Thursday</v>
      </c>
      <c r="C60">
        <v>17189.5</v>
      </c>
      <c r="D60">
        <v>17322.5</v>
      </c>
      <c r="E60">
        <v>17071.050781000002</v>
      </c>
      <c r="F60">
        <v>17245.050781000002</v>
      </c>
      <c r="G60">
        <v>17245.050781000002</v>
      </c>
      <c r="H60">
        <f t="shared" si="1"/>
        <v>0</v>
      </c>
      <c r="I60">
        <f t="shared" si="2"/>
        <v>0</v>
      </c>
      <c r="J60">
        <f t="shared" si="3"/>
        <v>0</v>
      </c>
      <c r="K60">
        <f t="shared" si="4"/>
        <v>0</v>
      </c>
    </row>
    <row r="61" spans="1:11" x14ac:dyDescent="0.25">
      <c r="A61" s="1">
        <v>44680</v>
      </c>
      <c r="B61" s="1" t="str">
        <f t="shared" si="0"/>
        <v>Friday</v>
      </c>
      <c r="C61">
        <v>17329.25</v>
      </c>
      <c r="D61">
        <v>17377.650390999999</v>
      </c>
      <c r="E61">
        <v>17053.25</v>
      </c>
      <c r="F61">
        <v>17102.550781000002</v>
      </c>
      <c r="G61">
        <v>17102.550781000002</v>
      </c>
      <c r="H61">
        <f t="shared" si="1"/>
        <v>17400</v>
      </c>
      <c r="I61">
        <f t="shared" si="2"/>
        <v>16850</v>
      </c>
      <c r="J61">
        <f t="shared" si="3"/>
        <v>17650</v>
      </c>
      <c r="K61">
        <f t="shared" si="4"/>
        <v>16600</v>
      </c>
    </row>
    <row r="62" spans="1:11" x14ac:dyDescent="0.25">
      <c r="A62" s="1">
        <v>44683</v>
      </c>
      <c r="B62" s="1" t="str">
        <f t="shared" si="0"/>
        <v>Monday</v>
      </c>
      <c r="C62">
        <v>16924.449218999998</v>
      </c>
      <c r="D62">
        <v>17092.25</v>
      </c>
      <c r="E62">
        <v>16917.25</v>
      </c>
      <c r="F62">
        <v>17069.099609000001</v>
      </c>
      <c r="G62">
        <v>17069.099609000001</v>
      </c>
      <c r="H62">
        <f t="shared" si="1"/>
        <v>0</v>
      </c>
      <c r="I62">
        <f t="shared" si="2"/>
        <v>0</v>
      </c>
      <c r="J62">
        <f t="shared" si="3"/>
        <v>0</v>
      </c>
      <c r="K62">
        <f t="shared" si="4"/>
        <v>0</v>
      </c>
    </row>
    <row r="63" spans="1:11" x14ac:dyDescent="0.25">
      <c r="A63" s="1">
        <v>44685</v>
      </c>
      <c r="B63" s="1" t="str">
        <f t="shared" si="0"/>
        <v>Wednesday</v>
      </c>
      <c r="C63">
        <v>17096.599609000001</v>
      </c>
      <c r="D63">
        <v>17132.849609000001</v>
      </c>
      <c r="E63">
        <v>16623.949218999998</v>
      </c>
      <c r="F63">
        <v>16677.599609000001</v>
      </c>
      <c r="G63">
        <v>16677.599609000001</v>
      </c>
      <c r="H63">
        <f t="shared" si="1"/>
        <v>0</v>
      </c>
      <c r="I63">
        <f t="shared" si="2"/>
        <v>0</v>
      </c>
      <c r="J63">
        <f t="shared" si="3"/>
        <v>0</v>
      </c>
      <c r="K63">
        <f t="shared" si="4"/>
        <v>0</v>
      </c>
    </row>
    <row r="64" spans="1:11" x14ac:dyDescent="0.25">
      <c r="A64" s="1">
        <v>44686</v>
      </c>
      <c r="B64" s="1" t="str">
        <f t="shared" si="0"/>
        <v>Thursday</v>
      </c>
      <c r="C64">
        <v>16854.75</v>
      </c>
      <c r="D64">
        <v>16945.699218999998</v>
      </c>
      <c r="E64">
        <v>16651.849609000001</v>
      </c>
      <c r="F64">
        <v>16682.650390999999</v>
      </c>
      <c r="G64">
        <v>16682.650390999999</v>
      </c>
      <c r="H64">
        <f t="shared" si="1"/>
        <v>0</v>
      </c>
      <c r="I64">
        <f t="shared" si="2"/>
        <v>0</v>
      </c>
      <c r="J64">
        <f t="shared" si="3"/>
        <v>0</v>
      </c>
      <c r="K64">
        <f t="shared" si="4"/>
        <v>0</v>
      </c>
    </row>
    <row r="65" spans="1:11" x14ac:dyDescent="0.25">
      <c r="A65" s="1">
        <v>44687</v>
      </c>
      <c r="B65" s="1" t="str">
        <f t="shared" si="0"/>
        <v>Friday</v>
      </c>
      <c r="C65">
        <v>16415.550781000002</v>
      </c>
      <c r="D65">
        <v>16484.199218999998</v>
      </c>
      <c r="E65">
        <v>16340.900390999999</v>
      </c>
      <c r="F65">
        <v>16411.25</v>
      </c>
      <c r="G65">
        <v>16411.25</v>
      </c>
      <c r="H65">
        <f t="shared" si="1"/>
        <v>16700</v>
      </c>
      <c r="I65">
        <f t="shared" si="2"/>
        <v>16150</v>
      </c>
      <c r="J65">
        <f t="shared" si="3"/>
        <v>16950</v>
      </c>
      <c r="K65">
        <f t="shared" si="4"/>
        <v>15900</v>
      </c>
    </row>
    <row r="66" spans="1:11" x14ac:dyDescent="0.25">
      <c r="A66" s="1">
        <v>44690</v>
      </c>
      <c r="B66" s="1" t="str">
        <f t="shared" si="0"/>
        <v>Monday</v>
      </c>
      <c r="C66">
        <v>16227.700194999999</v>
      </c>
      <c r="D66">
        <v>16403.699218999998</v>
      </c>
      <c r="E66">
        <v>16142.099609000001</v>
      </c>
      <c r="F66">
        <v>16301.849609000001</v>
      </c>
      <c r="G66">
        <v>16301.849609000001</v>
      </c>
      <c r="H66">
        <f t="shared" si="1"/>
        <v>0</v>
      </c>
      <c r="I66">
        <f t="shared" si="2"/>
        <v>0</v>
      </c>
      <c r="J66">
        <f t="shared" si="3"/>
        <v>0</v>
      </c>
      <c r="K66">
        <f t="shared" si="4"/>
        <v>0</v>
      </c>
    </row>
    <row r="67" spans="1:11" x14ac:dyDescent="0.25">
      <c r="A67" s="1">
        <v>44691</v>
      </c>
      <c r="B67" s="1" t="str">
        <f t="shared" ref="B67:B130" si="5">TEXT(A67,"dddd")</f>
        <v>Tuesday</v>
      </c>
      <c r="C67">
        <v>16248.900390999999</v>
      </c>
      <c r="D67">
        <v>16404.550781000002</v>
      </c>
      <c r="E67">
        <v>16197.299805000001</v>
      </c>
      <c r="F67">
        <v>16240.049805000001</v>
      </c>
      <c r="G67">
        <v>16240.049805000001</v>
      </c>
      <c r="H67">
        <f t="shared" ref="H67:H130" si="6">IF(B67="Friday",CEILING(G67+250,50),0)</f>
        <v>0</v>
      </c>
      <c r="I67">
        <f t="shared" ref="I67:I130" si="7">IF(B67="Friday",FLOOR(G67-250,50),0)</f>
        <v>0</v>
      </c>
      <c r="J67">
        <f t="shared" si="3"/>
        <v>0</v>
      </c>
      <c r="K67">
        <f t="shared" si="4"/>
        <v>0</v>
      </c>
    </row>
    <row r="68" spans="1:11" x14ac:dyDescent="0.25">
      <c r="A68" s="1">
        <v>44692</v>
      </c>
      <c r="B68" s="1" t="str">
        <f t="shared" si="5"/>
        <v>Wednesday</v>
      </c>
      <c r="C68">
        <v>16270.049805000001</v>
      </c>
      <c r="D68">
        <v>16318.75</v>
      </c>
      <c r="E68">
        <v>15992.599609000001</v>
      </c>
      <c r="F68">
        <v>16167.099609000001</v>
      </c>
      <c r="G68">
        <v>16167.099609000001</v>
      </c>
      <c r="H68">
        <f t="shared" si="6"/>
        <v>0</v>
      </c>
      <c r="I68">
        <f t="shared" si="7"/>
        <v>0</v>
      </c>
      <c r="J68">
        <f t="shared" si="3"/>
        <v>0</v>
      </c>
      <c r="K68">
        <f t="shared" si="4"/>
        <v>0</v>
      </c>
    </row>
    <row r="69" spans="1:11" x14ac:dyDescent="0.25">
      <c r="A69" s="1">
        <v>44693</v>
      </c>
      <c r="B69" s="1" t="str">
        <f t="shared" si="5"/>
        <v>Thursday</v>
      </c>
      <c r="C69">
        <v>16021.099609000001</v>
      </c>
      <c r="D69">
        <v>16041.950194999999</v>
      </c>
      <c r="E69">
        <v>15735.75</v>
      </c>
      <c r="F69">
        <v>15808</v>
      </c>
      <c r="G69">
        <v>15808</v>
      </c>
      <c r="H69">
        <f t="shared" si="6"/>
        <v>0</v>
      </c>
      <c r="I69">
        <f t="shared" si="7"/>
        <v>0</v>
      </c>
      <c r="J69">
        <f t="shared" si="3"/>
        <v>0</v>
      </c>
      <c r="K69">
        <f t="shared" si="4"/>
        <v>0</v>
      </c>
    </row>
    <row r="70" spans="1:11" x14ac:dyDescent="0.25">
      <c r="A70" s="1">
        <v>44694</v>
      </c>
      <c r="B70" s="1" t="str">
        <f t="shared" si="5"/>
        <v>Friday</v>
      </c>
      <c r="C70">
        <v>15977</v>
      </c>
      <c r="D70">
        <v>16083.599609000001</v>
      </c>
      <c r="E70">
        <v>15740.849609000001</v>
      </c>
      <c r="F70">
        <v>15782.150390999999</v>
      </c>
      <c r="G70">
        <v>15782.150390999999</v>
      </c>
      <c r="H70">
        <f t="shared" si="6"/>
        <v>16050</v>
      </c>
      <c r="I70">
        <f t="shared" si="7"/>
        <v>15500</v>
      </c>
      <c r="J70">
        <f t="shared" ref="J70:J133" si="8">IF(H70=0,0,H70+250)</f>
        <v>16300</v>
      </c>
      <c r="K70">
        <f t="shared" ref="K70:K133" si="9">IF(I70=0,0,I70-250)</f>
        <v>15250</v>
      </c>
    </row>
    <row r="71" spans="1:11" x14ac:dyDescent="0.25">
      <c r="A71" s="1">
        <v>44697</v>
      </c>
      <c r="B71" s="1" t="str">
        <f t="shared" si="5"/>
        <v>Monday</v>
      </c>
      <c r="C71">
        <v>15845.099609000001</v>
      </c>
      <c r="D71">
        <v>15977.950194999999</v>
      </c>
      <c r="E71">
        <v>15739.650390999999</v>
      </c>
      <c r="F71">
        <v>15842.299805000001</v>
      </c>
      <c r="G71">
        <v>15842.299805000001</v>
      </c>
      <c r="H71">
        <f t="shared" si="6"/>
        <v>0</v>
      </c>
      <c r="I71">
        <f t="shared" si="7"/>
        <v>0</v>
      </c>
      <c r="J71">
        <f t="shared" si="8"/>
        <v>0</v>
      </c>
      <c r="K71">
        <f t="shared" si="9"/>
        <v>0</v>
      </c>
    </row>
    <row r="72" spans="1:11" x14ac:dyDescent="0.25">
      <c r="A72" s="1">
        <v>44698</v>
      </c>
      <c r="B72" s="1" t="str">
        <f t="shared" si="5"/>
        <v>Tuesday</v>
      </c>
      <c r="C72">
        <v>15912.599609000001</v>
      </c>
      <c r="D72">
        <v>16284.25</v>
      </c>
      <c r="E72">
        <v>15900.799805000001</v>
      </c>
      <c r="F72">
        <v>16259.299805000001</v>
      </c>
      <c r="G72">
        <v>16259.299805000001</v>
      </c>
      <c r="H72">
        <f t="shared" si="6"/>
        <v>0</v>
      </c>
      <c r="I72">
        <f t="shared" si="7"/>
        <v>0</v>
      </c>
      <c r="J72">
        <f t="shared" si="8"/>
        <v>0</v>
      </c>
      <c r="K72">
        <f t="shared" si="9"/>
        <v>0</v>
      </c>
    </row>
    <row r="73" spans="1:11" x14ac:dyDescent="0.25">
      <c r="A73" s="1">
        <v>44699</v>
      </c>
      <c r="B73" s="1" t="str">
        <f t="shared" si="5"/>
        <v>Wednesday</v>
      </c>
      <c r="C73">
        <v>16318.150390999999</v>
      </c>
      <c r="D73">
        <v>16399.800781000002</v>
      </c>
      <c r="E73">
        <v>16211.200194999999</v>
      </c>
      <c r="F73">
        <v>16240.299805000001</v>
      </c>
      <c r="G73">
        <v>16240.299805000001</v>
      </c>
      <c r="H73">
        <f t="shared" si="6"/>
        <v>0</v>
      </c>
      <c r="I73">
        <f t="shared" si="7"/>
        <v>0</v>
      </c>
      <c r="J73">
        <f t="shared" si="8"/>
        <v>0</v>
      </c>
      <c r="K73">
        <f t="shared" si="9"/>
        <v>0</v>
      </c>
    </row>
    <row r="74" spans="1:11" x14ac:dyDescent="0.25">
      <c r="A74" s="1">
        <v>44700</v>
      </c>
      <c r="B74" s="1" t="str">
        <f t="shared" si="5"/>
        <v>Thursday</v>
      </c>
      <c r="C74">
        <v>15917.400390999999</v>
      </c>
      <c r="D74">
        <v>15984.75</v>
      </c>
      <c r="E74">
        <v>15775.200194999999</v>
      </c>
      <c r="F74">
        <v>15809.400390999999</v>
      </c>
      <c r="G74">
        <v>15809.400390999999</v>
      </c>
      <c r="H74">
        <f t="shared" si="6"/>
        <v>0</v>
      </c>
      <c r="I74">
        <f t="shared" si="7"/>
        <v>0</v>
      </c>
      <c r="J74">
        <f t="shared" si="8"/>
        <v>0</v>
      </c>
      <c r="K74">
        <f t="shared" si="9"/>
        <v>0</v>
      </c>
    </row>
    <row r="75" spans="1:11" x14ac:dyDescent="0.25">
      <c r="A75" s="1">
        <v>44701</v>
      </c>
      <c r="B75" s="1" t="str">
        <f t="shared" si="5"/>
        <v>Friday</v>
      </c>
      <c r="C75">
        <v>16043.799805000001</v>
      </c>
      <c r="D75">
        <v>16283.049805000001</v>
      </c>
      <c r="E75">
        <v>16003.849609000001</v>
      </c>
      <c r="F75">
        <v>16266.150390999999</v>
      </c>
      <c r="G75">
        <v>16266.150390999999</v>
      </c>
      <c r="H75">
        <f t="shared" si="6"/>
        <v>16550</v>
      </c>
      <c r="I75">
        <f t="shared" si="7"/>
        <v>16000</v>
      </c>
      <c r="J75">
        <f t="shared" si="8"/>
        <v>16800</v>
      </c>
      <c r="K75">
        <f t="shared" si="9"/>
        <v>15750</v>
      </c>
    </row>
    <row r="76" spans="1:11" x14ac:dyDescent="0.25">
      <c r="A76" s="1">
        <v>44704</v>
      </c>
      <c r="B76" s="1" t="str">
        <f t="shared" si="5"/>
        <v>Monday</v>
      </c>
      <c r="C76">
        <v>16290.950194999999</v>
      </c>
      <c r="D76">
        <v>16414.699218999998</v>
      </c>
      <c r="E76">
        <v>16185.75</v>
      </c>
      <c r="F76">
        <v>16214.700194999999</v>
      </c>
      <c r="G76">
        <v>16214.700194999999</v>
      </c>
      <c r="H76">
        <f t="shared" si="6"/>
        <v>0</v>
      </c>
      <c r="I76">
        <f t="shared" si="7"/>
        <v>0</v>
      </c>
      <c r="J76">
        <f t="shared" si="8"/>
        <v>0</v>
      </c>
      <c r="K76">
        <f t="shared" si="9"/>
        <v>0</v>
      </c>
    </row>
    <row r="77" spans="1:11" x14ac:dyDescent="0.25">
      <c r="A77" s="1">
        <v>44705</v>
      </c>
      <c r="B77" s="1" t="str">
        <f t="shared" si="5"/>
        <v>Tuesday</v>
      </c>
      <c r="C77">
        <v>16225.549805000001</v>
      </c>
      <c r="D77">
        <v>16262.799805000001</v>
      </c>
      <c r="E77">
        <v>16078.599609000001</v>
      </c>
      <c r="F77">
        <v>16125.150390999999</v>
      </c>
      <c r="G77">
        <v>16125.150390999999</v>
      </c>
      <c r="H77">
        <f t="shared" si="6"/>
        <v>0</v>
      </c>
      <c r="I77">
        <f t="shared" si="7"/>
        <v>0</v>
      </c>
      <c r="J77">
        <f t="shared" si="8"/>
        <v>0</v>
      </c>
      <c r="K77">
        <f t="shared" si="9"/>
        <v>0</v>
      </c>
    </row>
    <row r="78" spans="1:11" x14ac:dyDescent="0.25">
      <c r="A78" s="1">
        <v>44706</v>
      </c>
      <c r="B78" s="1" t="str">
        <f t="shared" si="5"/>
        <v>Wednesday</v>
      </c>
      <c r="C78">
        <v>16196.349609000001</v>
      </c>
      <c r="D78">
        <v>16223.349609000001</v>
      </c>
      <c r="E78">
        <v>16006.950194999999</v>
      </c>
      <c r="F78">
        <v>16025.799805000001</v>
      </c>
      <c r="G78">
        <v>16025.799805000001</v>
      </c>
      <c r="H78">
        <f t="shared" si="6"/>
        <v>0</v>
      </c>
      <c r="I78">
        <f t="shared" si="7"/>
        <v>0</v>
      </c>
      <c r="J78">
        <f t="shared" si="8"/>
        <v>0</v>
      </c>
      <c r="K78">
        <f t="shared" si="9"/>
        <v>0</v>
      </c>
    </row>
    <row r="79" spans="1:11" x14ac:dyDescent="0.25">
      <c r="A79" s="1">
        <v>44707</v>
      </c>
      <c r="B79" s="1" t="str">
        <f t="shared" si="5"/>
        <v>Thursday</v>
      </c>
      <c r="C79">
        <v>16105</v>
      </c>
      <c r="D79">
        <v>16204.450194999999</v>
      </c>
      <c r="E79">
        <v>15903.700194999999</v>
      </c>
      <c r="F79">
        <v>16170.150390999999</v>
      </c>
      <c r="G79">
        <v>16170.150390999999</v>
      </c>
      <c r="H79">
        <f t="shared" si="6"/>
        <v>0</v>
      </c>
      <c r="I79">
        <f t="shared" si="7"/>
        <v>0</v>
      </c>
      <c r="J79">
        <f t="shared" si="8"/>
        <v>0</v>
      </c>
      <c r="K79">
        <f t="shared" si="9"/>
        <v>0</v>
      </c>
    </row>
    <row r="80" spans="1:11" x14ac:dyDescent="0.25">
      <c r="A80" s="1">
        <v>44708</v>
      </c>
      <c r="B80" s="1" t="str">
        <f t="shared" si="5"/>
        <v>Friday</v>
      </c>
      <c r="C80">
        <v>16296.599609000001</v>
      </c>
      <c r="D80">
        <v>16370.599609000001</v>
      </c>
      <c r="E80">
        <v>16221.950194999999</v>
      </c>
      <c r="F80">
        <v>16352.450194999999</v>
      </c>
      <c r="G80">
        <v>16352.450194999999</v>
      </c>
      <c r="H80">
        <f t="shared" si="6"/>
        <v>16650</v>
      </c>
      <c r="I80">
        <f t="shared" si="7"/>
        <v>16100</v>
      </c>
      <c r="J80">
        <f t="shared" si="8"/>
        <v>16900</v>
      </c>
      <c r="K80">
        <f t="shared" si="9"/>
        <v>15850</v>
      </c>
    </row>
    <row r="81" spans="1:11" x14ac:dyDescent="0.25">
      <c r="A81" s="1">
        <v>44711</v>
      </c>
      <c r="B81" s="1" t="str">
        <f t="shared" si="5"/>
        <v>Monday</v>
      </c>
      <c r="C81">
        <v>16527.900390999999</v>
      </c>
      <c r="D81">
        <v>16695.5</v>
      </c>
      <c r="E81">
        <v>16506.150390999999</v>
      </c>
      <c r="F81">
        <v>16661.400390999999</v>
      </c>
      <c r="G81">
        <v>16661.400390999999</v>
      </c>
      <c r="H81">
        <f t="shared" si="6"/>
        <v>0</v>
      </c>
      <c r="I81">
        <f t="shared" si="7"/>
        <v>0</v>
      </c>
      <c r="J81">
        <f t="shared" si="8"/>
        <v>0</v>
      </c>
      <c r="K81">
        <f t="shared" si="9"/>
        <v>0</v>
      </c>
    </row>
    <row r="82" spans="1:11" x14ac:dyDescent="0.25">
      <c r="A82" s="1">
        <v>44712</v>
      </c>
      <c r="B82" s="1" t="str">
        <f t="shared" si="5"/>
        <v>Tuesday</v>
      </c>
      <c r="C82">
        <v>16578.449218999998</v>
      </c>
      <c r="D82">
        <v>16690.75</v>
      </c>
      <c r="E82">
        <v>16521.900390999999</v>
      </c>
      <c r="F82">
        <v>16584.550781000002</v>
      </c>
      <c r="G82">
        <v>16584.550781000002</v>
      </c>
      <c r="H82">
        <f t="shared" si="6"/>
        <v>0</v>
      </c>
      <c r="I82">
        <f t="shared" si="7"/>
        <v>0</v>
      </c>
      <c r="J82">
        <f t="shared" si="8"/>
        <v>0</v>
      </c>
      <c r="K82">
        <f t="shared" si="9"/>
        <v>0</v>
      </c>
    </row>
    <row r="83" spans="1:11" x14ac:dyDescent="0.25">
      <c r="A83" s="1">
        <v>44713</v>
      </c>
      <c r="B83" s="1" t="str">
        <f t="shared" si="5"/>
        <v>Wednesday</v>
      </c>
      <c r="C83">
        <v>16594.400390999999</v>
      </c>
      <c r="D83">
        <v>16649.199218999998</v>
      </c>
      <c r="E83">
        <v>16438.849609000001</v>
      </c>
      <c r="F83">
        <v>16522.75</v>
      </c>
      <c r="G83">
        <v>16522.75</v>
      </c>
      <c r="H83">
        <f t="shared" si="6"/>
        <v>0</v>
      </c>
      <c r="I83">
        <f t="shared" si="7"/>
        <v>0</v>
      </c>
      <c r="J83">
        <f t="shared" si="8"/>
        <v>0</v>
      </c>
      <c r="K83">
        <f t="shared" si="9"/>
        <v>0</v>
      </c>
    </row>
    <row r="84" spans="1:11" x14ac:dyDescent="0.25">
      <c r="A84" s="1">
        <v>44714</v>
      </c>
      <c r="B84" s="1" t="str">
        <f t="shared" si="5"/>
        <v>Thursday</v>
      </c>
      <c r="C84">
        <v>16481.650390999999</v>
      </c>
      <c r="D84">
        <v>16646.400390999999</v>
      </c>
      <c r="E84">
        <v>16443.050781000002</v>
      </c>
      <c r="F84">
        <v>16628</v>
      </c>
      <c r="G84">
        <v>16628</v>
      </c>
      <c r="H84">
        <f t="shared" si="6"/>
        <v>0</v>
      </c>
      <c r="I84">
        <f t="shared" si="7"/>
        <v>0</v>
      </c>
      <c r="J84">
        <f t="shared" si="8"/>
        <v>0</v>
      </c>
      <c r="K84">
        <f t="shared" si="9"/>
        <v>0</v>
      </c>
    </row>
    <row r="85" spans="1:11" x14ac:dyDescent="0.25">
      <c r="A85" s="1">
        <v>44715</v>
      </c>
      <c r="B85" s="1" t="str">
        <f t="shared" si="5"/>
        <v>Friday</v>
      </c>
      <c r="C85">
        <v>16761.650390999999</v>
      </c>
      <c r="D85">
        <v>16793.849609000001</v>
      </c>
      <c r="E85">
        <v>16567.900390999999</v>
      </c>
      <c r="F85">
        <v>16584.300781000002</v>
      </c>
      <c r="G85">
        <v>16584.300781000002</v>
      </c>
      <c r="H85">
        <f t="shared" si="6"/>
        <v>16850</v>
      </c>
      <c r="I85">
        <f t="shared" si="7"/>
        <v>16300</v>
      </c>
      <c r="J85">
        <f t="shared" si="8"/>
        <v>17100</v>
      </c>
      <c r="K85">
        <f t="shared" si="9"/>
        <v>16050</v>
      </c>
    </row>
    <row r="86" spans="1:11" x14ac:dyDescent="0.25">
      <c r="A86" s="1">
        <v>44718</v>
      </c>
      <c r="B86" s="1" t="str">
        <f t="shared" si="5"/>
        <v>Monday</v>
      </c>
      <c r="C86">
        <v>16530.699218999998</v>
      </c>
      <c r="D86">
        <v>16610.949218999998</v>
      </c>
      <c r="E86">
        <v>16444.550781000002</v>
      </c>
      <c r="F86">
        <v>16569.550781000002</v>
      </c>
      <c r="G86">
        <v>16569.550781000002</v>
      </c>
      <c r="H86">
        <f t="shared" si="6"/>
        <v>0</v>
      </c>
      <c r="I86">
        <f t="shared" si="7"/>
        <v>0</v>
      </c>
      <c r="J86">
        <f t="shared" si="8"/>
        <v>0</v>
      </c>
      <c r="K86">
        <f t="shared" si="9"/>
        <v>0</v>
      </c>
    </row>
    <row r="87" spans="1:11" x14ac:dyDescent="0.25">
      <c r="A87" s="1">
        <v>44719</v>
      </c>
      <c r="B87" s="1" t="str">
        <f t="shared" si="5"/>
        <v>Tuesday</v>
      </c>
      <c r="C87">
        <v>16469.599609000001</v>
      </c>
      <c r="D87">
        <v>16487.25</v>
      </c>
      <c r="E87">
        <v>16347.099609000001</v>
      </c>
      <c r="F87">
        <v>16416.349609000001</v>
      </c>
      <c r="G87">
        <v>16416.349609000001</v>
      </c>
      <c r="H87">
        <f t="shared" si="6"/>
        <v>0</v>
      </c>
      <c r="I87">
        <f t="shared" si="7"/>
        <v>0</v>
      </c>
      <c r="J87">
        <f t="shared" si="8"/>
        <v>0</v>
      </c>
      <c r="K87">
        <f t="shared" si="9"/>
        <v>0</v>
      </c>
    </row>
    <row r="88" spans="1:11" x14ac:dyDescent="0.25">
      <c r="A88" s="1">
        <v>44720</v>
      </c>
      <c r="B88" s="1" t="str">
        <f t="shared" si="5"/>
        <v>Wednesday</v>
      </c>
      <c r="C88">
        <v>16474.949218999998</v>
      </c>
      <c r="D88">
        <v>16514.300781000002</v>
      </c>
      <c r="E88">
        <v>16293.349609000001</v>
      </c>
      <c r="F88">
        <v>16356.25</v>
      </c>
      <c r="G88">
        <v>16356.25</v>
      </c>
      <c r="H88">
        <f t="shared" si="6"/>
        <v>0</v>
      </c>
      <c r="I88">
        <f t="shared" si="7"/>
        <v>0</v>
      </c>
      <c r="J88">
        <f t="shared" si="8"/>
        <v>0</v>
      </c>
      <c r="K88">
        <f t="shared" si="9"/>
        <v>0</v>
      </c>
    </row>
    <row r="89" spans="1:11" x14ac:dyDescent="0.25">
      <c r="A89" s="1">
        <v>44721</v>
      </c>
      <c r="B89" s="1" t="str">
        <f t="shared" si="5"/>
        <v>Thursday</v>
      </c>
      <c r="C89">
        <v>16263.849609000001</v>
      </c>
      <c r="D89">
        <v>16492.800781000002</v>
      </c>
      <c r="E89">
        <v>16243.849609000001</v>
      </c>
      <c r="F89">
        <v>16478.099609000001</v>
      </c>
      <c r="G89">
        <v>16478.099609000001</v>
      </c>
      <c r="H89">
        <f t="shared" si="6"/>
        <v>0</v>
      </c>
      <c r="I89">
        <f t="shared" si="7"/>
        <v>0</v>
      </c>
      <c r="J89">
        <f t="shared" si="8"/>
        <v>0</v>
      </c>
      <c r="K89">
        <f t="shared" si="9"/>
        <v>0</v>
      </c>
    </row>
    <row r="90" spans="1:11" x14ac:dyDescent="0.25">
      <c r="A90" s="1">
        <v>44722</v>
      </c>
      <c r="B90" s="1" t="str">
        <f t="shared" si="5"/>
        <v>Friday</v>
      </c>
      <c r="C90">
        <v>16283.950194999999</v>
      </c>
      <c r="D90">
        <v>16324.700194999999</v>
      </c>
      <c r="E90">
        <v>16172.599609000001</v>
      </c>
      <c r="F90">
        <v>16201.799805000001</v>
      </c>
      <c r="G90">
        <v>16201.799805000001</v>
      </c>
      <c r="H90">
        <f t="shared" si="6"/>
        <v>16500</v>
      </c>
      <c r="I90">
        <f t="shared" si="7"/>
        <v>15950</v>
      </c>
      <c r="J90">
        <f t="shared" si="8"/>
        <v>16750</v>
      </c>
      <c r="K90">
        <f t="shared" si="9"/>
        <v>15700</v>
      </c>
    </row>
    <row r="91" spans="1:11" x14ac:dyDescent="0.25">
      <c r="A91" s="1">
        <v>44725</v>
      </c>
      <c r="B91" s="1" t="str">
        <f t="shared" si="5"/>
        <v>Monday</v>
      </c>
      <c r="C91">
        <v>15877.549805000001</v>
      </c>
      <c r="D91">
        <v>15886.150390999999</v>
      </c>
      <c r="E91">
        <v>15684</v>
      </c>
      <c r="F91">
        <v>15774.400390999999</v>
      </c>
      <c r="G91">
        <v>15774.400390999999</v>
      </c>
      <c r="H91">
        <f t="shared" si="6"/>
        <v>0</v>
      </c>
      <c r="I91">
        <f t="shared" si="7"/>
        <v>0</v>
      </c>
      <c r="J91">
        <f t="shared" si="8"/>
        <v>0</v>
      </c>
      <c r="K91">
        <f t="shared" si="9"/>
        <v>0</v>
      </c>
    </row>
    <row r="92" spans="1:11" x14ac:dyDescent="0.25">
      <c r="A92" s="1">
        <v>44726</v>
      </c>
      <c r="B92" s="1" t="str">
        <f t="shared" si="5"/>
        <v>Tuesday</v>
      </c>
      <c r="C92">
        <v>15674.25</v>
      </c>
      <c r="D92">
        <v>15858</v>
      </c>
      <c r="E92">
        <v>15659.450194999999</v>
      </c>
      <c r="F92">
        <v>15732.099609000001</v>
      </c>
      <c r="G92">
        <v>15732.099609000001</v>
      </c>
      <c r="H92">
        <f t="shared" si="6"/>
        <v>0</v>
      </c>
      <c r="I92">
        <f t="shared" si="7"/>
        <v>0</v>
      </c>
      <c r="J92">
        <f t="shared" si="8"/>
        <v>0</v>
      </c>
      <c r="K92">
        <f t="shared" si="9"/>
        <v>0</v>
      </c>
    </row>
    <row r="93" spans="1:11" x14ac:dyDescent="0.25">
      <c r="A93" s="1">
        <v>44727</v>
      </c>
      <c r="B93" s="1" t="str">
        <f t="shared" si="5"/>
        <v>Wednesday</v>
      </c>
      <c r="C93">
        <v>15729.25</v>
      </c>
      <c r="D93">
        <v>15783.650390999999</v>
      </c>
      <c r="E93">
        <v>15678.900390999999</v>
      </c>
      <c r="F93">
        <v>15692.150390999999</v>
      </c>
      <c r="G93">
        <v>15692.150390999999</v>
      </c>
      <c r="H93">
        <f t="shared" si="6"/>
        <v>0</v>
      </c>
      <c r="I93">
        <f t="shared" si="7"/>
        <v>0</v>
      </c>
      <c r="J93">
        <f t="shared" si="8"/>
        <v>0</v>
      </c>
      <c r="K93">
        <f t="shared" si="9"/>
        <v>0</v>
      </c>
    </row>
    <row r="94" spans="1:11" x14ac:dyDescent="0.25">
      <c r="A94" s="1">
        <v>44728</v>
      </c>
      <c r="B94" s="1" t="str">
        <f t="shared" si="5"/>
        <v>Thursday</v>
      </c>
      <c r="C94">
        <v>15832.25</v>
      </c>
      <c r="D94">
        <v>15863.150390999999</v>
      </c>
      <c r="E94">
        <v>15335.099609000001</v>
      </c>
      <c r="F94">
        <v>15360.599609000001</v>
      </c>
      <c r="G94">
        <v>15360.599609000001</v>
      </c>
      <c r="H94">
        <f t="shared" si="6"/>
        <v>0</v>
      </c>
      <c r="I94">
        <f t="shared" si="7"/>
        <v>0</v>
      </c>
      <c r="J94">
        <f t="shared" si="8"/>
        <v>0</v>
      </c>
      <c r="K94">
        <f t="shared" si="9"/>
        <v>0</v>
      </c>
    </row>
    <row r="95" spans="1:11" x14ac:dyDescent="0.25">
      <c r="A95" s="1">
        <v>44729</v>
      </c>
      <c r="B95" s="1" t="str">
        <f t="shared" si="5"/>
        <v>Friday</v>
      </c>
      <c r="C95">
        <v>15272.650390999999</v>
      </c>
      <c r="D95">
        <v>15400.400390999999</v>
      </c>
      <c r="E95">
        <v>15183.400390999999</v>
      </c>
      <c r="F95">
        <v>15293.5</v>
      </c>
      <c r="G95">
        <v>15293.5</v>
      </c>
      <c r="H95">
        <f t="shared" si="6"/>
        <v>15550</v>
      </c>
      <c r="I95">
        <f t="shared" si="7"/>
        <v>15000</v>
      </c>
      <c r="J95">
        <f t="shared" si="8"/>
        <v>15800</v>
      </c>
      <c r="K95">
        <f t="shared" si="9"/>
        <v>14750</v>
      </c>
    </row>
    <row r="96" spans="1:11" x14ac:dyDescent="0.25">
      <c r="A96" s="1">
        <v>44732</v>
      </c>
      <c r="B96" s="1" t="str">
        <f t="shared" si="5"/>
        <v>Monday</v>
      </c>
      <c r="C96">
        <v>15334.5</v>
      </c>
      <c r="D96">
        <v>15382.5</v>
      </c>
      <c r="E96">
        <v>15191.099609000001</v>
      </c>
      <c r="F96">
        <v>15350.150390999999</v>
      </c>
      <c r="G96">
        <v>15350.150390999999</v>
      </c>
      <c r="H96">
        <f t="shared" si="6"/>
        <v>0</v>
      </c>
      <c r="I96">
        <f t="shared" si="7"/>
        <v>0</v>
      </c>
      <c r="J96">
        <f t="shared" si="8"/>
        <v>0</v>
      </c>
      <c r="K96">
        <f t="shared" si="9"/>
        <v>0</v>
      </c>
    </row>
    <row r="97" spans="1:11" x14ac:dyDescent="0.25">
      <c r="A97" s="1">
        <v>44733</v>
      </c>
      <c r="B97" s="1" t="str">
        <f t="shared" si="5"/>
        <v>Tuesday</v>
      </c>
      <c r="C97">
        <v>15455.950194999999</v>
      </c>
      <c r="D97">
        <v>15707.25</v>
      </c>
      <c r="E97">
        <v>15419.849609000001</v>
      </c>
      <c r="F97">
        <v>15638.799805000001</v>
      </c>
      <c r="G97">
        <v>15638.799805000001</v>
      </c>
      <c r="H97">
        <f t="shared" si="6"/>
        <v>0</v>
      </c>
      <c r="I97">
        <f t="shared" si="7"/>
        <v>0</v>
      </c>
      <c r="J97">
        <f t="shared" si="8"/>
        <v>0</v>
      </c>
      <c r="K97">
        <f t="shared" si="9"/>
        <v>0</v>
      </c>
    </row>
    <row r="98" spans="1:11" x14ac:dyDescent="0.25">
      <c r="A98" s="1">
        <v>44734</v>
      </c>
      <c r="B98" s="1" t="str">
        <f t="shared" si="5"/>
        <v>Wednesday</v>
      </c>
      <c r="C98">
        <v>15545.650390999999</v>
      </c>
      <c r="D98">
        <v>15565.400390999999</v>
      </c>
      <c r="E98">
        <v>15385.950194999999</v>
      </c>
      <c r="F98">
        <v>15413.299805000001</v>
      </c>
      <c r="G98">
        <v>15413.299805000001</v>
      </c>
      <c r="H98">
        <f t="shared" si="6"/>
        <v>0</v>
      </c>
      <c r="I98">
        <f t="shared" si="7"/>
        <v>0</v>
      </c>
      <c r="J98">
        <f t="shared" si="8"/>
        <v>0</v>
      </c>
      <c r="K98">
        <f t="shared" si="9"/>
        <v>0</v>
      </c>
    </row>
    <row r="99" spans="1:11" x14ac:dyDescent="0.25">
      <c r="A99" s="1">
        <v>44735</v>
      </c>
      <c r="B99" s="1" t="str">
        <f t="shared" si="5"/>
        <v>Thursday</v>
      </c>
      <c r="C99">
        <v>15451.549805000001</v>
      </c>
      <c r="D99">
        <v>15628.450194999999</v>
      </c>
      <c r="E99">
        <v>15367.5</v>
      </c>
      <c r="F99">
        <v>15556.650390999999</v>
      </c>
      <c r="G99">
        <v>15556.650390999999</v>
      </c>
      <c r="H99">
        <f t="shared" si="6"/>
        <v>0</v>
      </c>
      <c r="I99">
        <f t="shared" si="7"/>
        <v>0</v>
      </c>
      <c r="J99">
        <f t="shared" si="8"/>
        <v>0</v>
      </c>
      <c r="K99">
        <f t="shared" si="9"/>
        <v>0</v>
      </c>
    </row>
    <row r="100" spans="1:11" x14ac:dyDescent="0.25">
      <c r="A100" s="1">
        <v>44736</v>
      </c>
      <c r="B100" s="1" t="str">
        <f t="shared" si="5"/>
        <v>Friday</v>
      </c>
      <c r="C100">
        <v>15657.400390999999</v>
      </c>
      <c r="D100">
        <v>15749.25</v>
      </c>
      <c r="E100">
        <v>15619.450194999999</v>
      </c>
      <c r="F100">
        <v>15699.25</v>
      </c>
      <c r="G100">
        <v>15699.25</v>
      </c>
      <c r="H100">
        <f t="shared" si="6"/>
        <v>15950</v>
      </c>
      <c r="I100">
        <f t="shared" si="7"/>
        <v>15400</v>
      </c>
      <c r="J100">
        <f t="shared" si="8"/>
        <v>16200</v>
      </c>
      <c r="K100">
        <f t="shared" si="9"/>
        <v>15150</v>
      </c>
    </row>
    <row r="101" spans="1:11" x14ac:dyDescent="0.25">
      <c r="A101" s="1">
        <v>44739</v>
      </c>
      <c r="B101" s="1" t="str">
        <f t="shared" si="5"/>
        <v>Monday</v>
      </c>
      <c r="C101">
        <v>15926.200194999999</v>
      </c>
      <c r="D101">
        <v>15927.450194999999</v>
      </c>
      <c r="E101">
        <v>15815.5</v>
      </c>
      <c r="F101">
        <v>15832.049805000001</v>
      </c>
      <c r="G101">
        <v>15832.049805000001</v>
      </c>
      <c r="H101">
        <f t="shared" si="6"/>
        <v>0</v>
      </c>
      <c r="I101">
        <f t="shared" si="7"/>
        <v>0</v>
      </c>
      <c r="J101">
        <f t="shared" si="8"/>
        <v>0</v>
      </c>
      <c r="K101">
        <f t="shared" si="9"/>
        <v>0</v>
      </c>
    </row>
    <row r="102" spans="1:11" x14ac:dyDescent="0.25">
      <c r="A102" s="1">
        <v>44740</v>
      </c>
      <c r="B102" s="1" t="str">
        <f t="shared" si="5"/>
        <v>Tuesday</v>
      </c>
      <c r="C102">
        <v>15757.450194999999</v>
      </c>
      <c r="D102">
        <v>15892.099609000001</v>
      </c>
      <c r="E102">
        <v>15710.150390999999</v>
      </c>
      <c r="F102">
        <v>15850.200194999999</v>
      </c>
      <c r="G102">
        <v>15850.200194999999</v>
      </c>
      <c r="H102">
        <f t="shared" si="6"/>
        <v>0</v>
      </c>
      <c r="I102">
        <f t="shared" si="7"/>
        <v>0</v>
      </c>
      <c r="J102">
        <f t="shared" si="8"/>
        <v>0</v>
      </c>
      <c r="K102">
        <f t="shared" si="9"/>
        <v>0</v>
      </c>
    </row>
    <row r="103" spans="1:11" x14ac:dyDescent="0.25">
      <c r="A103" s="1">
        <v>44741</v>
      </c>
      <c r="B103" s="1" t="str">
        <f t="shared" si="5"/>
        <v>Wednesday</v>
      </c>
      <c r="C103">
        <v>15701.700194999999</v>
      </c>
      <c r="D103">
        <v>15861.599609000001</v>
      </c>
      <c r="E103">
        <v>15687.799805000001</v>
      </c>
      <c r="F103">
        <v>15799.099609000001</v>
      </c>
      <c r="G103">
        <v>15799.099609000001</v>
      </c>
      <c r="H103">
        <f t="shared" si="6"/>
        <v>0</v>
      </c>
      <c r="I103">
        <f t="shared" si="7"/>
        <v>0</v>
      </c>
      <c r="J103">
        <f t="shared" si="8"/>
        <v>0</v>
      </c>
      <c r="K103">
        <f t="shared" si="9"/>
        <v>0</v>
      </c>
    </row>
    <row r="104" spans="1:11" x14ac:dyDescent="0.25">
      <c r="A104" s="1">
        <v>44742</v>
      </c>
      <c r="B104" s="1" t="str">
        <f t="shared" si="5"/>
        <v>Thursday</v>
      </c>
      <c r="C104">
        <v>15774.5</v>
      </c>
      <c r="D104">
        <v>15890</v>
      </c>
      <c r="E104">
        <v>15728.849609000001</v>
      </c>
      <c r="F104">
        <v>15780.25</v>
      </c>
      <c r="G104">
        <v>15780.25</v>
      </c>
      <c r="H104">
        <f t="shared" si="6"/>
        <v>0</v>
      </c>
      <c r="I104">
        <f t="shared" si="7"/>
        <v>0</v>
      </c>
      <c r="J104">
        <f t="shared" si="8"/>
        <v>0</v>
      </c>
      <c r="K104">
        <f t="shared" si="9"/>
        <v>0</v>
      </c>
    </row>
    <row r="105" spans="1:11" x14ac:dyDescent="0.25">
      <c r="A105" s="1">
        <v>44743</v>
      </c>
      <c r="B105" s="1" t="str">
        <f t="shared" si="5"/>
        <v>Friday</v>
      </c>
      <c r="C105">
        <v>15703.700194999999</v>
      </c>
      <c r="D105">
        <v>15793.950194999999</v>
      </c>
      <c r="E105">
        <v>15511.049805000001</v>
      </c>
      <c r="F105">
        <v>15752.049805000001</v>
      </c>
      <c r="G105">
        <v>15752.049805000001</v>
      </c>
      <c r="H105">
        <f t="shared" si="6"/>
        <v>16050</v>
      </c>
      <c r="I105">
        <f t="shared" si="7"/>
        <v>15500</v>
      </c>
      <c r="J105">
        <f t="shared" si="8"/>
        <v>16300</v>
      </c>
      <c r="K105">
        <f t="shared" si="9"/>
        <v>15250</v>
      </c>
    </row>
    <row r="106" spans="1:11" x14ac:dyDescent="0.25">
      <c r="A106" s="1">
        <v>44746</v>
      </c>
      <c r="B106" s="1" t="str">
        <f t="shared" si="5"/>
        <v>Monday</v>
      </c>
      <c r="C106">
        <v>15710.5</v>
      </c>
      <c r="D106">
        <v>15852.349609000001</v>
      </c>
      <c r="E106">
        <v>15661.799805000001</v>
      </c>
      <c r="F106">
        <v>15835.349609000001</v>
      </c>
      <c r="G106">
        <v>15835.349609000001</v>
      </c>
      <c r="H106">
        <f t="shared" si="6"/>
        <v>0</v>
      </c>
      <c r="I106">
        <f t="shared" si="7"/>
        <v>0</v>
      </c>
      <c r="J106">
        <f t="shared" si="8"/>
        <v>0</v>
      </c>
      <c r="K106">
        <f t="shared" si="9"/>
        <v>0</v>
      </c>
    </row>
    <row r="107" spans="1:11" x14ac:dyDescent="0.25">
      <c r="A107" s="1">
        <v>44747</v>
      </c>
      <c r="B107" s="1" t="str">
        <f t="shared" si="5"/>
        <v>Tuesday</v>
      </c>
      <c r="C107">
        <v>15909.150390999999</v>
      </c>
      <c r="D107">
        <v>16025.75</v>
      </c>
      <c r="E107">
        <v>15785.450194999999</v>
      </c>
      <c r="F107">
        <v>15810.849609000001</v>
      </c>
      <c r="G107">
        <v>15810.849609000001</v>
      </c>
      <c r="H107">
        <f t="shared" si="6"/>
        <v>0</v>
      </c>
      <c r="I107">
        <f t="shared" si="7"/>
        <v>0</v>
      </c>
      <c r="J107">
        <f t="shared" si="8"/>
        <v>0</v>
      </c>
      <c r="K107">
        <f t="shared" si="9"/>
        <v>0</v>
      </c>
    </row>
    <row r="108" spans="1:11" x14ac:dyDescent="0.25">
      <c r="A108" s="1">
        <v>44748</v>
      </c>
      <c r="B108" s="1" t="str">
        <f t="shared" si="5"/>
        <v>Wednesday</v>
      </c>
      <c r="C108">
        <v>15818.200194999999</v>
      </c>
      <c r="D108">
        <v>16011.349609000001</v>
      </c>
      <c r="E108">
        <v>15800.900390999999</v>
      </c>
      <c r="F108">
        <v>15989.799805000001</v>
      </c>
      <c r="G108">
        <v>15989.799805000001</v>
      </c>
      <c r="H108">
        <f t="shared" si="6"/>
        <v>0</v>
      </c>
      <c r="I108">
        <f t="shared" si="7"/>
        <v>0</v>
      </c>
      <c r="J108">
        <f t="shared" si="8"/>
        <v>0</v>
      </c>
      <c r="K108">
        <f t="shared" si="9"/>
        <v>0</v>
      </c>
    </row>
    <row r="109" spans="1:11" x14ac:dyDescent="0.25">
      <c r="A109" s="1">
        <v>44749</v>
      </c>
      <c r="B109" s="1" t="str">
        <f t="shared" si="5"/>
        <v>Thursday</v>
      </c>
      <c r="C109">
        <v>16113.75</v>
      </c>
      <c r="D109">
        <v>16150.5</v>
      </c>
      <c r="E109">
        <v>16045.950194999999</v>
      </c>
      <c r="F109">
        <v>16132.900390999999</v>
      </c>
      <c r="G109">
        <v>16132.900390999999</v>
      </c>
      <c r="H109">
        <f t="shared" si="6"/>
        <v>0</v>
      </c>
      <c r="I109">
        <f t="shared" si="7"/>
        <v>0</v>
      </c>
      <c r="J109">
        <f t="shared" si="8"/>
        <v>0</v>
      </c>
      <c r="K109">
        <f t="shared" si="9"/>
        <v>0</v>
      </c>
    </row>
    <row r="110" spans="1:11" x14ac:dyDescent="0.25">
      <c r="A110" s="1">
        <v>44750</v>
      </c>
      <c r="B110" s="1" t="str">
        <f t="shared" si="5"/>
        <v>Friday</v>
      </c>
      <c r="C110">
        <v>16273.650390999999</v>
      </c>
      <c r="D110">
        <v>16275.5</v>
      </c>
      <c r="E110">
        <v>16157.900390999999</v>
      </c>
      <c r="F110">
        <v>16220.599609000001</v>
      </c>
      <c r="G110">
        <v>16220.599609000001</v>
      </c>
      <c r="H110">
        <f t="shared" si="6"/>
        <v>16500</v>
      </c>
      <c r="I110">
        <f t="shared" si="7"/>
        <v>15950</v>
      </c>
      <c r="J110">
        <f t="shared" si="8"/>
        <v>16750</v>
      </c>
      <c r="K110">
        <f t="shared" si="9"/>
        <v>15700</v>
      </c>
    </row>
    <row r="111" spans="1:11" x14ac:dyDescent="0.25">
      <c r="A111" s="1">
        <v>44753</v>
      </c>
      <c r="B111" s="1" t="str">
        <f t="shared" si="5"/>
        <v>Monday</v>
      </c>
      <c r="C111">
        <v>16136.150390999999</v>
      </c>
      <c r="D111">
        <v>16248.549805000001</v>
      </c>
      <c r="E111">
        <v>16115.5</v>
      </c>
      <c r="F111">
        <v>16216</v>
      </c>
      <c r="G111">
        <v>16216</v>
      </c>
      <c r="H111">
        <f t="shared" si="6"/>
        <v>0</v>
      </c>
      <c r="I111">
        <f t="shared" si="7"/>
        <v>0</v>
      </c>
      <c r="J111">
        <f t="shared" si="8"/>
        <v>0</v>
      </c>
      <c r="K111">
        <f t="shared" si="9"/>
        <v>0</v>
      </c>
    </row>
    <row r="112" spans="1:11" x14ac:dyDescent="0.25">
      <c r="A112" s="1">
        <v>44754</v>
      </c>
      <c r="B112" s="1" t="str">
        <f t="shared" si="5"/>
        <v>Tuesday</v>
      </c>
      <c r="C112">
        <v>16126.200194999999</v>
      </c>
      <c r="D112">
        <v>16158.75</v>
      </c>
      <c r="E112">
        <v>16031.150390999999</v>
      </c>
      <c r="F112">
        <v>16058.299805000001</v>
      </c>
      <c r="G112">
        <v>16058.299805000001</v>
      </c>
      <c r="H112">
        <f t="shared" si="6"/>
        <v>0</v>
      </c>
      <c r="I112">
        <f t="shared" si="7"/>
        <v>0</v>
      </c>
      <c r="J112">
        <f t="shared" si="8"/>
        <v>0</v>
      </c>
      <c r="K112">
        <f t="shared" si="9"/>
        <v>0</v>
      </c>
    </row>
    <row r="113" spans="1:11" x14ac:dyDescent="0.25">
      <c r="A113" s="1">
        <v>44755</v>
      </c>
      <c r="B113" s="1" t="str">
        <f t="shared" si="5"/>
        <v>Wednesday</v>
      </c>
      <c r="C113">
        <v>16128.200194999999</v>
      </c>
      <c r="D113">
        <v>16140</v>
      </c>
      <c r="E113">
        <v>15950.150390999999</v>
      </c>
      <c r="F113">
        <v>15966.650390999999</v>
      </c>
      <c r="G113">
        <v>15966.650390999999</v>
      </c>
      <c r="H113">
        <f t="shared" si="6"/>
        <v>0</v>
      </c>
      <c r="I113">
        <f t="shared" si="7"/>
        <v>0</v>
      </c>
      <c r="J113">
        <f t="shared" si="8"/>
        <v>0</v>
      </c>
      <c r="K113">
        <f t="shared" si="9"/>
        <v>0</v>
      </c>
    </row>
    <row r="114" spans="1:11" x14ac:dyDescent="0.25">
      <c r="A114" s="1">
        <v>44756</v>
      </c>
      <c r="B114" s="1" t="str">
        <f t="shared" si="5"/>
        <v>Thursday</v>
      </c>
      <c r="C114">
        <v>16018.849609000001</v>
      </c>
      <c r="D114">
        <v>16070.849609000001</v>
      </c>
      <c r="E114">
        <v>15858.200194999999</v>
      </c>
      <c r="F114">
        <v>15938.650390999999</v>
      </c>
      <c r="G114">
        <v>15938.650390999999</v>
      </c>
      <c r="H114">
        <f t="shared" si="6"/>
        <v>0</v>
      </c>
      <c r="I114">
        <f t="shared" si="7"/>
        <v>0</v>
      </c>
      <c r="J114">
        <f t="shared" si="8"/>
        <v>0</v>
      </c>
      <c r="K114">
        <f t="shared" si="9"/>
        <v>0</v>
      </c>
    </row>
    <row r="115" spans="1:11" x14ac:dyDescent="0.25">
      <c r="A115" s="1">
        <v>44757</v>
      </c>
      <c r="B115" s="1" t="str">
        <f t="shared" si="5"/>
        <v>Friday</v>
      </c>
      <c r="C115">
        <v>16010.799805000001</v>
      </c>
      <c r="D115">
        <v>16066.950194999999</v>
      </c>
      <c r="E115">
        <v>15927.299805000001</v>
      </c>
      <c r="F115">
        <v>16049.200194999999</v>
      </c>
      <c r="G115">
        <v>16049.200194999999</v>
      </c>
      <c r="H115">
        <f t="shared" si="6"/>
        <v>16300</v>
      </c>
      <c r="I115">
        <f t="shared" si="7"/>
        <v>15750</v>
      </c>
      <c r="J115">
        <f t="shared" si="8"/>
        <v>16550</v>
      </c>
      <c r="K115">
        <f t="shared" si="9"/>
        <v>15500</v>
      </c>
    </row>
    <row r="116" spans="1:11" x14ac:dyDescent="0.25">
      <c r="A116" s="1">
        <v>44760</v>
      </c>
      <c r="B116" s="1" t="str">
        <f t="shared" si="5"/>
        <v>Monday</v>
      </c>
      <c r="C116">
        <v>16151.400390999999</v>
      </c>
      <c r="D116">
        <v>16287.950194999999</v>
      </c>
      <c r="E116">
        <v>16142.200194999999</v>
      </c>
      <c r="F116">
        <v>16278.5</v>
      </c>
      <c r="G116">
        <v>16278.5</v>
      </c>
      <c r="H116">
        <f t="shared" si="6"/>
        <v>0</v>
      </c>
      <c r="I116">
        <f t="shared" si="7"/>
        <v>0</v>
      </c>
      <c r="J116">
        <f t="shared" si="8"/>
        <v>0</v>
      </c>
      <c r="K116">
        <f t="shared" si="9"/>
        <v>0</v>
      </c>
    </row>
    <row r="117" spans="1:11" x14ac:dyDescent="0.25">
      <c r="A117" s="1">
        <v>44761</v>
      </c>
      <c r="B117" s="1" t="str">
        <f t="shared" si="5"/>
        <v>Tuesday</v>
      </c>
      <c r="C117">
        <v>16187.049805000001</v>
      </c>
      <c r="D117">
        <v>16359.5</v>
      </c>
      <c r="E117">
        <v>16187.049805000001</v>
      </c>
      <c r="F117">
        <v>16340.549805000001</v>
      </c>
      <c r="G117">
        <v>16340.549805000001</v>
      </c>
      <c r="H117">
        <f t="shared" si="6"/>
        <v>0</v>
      </c>
      <c r="I117">
        <f t="shared" si="7"/>
        <v>0</v>
      </c>
      <c r="J117">
        <f t="shared" si="8"/>
        <v>0</v>
      </c>
      <c r="K117">
        <f t="shared" si="9"/>
        <v>0</v>
      </c>
    </row>
    <row r="118" spans="1:11" x14ac:dyDescent="0.25">
      <c r="A118" s="1">
        <v>44762</v>
      </c>
      <c r="B118" s="1" t="str">
        <f t="shared" si="5"/>
        <v>Wednesday</v>
      </c>
      <c r="C118">
        <v>16562.800781000002</v>
      </c>
      <c r="D118">
        <v>16588</v>
      </c>
      <c r="E118">
        <v>16490.949218999998</v>
      </c>
      <c r="F118">
        <v>16520.849609000001</v>
      </c>
      <c r="G118">
        <v>16520.849609000001</v>
      </c>
      <c r="H118">
        <f t="shared" si="6"/>
        <v>0</v>
      </c>
      <c r="I118">
        <f t="shared" si="7"/>
        <v>0</v>
      </c>
      <c r="J118">
        <f t="shared" si="8"/>
        <v>0</v>
      </c>
      <c r="K118">
        <f t="shared" si="9"/>
        <v>0</v>
      </c>
    </row>
    <row r="119" spans="1:11" x14ac:dyDescent="0.25">
      <c r="A119" s="1">
        <v>44763</v>
      </c>
      <c r="B119" s="1" t="str">
        <f t="shared" si="5"/>
        <v>Thursday</v>
      </c>
      <c r="C119">
        <v>16523.550781000002</v>
      </c>
      <c r="D119">
        <v>16626.949218999998</v>
      </c>
      <c r="E119">
        <v>16483.900390999999</v>
      </c>
      <c r="F119">
        <v>16605.25</v>
      </c>
      <c r="G119">
        <v>16605.25</v>
      </c>
      <c r="H119">
        <f t="shared" si="6"/>
        <v>0</v>
      </c>
      <c r="I119">
        <f t="shared" si="7"/>
        <v>0</v>
      </c>
      <c r="J119">
        <f t="shared" si="8"/>
        <v>0</v>
      </c>
      <c r="K119">
        <f t="shared" si="9"/>
        <v>0</v>
      </c>
    </row>
    <row r="120" spans="1:11" x14ac:dyDescent="0.25">
      <c r="A120" s="1">
        <v>44764</v>
      </c>
      <c r="B120" s="1" t="str">
        <f t="shared" si="5"/>
        <v>Friday</v>
      </c>
      <c r="C120">
        <v>16661.25</v>
      </c>
      <c r="D120">
        <v>16752.25</v>
      </c>
      <c r="E120">
        <v>16610.900390999999</v>
      </c>
      <c r="F120">
        <v>16719.449218999998</v>
      </c>
      <c r="G120">
        <v>16719.449218999998</v>
      </c>
      <c r="H120">
        <f t="shared" si="6"/>
        <v>17000</v>
      </c>
      <c r="I120">
        <f t="shared" si="7"/>
        <v>16450</v>
      </c>
      <c r="J120">
        <f t="shared" si="8"/>
        <v>17250</v>
      </c>
      <c r="K120">
        <f t="shared" si="9"/>
        <v>16200</v>
      </c>
    </row>
    <row r="121" spans="1:11" x14ac:dyDescent="0.25">
      <c r="A121" s="1">
        <v>44767</v>
      </c>
      <c r="B121" s="1" t="str">
        <f t="shared" si="5"/>
        <v>Monday</v>
      </c>
      <c r="C121">
        <v>16662.550781000002</v>
      </c>
      <c r="D121">
        <v>16706.050781000002</v>
      </c>
      <c r="E121">
        <v>16564.25</v>
      </c>
      <c r="F121">
        <v>16631</v>
      </c>
      <c r="G121">
        <v>16631</v>
      </c>
      <c r="H121">
        <f t="shared" si="6"/>
        <v>0</v>
      </c>
      <c r="I121">
        <f t="shared" si="7"/>
        <v>0</v>
      </c>
      <c r="J121">
        <f t="shared" si="8"/>
        <v>0</v>
      </c>
      <c r="K121">
        <f t="shared" si="9"/>
        <v>0</v>
      </c>
    </row>
    <row r="122" spans="1:11" x14ac:dyDescent="0.25">
      <c r="A122" s="1">
        <v>44768</v>
      </c>
      <c r="B122" s="1" t="str">
        <f t="shared" si="5"/>
        <v>Tuesday</v>
      </c>
      <c r="C122">
        <v>16632.900390999999</v>
      </c>
      <c r="D122">
        <v>16636.099609000001</v>
      </c>
      <c r="E122">
        <v>16463.300781000002</v>
      </c>
      <c r="F122">
        <v>16483.849609000001</v>
      </c>
      <c r="G122">
        <v>16483.849609000001</v>
      </c>
      <c r="H122">
        <f t="shared" si="6"/>
        <v>0</v>
      </c>
      <c r="I122">
        <f t="shared" si="7"/>
        <v>0</v>
      </c>
      <c r="J122">
        <f t="shared" si="8"/>
        <v>0</v>
      </c>
      <c r="K122">
        <f t="shared" si="9"/>
        <v>0</v>
      </c>
    </row>
    <row r="123" spans="1:11" x14ac:dyDescent="0.25">
      <c r="A123" s="1">
        <v>44769</v>
      </c>
      <c r="B123" s="1" t="str">
        <f t="shared" si="5"/>
        <v>Wednesday</v>
      </c>
      <c r="C123">
        <v>16475.349609000001</v>
      </c>
      <c r="D123">
        <v>16653.449218999998</v>
      </c>
      <c r="E123">
        <v>16438.75</v>
      </c>
      <c r="F123">
        <v>16641.800781000002</v>
      </c>
      <c r="G123">
        <v>16641.800781000002</v>
      </c>
      <c r="H123">
        <f t="shared" si="6"/>
        <v>0</v>
      </c>
      <c r="I123">
        <f t="shared" si="7"/>
        <v>0</v>
      </c>
      <c r="J123">
        <f t="shared" si="8"/>
        <v>0</v>
      </c>
      <c r="K123">
        <f t="shared" si="9"/>
        <v>0</v>
      </c>
    </row>
    <row r="124" spans="1:11" x14ac:dyDescent="0.25">
      <c r="A124" s="1">
        <v>44770</v>
      </c>
      <c r="B124" s="1" t="str">
        <f t="shared" si="5"/>
        <v>Thursday</v>
      </c>
      <c r="C124">
        <v>16774.849609000001</v>
      </c>
      <c r="D124">
        <v>16947.650390999999</v>
      </c>
      <c r="E124">
        <v>16746.25</v>
      </c>
      <c r="F124">
        <v>16929.599609000001</v>
      </c>
      <c r="G124">
        <v>16929.599609000001</v>
      </c>
      <c r="H124">
        <f t="shared" si="6"/>
        <v>0</v>
      </c>
      <c r="I124">
        <f t="shared" si="7"/>
        <v>0</v>
      </c>
      <c r="J124">
        <f t="shared" si="8"/>
        <v>0</v>
      </c>
      <c r="K124">
        <f t="shared" si="9"/>
        <v>0</v>
      </c>
    </row>
    <row r="125" spans="1:11" x14ac:dyDescent="0.25">
      <c r="A125" s="1">
        <v>44771</v>
      </c>
      <c r="B125" s="1" t="str">
        <f t="shared" si="5"/>
        <v>Friday</v>
      </c>
      <c r="C125">
        <v>17079.5</v>
      </c>
      <c r="D125">
        <v>17172.800781000002</v>
      </c>
      <c r="E125">
        <v>17018.150390999999</v>
      </c>
      <c r="F125">
        <v>17158.25</v>
      </c>
      <c r="G125">
        <v>17158.25</v>
      </c>
      <c r="H125">
        <f t="shared" si="6"/>
        <v>17450</v>
      </c>
      <c r="I125">
        <f t="shared" si="7"/>
        <v>16900</v>
      </c>
      <c r="J125">
        <f t="shared" si="8"/>
        <v>17700</v>
      </c>
      <c r="K125">
        <f t="shared" si="9"/>
        <v>16650</v>
      </c>
    </row>
    <row r="126" spans="1:11" x14ac:dyDescent="0.25">
      <c r="A126" s="1">
        <v>44774</v>
      </c>
      <c r="B126" s="1" t="str">
        <f t="shared" si="5"/>
        <v>Monday</v>
      </c>
      <c r="C126">
        <v>17243.199218999998</v>
      </c>
      <c r="D126">
        <v>17356.25</v>
      </c>
      <c r="E126">
        <v>17154.800781000002</v>
      </c>
      <c r="F126">
        <v>17340.050781000002</v>
      </c>
      <c r="G126">
        <v>17340.050781000002</v>
      </c>
      <c r="H126">
        <f t="shared" si="6"/>
        <v>0</v>
      </c>
      <c r="I126">
        <f t="shared" si="7"/>
        <v>0</v>
      </c>
      <c r="J126">
        <f t="shared" si="8"/>
        <v>0</v>
      </c>
      <c r="K126">
        <f t="shared" si="9"/>
        <v>0</v>
      </c>
    </row>
    <row r="127" spans="1:11" x14ac:dyDescent="0.25">
      <c r="A127" s="1">
        <v>44775</v>
      </c>
      <c r="B127" s="1" t="str">
        <f t="shared" si="5"/>
        <v>Tuesday</v>
      </c>
      <c r="C127">
        <v>17310.150390999999</v>
      </c>
      <c r="D127">
        <v>17390.150390999999</v>
      </c>
      <c r="E127">
        <v>17215.849609000001</v>
      </c>
      <c r="F127">
        <v>17345.449218999998</v>
      </c>
      <c r="G127">
        <v>17345.449218999998</v>
      </c>
      <c r="H127">
        <f t="shared" si="6"/>
        <v>0</v>
      </c>
      <c r="I127">
        <f t="shared" si="7"/>
        <v>0</v>
      </c>
      <c r="J127">
        <f t="shared" si="8"/>
        <v>0</v>
      </c>
      <c r="K127">
        <f t="shared" si="9"/>
        <v>0</v>
      </c>
    </row>
    <row r="128" spans="1:11" x14ac:dyDescent="0.25">
      <c r="A128" s="1">
        <v>44776</v>
      </c>
      <c r="B128" s="1" t="str">
        <f t="shared" si="5"/>
        <v>Wednesday</v>
      </c>
      <c r="C128">
        <v>17349.25</v>
      </c>
      <c r="D128">
        <v>17407.5</v>
      </c>
      <c r="E128">
        <v>17225.849609000001</v>
      </c>
      <c r="F128">
        <v>17388.150390999999</v>
      </c>
      <c r="G128">
        <v>17388.150390999999</v>
      </c>
      <c r="H128">
        <f t="shared" si="6"/>
        <v>0</v>
      </c>
      <c r="I128">
        <f t="shared" si="7"/>
        <v>0</v>
      </c>
      <c r="J128">
        <f t="shared" si="8"/>
        <v>0</v>
      </c>
      <c r="K128">
        <f t="shared" si="9"/>
        <v>0</v>
      </c>
    </row>
    <row r="129" spans="1:11" x14ac:dyDescent="0.25">
      <c r="A129" s="1">
        <v>44777</v>
      </c>
      <c r="B129" s="1" t="str">
        <f t="shared" si="5"/>
        <v>Thursday</v>
      </c>
      <c r="C129">
        <v>17463.099609000001</v>
      </c>
      <c r="D129">
        <v>17490.699218999998</v>
      </c>
      <c r="E129">
        <v>17161.25</v>
      </c>
      <c r="F129">
        <v>17382</v>
      </c>
      <c r="G129">
        <v>17382</v>
      </c>
      <c r="H129">
        <f t="shared" si="6"/>
        <v>0</v>
      </c>
      <c r="I129">
        <f t="shared" si="7"/>
        <v>0</v>
      </c>
      <c r="J129">
        <f t="shared" si="8"/>
        <v>0</v>
      </c>
      <c r="K129">
        <f t="shared" si="9"/>
        <v>0</v>
      </c>
    </row>
    <row r="130" spans="1:11" x14ac:dyDescent="0.25">
      <c r="A130" s="1">
        <v>44778</v>
      </c>
      <c r="B130" s="1" t="str">
        <f t="shared" si="5"/>
        <v>Friday</v>
      </c>
      <c r="C130">
        <v>17423.650390999999</v>
      </c>
      <c r="D130">
        <v>17474.400390999999</v>
      </c>
      <c r="E130">
        <v>17348.75</v>
      </c>
      <c r="F130">
        <v>17397.5</v>
      </c>
      <c r="G130">
        <v>17397.5</v>
      </c>
      <c r="H130">
        <f t="shared" si="6"/>
        <v>17650</v>
      </c>
      <c r="I130">
        <f t="shared" si="7"/>
        <v>17100</v>
      </c>
      <c r="J130">
        <f t="shared" si="8"/>
        <v>17900</v>
      </c>
      <c r="K130">
        <f t="shared" si="9"/>
        <v>16850</v>
      </c>
    </row>
    <row r="131" spans="1:11" x14ac:dyDescent="0.25">
      <c r="A131" s="1">
        <v>44781</v>
      </c>
      <c r="B131" s="1" t="str">
        <f t="shared" ref="B131:B194" si="10">TEXT(A131,"dddd")</f>
        <v>Monday</v>
      </c>
      <c r="C131">
        <v>17401.5</v>
      </c>
      <c r="D131">
        <v>17548.800781000002</v>
      </c>
      <c r="E131">
        <v>17359.75</v>
      </c>
      <c r="F131">
        <v>17525.099609000001</v>
      </c>
      <c r="G131">
        <v>17525.099609000001</v>
      </c>
      <c r="H131">
        <f t="shared" ref="H131:H194" si="11">IF(B131="Friday",CEILING(G131+250,50),0)</f>
        <v>0</v>
      </c>
      <c r="I131">
        <f t="shared" ref="I131:I194" si="12">IF(B131="Friday",FLOOR(G131-250,50),0)</f>
        <v>0</v>
      </c>
      <c r="J131">
        <f t="shared" si="8"/>
        <v>0</v>
      </c>
      <c r="K131">
        <f t="shared" si="9"/>
        <v>0</v>
      </c>
    </row>
    <row r="132" spans="1:11" x14ac:dyDescent="0.25">
      <c r="A132" s="1">
        <v>44783</v>
      </c>
      <c r="B132" s="1" t="str">
        <f t="shared" si="10"/>
        <v>Wednesday</v>
      </c>
      <c r="C132">
        <v>17566.099609000001</v>
      </c>
      <c r="D132">
        <v>17566.099609000001</v>
      </c>
      <c r="E132">
        <v>17442.800781000002</v>
      </c>
      <c r="F132">
        <v>17534.75</v>
      </c>
      <c r="G132">
        <v>17534.75</v>
      </c>
      <c r="H132">
        <f t="shared" si="11"/>
        <v>0</v>
      </c>
      <c r="I132">
        <f t="shared" si="12"/>
        <v>0</v>
      </c>
      <c r="J132">
        <f t="shared" si="8"/>
        <v>0</v>
      </c>
      <c r="K132">
        <f t="shared" si="9"/>
        <v>0</v>
      </c>
    </row>
    <row r="133" spans="1:11" x14ac:dyDescent="0.25">
      <c r="A133" s="1">
        <v>44784</v>
      </c>
      <c r="B133" s="1" t="str">
        <f t="shared" si="10"/>
        <v>Thursday</v>
      </c>
      <c r="C133">
        <v>17711.650390999999</v>
      </c>
      <c r="D133">
        <v>17719.300781000002</v>
      </c>
      <c r="E133">
        <v>17631.949218999998</v>
      </c>
      <c r="F133">
        <v>17659</v>
      </c>
      <c r="G133">
        <v>17659</v>
      </c>
      <c r="H133">
        <f t="shared" si="11"/>
        <v>0</v>
      </c>
      <c r="I133">
        <f t="shared" si="12"/>
        <v>0</v>
      </c>
      <c r="J133">
        <f t="shared" si="8"/>
        <v>0</v>
      </c>
      <c r="K133">
        <f t="shared" si="9"/>
        <v>0</v>
      </c>
    </row>
    <row r="134" spans="1:11" x14ac:dyDescent="0.25">
      <c r="A134" s="1">
        <v>44785</v>
      </c>
      <c r="B134" s="1" t="str">
        <f t="shared" si="10"/>
        <v>Friday</v>
      </c>
      <c r="C134">
        <v>17659.650390999999</v>
      </c>
      <c r="D134">
        <v>17724.650390999999</v>
      </c>
      <c r="E134">
        <v>17597.849609000001</v>
      </c>
      <c r="F134">
        <v>17698.150390999999</v>
      </c>
      <c r="G134">
        <v>17698.150390999999</v>
      </c>
      <c r="H134">
        <f t="shared" si="11"/>
        <v>17950</v>
      </c>
      <c r="I134">
        <f t="shared" si="12"/>
        <v>17400</v>
      </c>
      <c r="J134">
        <f t="shared" ref="J134:J197" si="13">IF(H134=0,0,H134+250)</f>
        <v>18200</v>
      </c>
      <c r="K134">
        <f t="shared" ref="K134:K197" si="14">IF(I134=0,0,I134-250)</f>
        <v>17150</v>
      </c>
    </row>
    <row r="135" spans="1:11" x14ac:dyDescent="0.25">
      <c r="A135" s="1">
        <v>44789</v>
      </c>
      <c r="B135" s="1" t="str">
        <f t="shared" si="10"/>
        <v>Tuesday</v>
      </c>
      <c r="C135">
        <v>17797.199218999998</v>
      </c>
      <c r="D135">
        <v>17839.099609000001</v>
      </c>
      <c r="E135">
        <v>17764.050781000002</v>
      </c>
      <c r="F135">
        <v>17825.25</v>
      </c>
      <c r="G135">
        <v>17825.25</v>
      </c>
      <c r="H135">
        <f t="shared" si="11"/>
        <v>0</v>
      </c>
      <c r="I135">
        <f t="shared" si="12"/>
        <v>0</v>
      </c>
      <c r="J135">
        <f t="shared" si="13"/>
        <v>0</v>
      </c>
      <c r="K135">
        <f t="shared" si="14"/>
        <v>0</v>
      </c>
    </row>
    <row r="136" spans="1:11" x14ac:dyDescent="0.25">
      <c r="A136" s="1">
        <v>44790</v>
      </c>
      <c r="B136" s="1" t="str">
        <f t="shared" si="10"/>
        <v>Wednesday</v>
      </c>
      <c r="C136">
        <v>17868.150390999999</v>
      </c>
      <c r="D136">
        <v>17965.949218999998</v>
      </c>
      <c r="E136">
        <v>17833.349609000001</v>
      </c>
      <c r="F136">
        <v>17944.25</v>
      </c>
      <c r="G136">
        <v>17944.25</v>
      </c>
      <c r="H136">
        <f t="shared" si="11"/>
        <v>0</v>
      </c>
      <c r="I136">
        <f t="shared" si="12"/>
        <v>0</v>
      </c>
      <c r="J136">
        <f t="shared" si="13"/>
        <v>0</v>
      </c>
      <c r="K136">
        <f t="shared" si="14"/>
        <v>0</v>
      </c>
    </row>
    <row r="137" spans="1:11" x14ac:dyDescent="0.25">
      <c r="A137" s="1">
        <v>44791</v>
      </c>
      <c r="B137" s="1" t="str">
        <f t="shared" si="10"/>
        <v>Thursday</v>
      </c>
      <c r="C137">
        <v>17898.650390999999</v>
      </c>
      <c r="D137">
        <v>17968.449218999998</v>
      </c>
      <c r="E137">
        <v>17852.050781000002</v>
      </c>
      <c r="F137">
        <v>17956.5</v>
      </c>
      <c r="G137">
        <v>17956.5</v>
      </c>
      <c r="H137">
        <f t="shared" si="11"/>
        <v>0</v>
      </c>
      <c r="I137">
        <f t="shared" si="12"/>
        <v>0</v>
      </c>
      <c r="J137">
        <f t="shared" si="13"/>
        <v>0</v>
      </c>
      <c r="K137">
        <f t="shared" si="14"/>
        <v>0</v>
      </c>
    </row>
    <row r="138" spans="1:11" x14ac:dyDescent="0.25">
      <c r="A138" s="1">
        <v>44792</v>
      </c>
      <c r="B138" s="1" t="str">
        <f t="shared" si="10"/>
        <v>Friday</v>
      </c>
      <c r="C138">
        <v>17966.550781000002</v>
      </c>
      <c r="D138">
        <v>17992.199218999998</v>
      </c>
      <c r="E138">
        <v>17710.75</v>
      </c>
      <c r="F138">
        <v>17758.449218999998</v>
      </c>
      <c r="G138">
        <v>17758.449218999998</v>
      </c>
      <c r="H138">
        <f t="shared" si="11"/>
        <v>18050</v>
      </c>
      <c r="I138">
        <f t="shared" si="12"/>
        <v>17500</v>
      </c>
      <c r="J138">
        <f t="shared" si="13"/>
        <v>18300</v>
      </c>
      <c r="K138">
        <f t="shared" si="14"/>
        <v>17250</v>
      </c>
    </row>
    <row r="139" spans="1:11" x14ac:dyDescent="0.25">
      <c r="A139" s="1">
        <v>44795</v>
      </c>
      <c r="B139" s="1" t="str">
        <f t="shared" si="10"/>
        <v>Monday</v>
      </c>
      <c r="C139">
        <v>17682.900390999999</v>
      </c>
      <c r="D139">
        <v>17690.050781000002</v>
      </c>
      <c r="E139">
        <v>17467.349609000001</v>
      </c>
      <c r="F139">
        <v>17490.699218999998</v>
      </c>
      <c r="G139">
        <v>17490.699218999998</v>
      </c>
      <c r="H139">
        <f t="shared" si="11"/>
        <v>0</v>
      </c>
      <c r="I139">
        <f t="shared" si="12"/>
        <v>0</v>
      </c>
      <c r="J139">
        <f t="shared" si="13"/>
        <v>0</v>
      </c>
      <c r="K139">
        <f t="shared" si="14"/>
        <v>0</v>
      </c>
    </row>
    <row r="140" spans="1:11" x14ac:dyDescent="0.25">
      <c r="A140" s="1">
        <v>44796</v>
      </c>
      <c r="B140" s="1" t="str">
        <f t="shared" si="10"/>
        <v>Tuesday</v>
      </c>
      <c r="C140">
        <v>17357.349609000001</v>
      </c>
      <c r="D140">
        <v>17625.550781000002</v>
      </c>
      <c r="E140">
        <v>17345.199218999998</v>
      </c>
      <c r="F140">
        <v>17577.5</v>
      </c>
      <c r="G140">
        <v>17577.5</v>
      </c>
      <c r="H140">
        <f t="shared" si="11"/>
        <v>0</v>
      </c>
      <c r="I140">
        <f t="shared" si="12"/>
        <v>0</v>
      </c>
      <c r="J140">
        <f t="shared" si="13"/>
        <v>0</v>
      </c>
      <c r="K140">
        <f t="shared" si="14"/>
        <v>0</v>
      </c>
    </row>
    <row r="141" spans="1:11" x14ac:dyDescent="0.25">
      <c r="A141" s="1">
        <v>44797</v>
      </c>
      <c r="B141" s="1" t="str">
        <f t="shared" si="10"/>
        <v>Wednesday</v>
      </c>
      <c r="C141">
        <v>17525.449218999998</v>
      </c>
      <c r="D141">
        <v>17623.650390999999</v>
      </c>
      <c r="E141">
        <v>17499.25</v>
      </c>
      <c r="F141">
        <v>17604.949218999998</v>
      </c>
      <c r="G141">
        <v>17604.949218999998</v>
      </c>
      <c r="H141">
        <f t="shared" si="11"/>
        <v>0</v>
      </c>
      <c r="I141">
        <f t="shared" si="12"/>
        <v>0</v>
      </c>
      <c r="J141">
        <f t="shared" si="13"/>
        <v>0</v>
      </c>
      <c r="K141">
        <f t="shared" si="14"/>
        <v>0</v>
      </c>
    </row>
    <row r="142" spans="1:11" x14ac:dyDescent="0.25">
      <c r="A142" s="1">
        <v>44798</v>
      </c>
      <c r="B142" s="1" t="str">
        <f t="shared" si="10"/>
        <v>Thursday</v>
      </c>
      <c r="C142">
        <v>17679</v>
      </c>
      <c r="D142">
        <v>17726.5</v>
      </c>
      <c r="E142">
        <v>17487.449218999998</v>
      </c>
      <c r="F142">
        <v>17522.449218999998</v>
      </c>
      <c r="G142">
        <v>17522.449218999998</v>
      </c>
      <c r="H142">
        <f t="shared" si="11"/>
        <v>0</v>
      </c>
      <c r="I142">
        <f t="shared" si="12"/>
        <v>0</v>
      </c>
      <c r="J142">
        <f t="shared" si="13"/>
        <v>0</v>
      </c>
      <c r="K142">
        <f t="shared" si="14"/>
        <v>0</v>
      </c>
    </row>
    <row r="143" spans="1:11" x14ac:dyDescent="0.25">
      <c r="A143" s="1">
        <v>44799</v>
      </c>
      <c r="B143" s="1" t="str">
        <f t="shared" si="10"/>
        <v>Friday</v>
      </c>
      <c r="C143">
        <v>17619.300781000002</v>
      </c>
      <c r="D143">
        <v>17685.849609000001</v>
      </c>
      <c r="E143">
        <v>17519.349609000001</v>
      </c>
      <c r="F143">
        <v>17558.900390999999</v>
      </c>
      <c r="G143">
        <v>17558.900390999999</v>
      </c>
      <c r="H143">
        <f t="shared" si="11"/>
        <v>17850</v>
      </c>
      <c r="I143">
        <f t="shared" si="12"/>
        <v>17300</v>
      </c>
      <c r="J143">
        <f t="shared" si="13"/>
        <v>18100</v>
      </c>
      <c r="K143">
        <f t="shared" si="14"/>
        <v>17050</v>
      </c>
    </row>
    <row r="144" spans="1:11" x14ac:dyDescent="0.25">
      <c r="A144" s="1">
        <v>44802</v>
      </c>
      <c r="B144" s="1" t="str">
        <f t="shared" si="10"/>
        <v>Monday</v>
      </c>
      <c r="C144">
        <v>17188.650390999999</v>
      </c>
      <c r="D144">
        <v>17380.150390999999</v>
      </c>
      <c r="E144">
        <v>17166.199218999998</v>
      </c>
      <c r="F144">
        <v>17312.900390999999</v>
      </c>
      <c r="G144">
        <v>17312.900390999999</v>
      </c>
      <c r="H144">
        <f t="shared" si="11"/>
        <v>0</v>
      </c>
      <c r="I144">
        <f t="shared" si="12"/>
        <v>0</v>
      </c>
      <c r="J144">
        <f t="shared" si="13"/>
        <v>0</v>
      </c>
      <c r="K144">
        <f t="shared" si="14"/>
        <v>0</v>
      </c>
    </row>
    <row r="145" spans="1:11" x14ac:dyDescent="0.25">
      <c r="A145" s="1">
        <v>44803</v>
      </c>
      <c r="B145" s="1" t="str">
        <f t="shared" si="10"/>
        <v>Tuesday</v>
      </c>
      <c r="C145">
        <v>17414.949218999998</v>
      </c>
      <c r="D145">
        <v>17777.650390999999</v>
      </c>
      <c r="E145">
        <v>17401.5</v>
      </c>
      <c r="F145">
        <v>17759.300781000002</v>
      </c>
      <c r="G145">
        <v>17759.300781000002</v>
      </c>
      <c r="H145">
        <f t="shared" si="11"/>
        <v>0</v>
      </c>
      <c r="I145">
        <f t="shared" si="12"/>
        <v>0</v>
      </c>
      <c r="J145">
        <f t="shared" si="13"/>
        <v>0</v>
      </c>
      <c r="K145">
        <f t="shared" si="14"/>
        <v>0</v>
      </c>
    </row>
    <row r="146" spans="1:11" x14ac:dyDescent="0.25">
      <c r="A146" s="1">
        <v>44805</v>
      </c>
      <c r="B146" s="1" t="str">
        <f t="shared" si="10"/>
        <v>Thursday</v>
      </c>
      <c r="C146">
        <v>17485.699218999998</v>
      </c>
      <c r="D146">
        <v>17695.599609000001</v>
      </c>
      <c r="E146">
        <v>17468.449218999998</v>
      </c>
      <c r="F146">
        <v>17542.800781000002</v>
      </c>
      <c r="G146">
        <v>17542.800781000002</v>
      </c>
      <c r="H146">
        <f t="shared" si="11"/>
        <v>0</v>
      </c>
      <c r="I146">
        <f t="shared" si="12"/>
        <v>0</v>
      </c>
      <c r="J146">
        <f t="shared" si="13"/>
        <v>0</v>
      </c>
      <c r="K146">
        <f t="shared" si="14"/>
        <v>0</v>
      </c>
    </row>
    <row r="147" spans="1:11" x14ac:dyDescent="0.25">
      <c r="A147" s="1">
        <v>44806</v>
      </c>
      <c r="B147" s="1" t="str">
        <f t="shared" si="10"/>
        <v>Friday</v>
      </c>
      <c r="C147">
        <v>17598.400390999999</v>
      </c>
      <c r="D147">
        <v>17643.849609000001</v>
      </c>
      <c r="E147">
        <v>17476.449218999998</v>
      </c>
      <c r="F147">
        <v>17539.449218999998</v>
      </c>
      <c r="G147">
        <v>17539.449218999998</v>
      </c>
      <c r="H147">
        <f t="shared" si="11"/>
        <v>17800</v>
      </c>
      <c r="I147">
        <f t="shared" si="12"/>
        <v>17250</v>
      </c>
      <c r="J147">
        <f t="shared" si="13"/>
        <v>18050</v>
      </c>
      <c r="K147">
        <f t="shared" si="14"/>
        <v>17000</v>
      </c>
    </row>
    <row r="148" spans="1:11" x14ac:dyDescent="0.25">
      <c r="A148" s="1">
        <v>44809</v>
      </c>
      <c r="B148" s="1" t="str">
        <f t="shared" si="10"/>
        <v>Monday</v>
      </c>
      <c r="C148">
        <v>17546.449218999998</v>
      </c>
      <c r="D148">
        <v>17683.150390999999</v>
      </c>
      <c r="E148">
        <v>17540.349609000001</v>
      </c>
      <c r="F148">
        <v>17665.800781000002</v>
      </c>
      <c r="G148">
        <v>17665.800781000002</v>
      </c>
      <c r="H148">
        <f t="shared" si="11"/>
        <v>0</v>
      </c>
      <c r="I148">
        <f t="shared" si="12"/>
        <v>0</v>
      </c>
      <c r="J148">
        <f t="shared" si="13"/>
        <v>0</v>
      </c>
      <c r="K148">
        <f t="shared" si="14"/>
        <v>0</v>
      </c>
    </row>
    <row r="149" spans="1:11" x14ac:dyDescent="0.25">
      <c r="A149" s="1">
        <v>44810</v>
      </c>
      <c r="B149" s="1" t="str">
        <f t="shared" si="10"/>
        <v>Tuesday</v>
      </c>
      <c r="C149">
        <v>17695.699218999998</v>
      </c>
      <c r="D149">
        <v>17764.650390999999</v>
      </c>
      <c r="E149">
        <v>17587.650390999999</v>
      </c>
      <c r="F149">
        <v>17655.599609000001</v>
      </c>
      <c r="G149">
        <v>17655.599609000001</v>
      </c>
      <c r="H149">
        <f t="shared" si="11"/>
        <v>0</v>
      </c>
      <c r="I149">
        <f t="shared" si="12"/>
        <v>0</v>
      </c>
      <c r="J149">
        <f t="shared" si="13"/>
        <v>0</v>
      </c>
      <c r="K149">
        <f t="shared" si="14"/>
        <v>0</v>
      </c>
    </row>
    <row r="150" spans="1:11" x14ac:dyDescent="0.25">
      <c r="A150" s="1">
        <v>44811</v>
      </c>
      <c r="B150" s="1" t="str">
        <f t="shared" si="10"/>
        <v>Wednesday</v>
      </c>
      <c r="C150">
        <v>17519.400390999999</v>
      </c>
      <c r="D150">
        <v>17650.75</v>
      </c>
      <c r="E150">
        <v>17484.300781000002</v>
      </c>
      <c r="F150">
        <v>17624.400390999999</v>
      </c>
      <c r="G150">
        <v>17624.400390999999</v>
      </c>
      <c r="H150">
        <f t="shared" si="11"/>
        <v>0</v>
      </c>
      <c r="I150">
        <f t="shared" si="12"/>
        <v>0</v>
      </c>
      <c r="J150">
        <f t="shared" si="13"/>
        <v>0</v>
      </c>
      <c r="K150">
        <f t="shared" si="14"/>
        <v>0</v>
      </c>
    </row>
    <row r="151" spans="1:11" x14ac:dyDescent="0.25">
      <c r="A151" s="1">
        <v>44812</v>
      </c>
      <c r="B151" s="1" t="str">
        <f t="shared" si="10"/>
        <v>Thursday</v>
      </c>
      <c r="C151">
        <v>17748.150390999999</v>
      </c>
      <c r="D151">
        <v>17807.650390999999</v>
      </c>
      <c r="E151">
        <v>17691.949218999998</v>
      </c>
      <c r="F151">
        <v>17798.75</v>
      </c>
      <c r="G151">
        <v>17798.75</v>
      </c>
      <c r="H151">
        <f t="shared" si="11"/>
        <v>0</v>
      </c>
      <c r="I151">
        <f t="shared" si="12"/>
        <v>0</v>
      </c>
      <c r="J151">
        <f t="shared" si="13"/>
        <v>0</v>
      </c>
      <c r="K151">
        <f t="shared" si="14"/>
        <v>0</v>
      </c>
    </row>
    <row r="152" spans="1:11" x14ac:dyDescent="0.25">
      <c r="A152" s="1">
        <v>44813</v>
      </c>
      <c r="B152" s="1" t="str">
        <f t="shared" si="10"/>
        <v>Friday</v>
      </c>
      <c r="C152">
        <v>17923.349609000001</v>
      </c>
      <c r="D152">
        <v>17925.949218999998</v>
      </c>
      <c r="E152">
        <v>17786</v>
      </c>
      <c r="F152">
        <v>17833.349609000001</v>
      </c>
      <c r="G152">
        <v>17833.349609000001</v>
      </c>
      <c r="H152">
        <f t="shared" si="11"/>
        <v>18100</v>
      </c>
      <c r="I152">
        <f t="shared" si="12"/>
        <v>17550</v>
      </c>
      <c r="J152">
        <f t="shared" si="13"/>
        <v>18350</v>
      </c>
      <c r="K152">
        <f t="shared" si="14"/>
        <v>17300</v>
      </c>
    </row>
    <row r="153" spans="1:11" x14ac:dyDescent="0.25">
      <c r="A153" s="1">
        <v>44816</v>
      </c>
      <c r="B153" s="1" t="str">
        <f t="shared" si="10"/>
        <v>Monday</v>
      </c>
      <c r="C153">
        <v>17890.849609000001</v>
      </c>
      <c r="D153">
        <v>17980.550781000002</v>
      </c>
      <c r="E153">
        <v>17889.150390999999</v>
      </c>
      <c r="F153">
        <v>17936.349609000001</v>
      </c>
      <c r="G153">
        <v>17936.349609000001</v>
      </c>
      <c r="H153">
        <f t="shared" si="11"/>
        <v>0</v>
      </c>
      <c r="I153">
        <f t="shared" si="12"/>
        <v>0</v>
      </c>
      <c r="J153">
        <f t="shared" si="13"/>
        <v>0</v>
      </c>
      <c r="K153">
        <f t="shared" si="14"/>
        <v>0</v>
      </c>
    </row>
    <row r="154" spans="1:11" x14ac:dyDescent="0.25">
      <c r="A154" s="1">
        <v>44817</v>
      </c>
      <c r="B154" s="1" t="str">
        <f t="shared" si="10"/>
        <v>Tuesday</v>
      </c>
      <c r="C154">
        <v>18044.449218999998</v>
      </c>
      <c r="D154">
        <v>18088.300781000002</v>
      </c>
      <c r="E154">
        <v>18015.449218999998</v>
      </c>
      <c r="F154">
        <v>18070.050781000002</v>
      </c>
      <c r="G154">
        <v>18070.050781000002</v>
      </c>
      <c r="H154">
        <f t="shared" si="11"/>
        <v>0</v>
      </c>
      <c r="I154">
        <f t="shared" si="12"/>
        <v>0</v>
      </c>
      <c r="J154">
        <f t="shared" si="13"/>
        <v>0</v>
      </c>
      <c r="K154">
        <f t="shared" si="14"/>
        <v>0</v>
      </c>
    </row>
    <row r="155" spans="1:11" x14ac:dyDescent="0.25">
      <c r="A155" s="1">
        <v>44818</v>
      </c>
      <c r="B155" s="1" t="str">
        <f t="shared" si="10"/>
        <v>Wednesday</v>
      </c>
      <c r="C155">
        <v>17771.150390999999</v>
      </c>
      <c r="D155">
        <v>18091.550781000002</v>
      </c>
      <c r="E155">
        <v>17771.150390999999</v>
      </c>
      <c r="F155">
        <v>18003.75</v>
      </c>
      <c r="G155">
        <v>18003.75</v>
      </c>
      <c r="H155">
        <f t="shared" si="11"/>
        <v>0</v>
      </c>
      <c r="I155">
        <f t="shared" si="12"/>
        <v>0</v>
      </c>
      <c r="J155">
        <f t="shared" si="13"/>
        <v>0</v>
      </c>
      <c r="K155">
        <f t="shared" si="14"/>
        <v>0</v>
      </c>
    </row>
    <row r="156" spans="1:11" x14ac:dyDescent="0.25">
      <c r="A156" s="1">
        <v>44819</v>
      </c>
      <c r="B156" s="1" t="str">
        <f t="shared" si="10"/>
        <v>Thursday</v>
      </c>
      <c r="C156">
        <v>18046.349609000001</v>
      </c>
      <c r="D156">
        <v>18096.150390999999</v>
      </c>
      <c r="E156">
        <v>17861.5</v>
      </c>
      <c r="F156">
        <v>17877.400390999999</v>
      </c>
      <c r="G156">
        <v>17877.400390999999</v>
      </c>
      <c r="H156">
        <f t="shared" si="11"/>
        <v>0</v>
      </c>
      <c r="I156">
        <f t="shared" si="12"/>
        <v>0</v>
      </c>
      <c r="J156">
        <f t="shared" si="13"/>
        <v>0</v>
      </c>
      <c r="K156">
        <f t="shared" si="14"/>
        <v>0</v>
      </c>
    </row>
    <row r="157" spans="1:11" x14ac:dyDescent="0.25">
      <c r="A157" s="1">
        <v>44820</v>
      </c>
      <c r="B157" s="1" t="str">
        <f t="shared" si="10"/>
        <v>Friday</v>
      </c>
      <c r="C157">
        <v>17796.800781000002</v>
      </c>
      <c r="D157">
        <v>17820.050781000002</v>
      </c>
      <c r="E157">
        <v>17497.25</v>
      </c>
      <c r="F157">
        <v>17530.849609000001</v>
      </c>
      <c r="G157">
        <v>17530.849609000001</v>
      </c>
      <c r="H157">
        <f t="shared" si="11"/>
        <v>17800</v>
      </c>
      <c r="I157">
        <f t="shared" si="12"/>
        <v>17250</v>
      </c>
      <c r="J157">
        <f t="shared" si="13"/>
        <v>18050</v>
      </c>
      <c r="K157">
        <f t="shared" si="14"/>
        <v>17000</v>
      </c>
    </row>
    <row r="158" spans="1:11" x14ac:dyDescent="0.25">
      <c r="A158" s="1">
        <v>44823</v>
      </c>
      <c r="B158" s="1" t="str">
        <f t="shared" si="10"/>
        <v>Monday</v>
      </c>
      <c r="C158">
        <v>17540.650390999999</v>
      </c>
      <c r="D158">
        <v>17667.199218999998</v>
      </c>
      <c r="E158">
        <v>17429.699218999998</v>
      </c>
      <c r="F158">
        <v>17622.25</v>
      </c>
      <c r="G158">
        <v>17622.25</v>
      </c>
      <c r="H158">
        <f t="shared" si="11"/>
        <v>0</v>
      </c>
      <c r="I158">
        <f t="shared" si="12"/>
        <v>0</v>
      </c>
      <c r="J158">
        <f t="shared" si="13"/>
        <v>0</v>
      </c>
      <c r="K158">
        <f t="shared" si="14"/>
        <v>0</v>
      </c>
    </row>
    <row r="159" spans="1:11" x14ac:dyDescent="0.25">
      <c r="A159" s="1">
        <v>44824</v>
      </c>
      <c r="B159" s="1" t="str">
        <f t="shared" si="10"/>
        <v>Tuesday</v>
      </c>
      <c r="C159">
        <v>17770.400390999999</v>
      </c>
      <c r="D159">
        <v>17919.300781000002</v>
      </c>
      <c r="E159">
        <v>17744.400390999999</v>
      </c>
      <c r="F159">
        <v>17816.25</v>
      </c>
      <c r="G159">
        <v>17816.25</v>
      </c>
      <c r="H159">
        <f t="shared" si="11"/>
        <v>0</v>
      </c>
      <c r="I159">
        <f t="shared" si="12"/>
        <v>0</v>
      </c>
      <c r="J159">
        <f t="shared" si="13"/>
        <v>0</v>
      </c>
      <c r="K159">
        <f t="shared" si="14"/>
        <v>0</v>
      </c>
    </row>
    <row r="160" spans="1:11" x14ac:dyDescent="0.25">
      <c r="A160" s="1">
        <v>44825</v>
      </c>
      <c r="B160" s="1" t="str">
        <f t="shared" si="10"/>
        <v>Wednesday</v>
      </c>
      <c r="C160">
        <v>17766.349609000001</v>
      </c>
      <c r="D160">
        <v>17838.699218999998</v>
      </c>
      <c r="E160">
        <v>17663.599609000001</v>
      </c>
      <c r="F160">
        <v>17718.349609000001</v>
      </c>
      <c r="G160">
        <v>17718.349609000001</v>
      </c>
      <c r="H160">
        <f t="shared" si="11"/>
        <v>0</v>
      </c>
      <c r="I160">
        <f t="shared" si="12"/>
        <v>0</v>
      </c>
      <c r="J160">
        <f t="shared" si="13"/>
        <v>0</v>
      </c>
      <c r="K160">
        <f t="shared" si="14"/>
        <v>0</v>
      </c>
    </row>
    <row r="161" spans="1:11" x14ac:dyDescent="0.25">
      <c r="A161" s="1">
        <v>44826</v>
      </c>
      <c r="B161" s="1" t="str">
        <f t="shared" si="10"/>
        <v>Thursday</v>
      </c>
      <c r="C161">
        <v>17609.650390999999</v>
      </c>
      <c r="D161">
        <v>17722.75</v>
      </c>
      <c r="E161">
        <v>17532.449218999998</v>
      </c>
      <c r="F161">
        <v>17629.800781000002</v>
      </c>
      <c r="G161">
        <v>17629.800781000002</v>
      </c>
      <c r="H161">
        <f t="shared" si="11"/>
        <v>0</v>
      </c>
      <c r="I161">
        <f t="shared" si="12"/>
        <v>0</v>
      </c>
      <c r="J161">
        <f t="shared" si="13"/>
        <v>0</v>
      </c>
      <c r="K161">
        <f t="shared" si="14"/>
        <v>0</v>
      </c>
    </row>
    <row r="162" spans="1:11" x14ac:dyDescent="0.25">
      <c r="A162" s="1">
        <v>44827</v>
      </c>
      <c r="B162" s="1" t="str">
        <f t="shared" si="10"/>
        <v>Friday</v>
      </c>
      <c r="C162">
        <v>17593.849609000001</v>
      </c>
      <c r="D162">
        <v>17642.150390999999</v>
      </c>
      <c r="E162">
        <v>17291.650390999999</v>
      </c>
      <c r="F162">
        <v>17327.349609000001</v>
      </c>
      <c r="G162">
        <v>17327.349609000001</v>
      </c>
      <c r="H162">
        <f t="shared" si="11"/>
        <v>17600</v>
      </c>
      <c r="I162">
        <f t="shared" si="12"/>
        <v>17050</v>
      </c>
      <c r="J162">
        <f t="shared" si="13"/>
        <v>17850</v>
      </c>
      <c r="K162">
        <f t="shared" si="14"/>
        <v>16800</v>
      </c>
    </row>
    <row r="163" spans="1:11" x14ac:dyDescent="0.25">
      <c r="A163" s="1">
        <v>44830</v>
      </c>
      <c r="B163" s="1" t="str">
        <f t="shared" si="10"/>
        <v>Monday</v>
      </c>
      <c r="C163">
        <v>17156.300781000002</v>
      </c>
      <c r="D163">
        <v>17196.400390999999</v>
      </c>
      <c r="E163">
        <v>16978.300781000002</v>
      </c>
      <c r="F163">
        <v>17016.300781000002</v>
      </c>
      <c r="G163">
        <v>17016.300781000002</v>
      </c>
      <c r="H163">
        <f t="shared" si="11"/>
        <v>0</v>
      </c>
      <c r="I163">
        <f t="shared" si="12"/>
        <v>0</v>
      </c>
      <c r="J163">
        <f t="shared" si="13"/>
        <v>0</v>
      </c>
      <c r="K163">
        <f t="shared" si="14"/>
        <v>0</v>
      </c>
    </row>
    <row r="164" spans="1:11" x14ac:dyDescent="0.25">
      <c r="A164" s="1">
        <v>44831</v>
      </c>
      <c r="B164" s="1" t="str">
        <f t="shared" si="10"/>
        <v>Tuesday</v>
      </c>
      <c r="C164">
        <v>17110.900390999999</v>
      </c>
      <c r="D164">
        <v>17176.449218999998</v>
      </c>
      <c r="E164">
        <v>16942.349609000001</v>
      </c>
      <c r="F164">
        <v>17007.400390999999</v>
      </c>
      <c r="G164">
        <v>17007.400390999999</v>
      </c>
      <c r="H164">
        <f t="shared" si="11"/>
        <v>0</v>
      </c>
      <c r="I164">
        <f t="shared" si="12"/>
        <v>0</v>
      </c>
      <c r="J164">
        <f t="shared" si="13"/>
        <v>0</v>
      </c>
      <c r="K164">
        <f t="shared" si="14"/>
        <v>0</v>
      </c>
    </row>
    <row r="165" spans="1:11" x14ac:dyDescent="0.25">
      <c r="A165" s="1">
        <v>44832</v>
      </c>
      <c r="B165" s="1" t="str">
        <f t="shared" si="10"/>
        <v>Wednesday</v>
      </c>
      <c r="C165">
        <v>16870.550781000002</v>
      </c>
      <c r="D165">
        <v>17037.599609000001</v>
      </c>
      <c r="E165">
        <v>16820.400390999999</v>
      </c>
      <c r="F165">
        <v>16858.599609000001</v>
      </c>
      <c r="G165">
        <v>16858.599609000001</v>
      </c>
      <c r="H165">
        <f t="shared" si="11"/>
        <v>0</v>
      </c>
      <c r="I165">
        <f t="shared" si="12"/>
        <v>0</v>
      </c>
      <c r="J165">
        <f t="shared" si="13"/>
        <v>0</v>
      </c>
      <c r="K165">
        <f t="shared" si="14"/>
        <v>0</v>
      </c>
    </row>
    <row r="166" spans="1:11" x14ac:dyDescent="0.25">
      <c r="A166" s="1">
        <v>44833</v>
      </c>
      <c r="B166" s="1" t="str">
        <f t="shared" si="10"/>
        <v>Thursday</v>
      </c>
      <c r="C166">
        <v>16993.599609000001</v>
      </c>
      <c r="D166">
        <v>17026.050781000002</v>
      </c>
      <c r="E166">
        <v>16788.599609000001</v>
      </c>
      <c r="F166">
        <v>16818.099609000001</v>
      </c>
      <c r="G166">
        <v>16818.099609000001</v>
      </c>
      <c r="H166">
        <f t="shared" si="11"/>
        <v>0</v>
      </c>
      <c r="I166">
        <f t="shared" si="12"/>
        <v>0</v>
      </c>
      <c r="J166">
        <f t="shared" si="13"/>
        <v>0</v>
      </c>
      <c r="K166">
        <f t="shared" si="14"/>
        <v>0</v>
      </c>
    </row>
    <row r="167" spans="1:11" x14ac:dyDescent="0.25">
      <c r="A167" s="1">
        <v>44834</v>
      </c>
      <c r="B167" s="1" t="str">
        <f t="shared" si="10"/>
        <v>Friday</v>
      </c>
      <c r="C167">
        <v>16798.050781000002</v>
      </c>
      <c r="D167">
        <v>17187.099609000001</v>
      </c>
      <c r="E167">
        <v>16747.699218999998</v>
      </c>
      <c r="F167">
        <v>17094.349609000001</v>
      </c>
      <c r="G167">
        <v>17094.349609000001</v>
      </c>
      <c r="H167">
        <f t="shared" si="11"/>
        <v>17350</v>
      </c>
      <c r="I167">
        <f t="shared" si="12"/>
        <v>16800</v>
      </c>
      <c r="J167">
        <f t="shared" si="13"/>
        <v>17600</v>
      </c>
      <c r="K167">
        <f t="shared" si="14"/>
        <v>16550</v>
      </c>
    </row>
    <row r="168" spans="1:11" x14ac:dyDescent="0.25">
      <c r="A168" s="1">
        <v>44837</v>
      </c>
      <c r="B168" s="1" t="str">
        <f t="shared" si="10"/>
        <v>Monday</v>
      </c>
      <c r="C168">
        <v>17102.099609000001</v>
      </c>
      <c r="D168">
        <v>17114.650390999999</v>
      </c>
      <c r="E168">
        <v>16855.550781000002</v>
      </c>
      <c r="F168">
        <v>16887.349609000001</v>
      </c>
      <c r="G168">
        <v>16887.349609000001</v>
      </c>
      <c r="H168">
        <f t="shared" si="11"/>
        <v>0</v>
      </c>
      <c r="I168">
        <f t="shared" si="12"/>
        <v>0</v>
      </c>
      <c r="J168">
        <f t="shared" si="13"/>
        <v>0</v>
      </c>
      <c r="K168">
        <f t="shared" si="14"/>
        <v>0</v>
      </c>
    </row>
    <row r="169" spans="1:11" x14ac:dyDescent="0.25">
      <c r="A169" s="1">
        <v>44838</v>
      </c>
      <c r="B169" s="1" t="str">
        <f t="shared" si="10"/>
        <v>Tuesday</v>
      </c>
      <c r="C169">
        <v>17147.449218999998</v>
      </c>
      <c r="D169">
        <v>17287.300781000002</v>
      </c>
      <c r="E169">
        <v>17117.300781000002</v>
      </c>
      <c r="F169">
        <v>17274.300781000002</v>
      </c>
      <c r="G169">
        <v>17274.300781000002</v>
      </c>
      <c r="H169">
        <f t="shared" si="11"/>
        <v>0</v>
      </c>
      <c r="I169">
        <f t="shared" si="12"/>
        <v>0</v>
      </c>
      <c r="J169">
        <f t="shared" si="13"/>
        <v>0</v>
      </c>
      <c r="K169">
        <f t="shared" si="14"/>
        <v>0</v>
      </c>
    </row>
    <row r="170" spans="1:11" x14ac:dyDescent="0.25">
      <c r="A170" s="1">
        <v>44840</v>
      </c>
      <c r="B170" s="1" t="str">
        <f t="shared" si="10"/>
        <v>Thursday</v>
      </c>
      <c r="C170">
        <v>17379.25</v>
      </c>
      <c r="D170">
        <v>17428.800781000002</v>
      </c>
      <c r="E170">
        <v>17315.650390999999</v>
      </c>
      <c r="F170">
        <v>17331.800781000002</v>
      </c>
      <c r="G170">
        <v>17331.800781000002</v>
      </c>
      <c r="H170">
        <f t="shared" si="11"/>
        <v>0</v>
      </c>
      <c r="I170">
        <f t="shared" si="12"/>
        <v>0</v>
      </c>
      <c r="J170">
        <f t="shared" si="13"/>
        <v>0</v>
      </c>
      <c r="K170">
        <f t="shared" si="14"/>
        <v>0</v>
      </c>
    </row>
    <row r="171" spans="1:11" x14ac:dyDescent="0.25">
      <c r="A171" s="1">
        <v>44841</v>
      </c>
      <c r="B171" s="1" t="str">
        <f t="shared" si="10"/>
        <v>Friday</v>
      </c>
      <c r="C171">
        <v>17287.199218999998</v>
      </c>
      <c r="D171">
        <v>17337.349609000001</v>
      </c>
      <c r="E171">
        <v>17216.949218999998</v>
      </c>
      <c r="F171">
        <v>17314.650390999999</v>
      </c>
      <c r="G171">
        <v>17314.650390999999</v>
      </c>
      <c r="H171">
        <f t="shared" si="11"/>
        <v>17600</v>
      </c>
      <c r="I171">
        <f t="shared" si="12"/>
        <v>17050</v>
      </c>
      <c r="J171">
        <f t="shared" si="13"/>
        <v>17850</v>
      </c>
      <c r="K171">
        <f t="shared" si="14"/>
        <v>16800</v>
      </c>
    </row>
    <row r="172" spans="1:11" x14ac:dyDescent="0.25">
      <c r="A172" s="1">
        <v>44844</v>
      </c>
      <c r="B172" s="1" t="str">
        <f t="shared" si="10"/>
        <v>Monday</v>
      </c>
      <c r="C172">
        <v>17094.349609000001</v>
      </c>
      <c r="D172">
        <v>17280.150390999999</v>
      </c>
      <c r="E172">
        <v>17064.699218999998</v>
      </c>
      <c r="F172">
        <v>17241</v>
      </c>
      <c r="G172">
        <v>17241</v>
      </c>
      <c r="H172">
        <f t="shared" si="11"/>
        <v>0</v>
      </c>
      <c r="I172">
        <f t="shared" si="12"/>
        <v>0</v>
      </c>
      <c r="J172">
        <f t="shared" si="13"/>
        <v>0</v>
      </c>
      <c r="K172">
        <f t="shared" si="14"/>
        <v>0</v>
      </c>
    </row>
    <row r="173" spans="1:11" x14ac:dyDescent="0.25">
      <c r="A173" s="1">
        <v>44845</v>
      </c>
      <c r="B173" s="1" t="str">
        <f t="shared" si="10"/>
        <v>Tuesday</v>
      </c>
      <c r="C173">
        <v>17256.050781000002</v>
      </c>
      <c r="D173">
        <v>17261.800781000002</v>
      </c>
      <c r="E173">
        <v>16950.300781000002</v>
      </c>
      <c r="F173">
        <v>16983.550781000002</v>
      </c>
      <c r="G173">
        <v>16983.550781000002</v>
      </c>
      <c r="H173">
        <f t="shared" si="11"/>
        <v>0</v>
      </c>
      <c r="I173">
        <f t="shared" si="12"/>
        <v>0</v>
      </c>
      <c r="J173">
        <f t="shared" si="13"/>
        <v>0</v>
      </c>
      <c r="K173">
        <f t="shared" si="14"/>
        <v>0</v>
      </c>
    </row>
    <row r="174" spans="1:11" x14ac:dyDescent="0.25">
      <c r="A174" s="1">
        <v>44846</v>
      </c>
      <c r="B174" s="1" t="str">
        <f t="shared" si="10"/>
        <v>Wednesday</v>
      </c>
      <c r="C174">
        <v>17025.550781000002</v>
      </c>
      <c r="D174">
        <v>17142.349609000001</v>
      </c>
      <c r="E174">
        <v>16960.050781000002</v>
      </c>
      <c r="F174">
        <v>17123.599609000001</v>
      </c>
      <c r="G174">
        <v>17123.599609000001</v>
      </c>
      <c r="H174">
        <f t="shared" si="11"/>
        <v>0</v>
      </c>
      <c r="I174">
        <f t="shared" si="12"/>
        <v>0</v>
      </c>
      <c r="J174">
        <f t="shared" si="13"/>
        <v>0</v>
      </c>
      <c r="K174">
        <f t="shared" si="14"/>
        <v>0</v>
      </c>
    </row>
    <row r="175" spans="1:11" x14ac:dyDescent="0.25">
      <c r="A175" s="1">
        <v>44847</v>
      </c>
      <c r="B175" s="1" t="str">
        <f t="shared" si="10"/>
        <v>Thursday</v>
      </c>
      <c r="C175">
        <v>17087.349609000001</v>
      </c>
      <c r="D175">
        <v>17112.349609000001</v>
      </c>
      <c r="E175">
        <v>16956.949218999998</v>
      </c>
      <c r="F175">
        <v>17014.349609000001</v>
      </c>
      <c r="G175">
        <v>17014.349609000001</v>
      </c>
      <c r="H175">
        <f t="shared" si="11"/>
        <v>0</v>
      </c>
      <c r="I175">
        <f t="shared" si="12"/>
        <v>0</v>
      </c>
      <c r="J175">
        <f t="shared" si="13"/>
        <v>0</v>
      </c>
      <c r="K175">
        <f t="shared" si="14"/>
        <v>0</v>
      </c>
    </row>
    <row r="176" spans="1:11" x14ac:dyDescent="0.25">
      <c r="A176" s="1">
        <v>44848</v>
      </c>
      <c r="B176" s="1" t="str">
        <f t="shared" si="10"/>
        <v>Friday</v>
      </c>
      <c r="C176">
        <v>17322.300781000002</v>
      </c>
      <c r="D176">
        <v>17348.550781000002</v>
      </c>
      <c r="E176">
        <v>17169.75</v>
      </c>
      <c r="F176">
        <v>17185.699218999998</v>
      </c>
      <c r="G176">
        <v>17185.699218999998</v>
      </c>
      <c r="H176">
        <f t="shared" si="11"/>
        <v>17450</v>
      </c>
      <c r="I176">
        <f t="shared" si="12"/>
        <v>16900</v>
      </c>
      <c r="J176">
        <f t="shared" si="13"/>
        <v>17700</v>
      </c>
      <c r="K176">
        <f t="shared" si="14"/>
        <v>16650</v>
      </c>
    </row>
    <row r="177" spans="1:11" x14ac:dyDescent="0.25">
      <c r="A177" s="1">
        <v>44851</v>
      </c>
      <c r="B177" s="1" t="str">
        <f t="shared" si="10"/>
        <v>Monday</v>
      </c>
      <c r="C177">
        <v>17144.800781000002</v>
      </c>
      <c r="D177">
        <v>17328.550781000002</v>
      </c>
      <c r="E177">
        <v>17098.550781000002</v>
      </c>
      <c r="F177">
        <v>17311.800781000002</v>
      </c>
      <c r="G177">
        <v>17311.800781000002</v>
      </c>
      <c r="H177">
        <f t="shared" si="11"/>
        <v>0</v>
      </c>
      <c r="I177">
        <f t="shared" si="12"/>
        <v>0</v>
      </c>
      <c r="J177">
        <f t="shared" si="13"/>
        <v>0</v>
      </c>
      <c r="K177">
        <f t="shared" si="14"/>
        <v>0</v>
      </c>
    </row>
    <row r="178" spans="1:11" x14ac:dyDescent="0.25">
      <c r="A178" s="1">
        <v>44852</v>
      </c>
      <c r="B178" s="1" t="str">
        <f t="shared" si="10"/>
        <v>Tuesday</v>
      </c>
      <c r="C178">
        <v>17438.75</v>
      </c>
      <c r="D178">
        <v>17527.800781000002</v>
      </c>
      <c r="E178">
        <v>17434.050781000002</v>
      </c>
      <c r="F178">
        <v>17486.949218999998</v>
      </c>
      <c r="G178">
        <v>17486.949218999998</v>
      </c>
      <c r="H178">
        <f t="shared" si="11"/>
        <v>0</v>
      </c>
      <c r="I178">
        <f t="shared" si="12"/>
        <v>0</v>
      </c>
      <c r="J178">
        <f t="shared" si="13"/>
        <v>0</v>
      </c>
      <c r="K178">
        <f t="shared" si="14"/>
        <v>0</v>
      </c>
    </row>
    <row r="179" spans="1:11" x14ac:dyDescent="0.25">
      <c r="A179" s="1">
        <v>44853</v>
      </c>
      <c r="B179" s="1" t="str">
        <f t="shared" si="10"/>
        <v>Wednesday</v>
      </c>
      <c r="C179">
        <v>17568.150390999999</v>
      </c>
      <c r="D179">
        <v>17607.599609000001</v>
      </c>
      <c r="E179">
        <v>17472.849609000001</v>
      </c>
      <c r="F179">
        <v>17512.25</v>
      </c>
      <c r="G179">
        <v>17512.25</v>
      </c>
      <c r="H179">
        <f t="shared" si="11"/>
        <v>0</v>
      </c>
      <c r="I179">
        <f t="shared" si="12"/>
        <v>0</v>
      </c>
      <c r="J179">
        <f t="shared" si="13"/>
        <v>0</v>
      </c>
      <c r="K179">
        <f t="shared" si="14"/>
        <v>0</v>
      </c>
    </row>
    <row r="180" spans="1:11" x14ac:dyDescent="0.25">
      <c r="A180" s="1">
        <v>44854</v>
      </c>
      <c r="B180" s="1" t="str">
        <f t="shared" si="10"/>
        <v>Thursday</v>
      </c>
      <c r="C180">
        <v>17423.099609000001</v>
      </c>
      <c r="D180">
        <v>17584.150390999999</v>
      </c>
      <c r="E180">
        <v>17421</v>
      </c>
      <c r="F180">
        <v>17563.949218999998</v>
      </c>
      <c r="G180">
        <v>17563.949218999998</v>
      </c>
      <c r="H180">
        <f t="shared" si="11"/>
        <v>0</v>
      </c>
      <c r="I180">
        <f t="shared" si="12"/>
        <v>0</v>
      </c>
      <c r="J180">
        <f t="shared" si="13"/>
        <v>0</v>
      </c>
      <c r="K180">
        <f t="shared" si="14"/>
        <v>0</v>
      </c>
    </row>
    <row r="181" spans="1:11" x14ac:dyDescent="0.25">
      <c r="A181" s="1">
        <v>44855</v>
      </c>
      <c r="B181" s="1" t="str">
        <f t="shared" si="10"/>
        <v>Friday</v>
      </c>
      <c r="C181">
        <v>17622.849609000001</v>
      </c>
      <c r="D181">
        <v>17670.150390999999</v>
      </c>
      <c r="E181">
        <v>17520.75</v>
      </c>
      <c r="F181">
        <v>17576.300781000002</v>
      </c>
      <c r="G181">
        <v>17576.300781000002</v>
      </c>
      <c r="H181">
        <f t="shared" si="11"/>
        <v>17850</v>
      </c>
      <c r="I181">
        <f t="shared" si="12"/>
        <v>17300</v>
      </c>
      <c r="J181">
        <f t="shared" si="13"/>
        <v>18100</v>
      </c>
      <c r="K181">
        <f t="shared" si="14"/>
        <v>17050</v>
      </c>
    </row>
    <row r="182" spans="1:11" x14ac:dyDescent="0.25">
      <c r="A182" s="1">
        <v>44858</v>
      </c>
      <c r="B182" s="1" t="str">
        <f t="shared" si="10"/>
        <v>Monday</v>
      </c>
      <c r="C182">
        <v>17736.349609000001</v>
      </c>
      <c r="D182">
        <v>17777.550781000002</v>
      </c>
      <c r="E182">
        <v>17707.400390999999</v>
      </c>
      <c r="F182">
        <v>17730.75</v>
      </c>
      <c r="G182">
        <v>17730.75</v>
      </c>
      <c r="H182">
        <f t="shared" si="11"/>
        <v>0</v>
      </c>
      <c r="I182">
        <f t="shared" si="12"/>
        <v>0</v>
      </c>
      <c r="J182">
        <f t="shared" si="13"/>
        <v>0</v>
      </c>
      <c r="K182">
        <f t="shared" si="14"/>
        <v>0</v>
      </c>
    </row>
    <row r="183" spans="1:11" x14ac:dyDescent="0.25">
      <c r="A183" s="1">
        <v>44859</v>
      </c>
      <c r="B183" s="1" t="str">
        <f t="shared" si="10"/>
        <v>Tuesday</v>
      </c>
      <c r="C183">
        <v>17808.300781000002</v>
      </c>
      <c r="D183">
        <v>17811.5</v>
      </c>
      <c r="E183">
        <v>17637</v>
      </c>
      <c r="F183">
        <v>17656.349609000001</v>
      </c>
      <c r="G183">
        <v>17656.349609000001</v>
      </c>
      <c r="H183">
        <f t="shared" si="11"/>
        <v>0</v>
      </c>
      <c r="I183">
        <f t="shared" si="12"/>
        <v>0</v>
      </c>
      <c r="J183">
        <f t="shared" si="13"/>
        <v>0</v>
      </c>
      <c r="K183">
        <f t="shared" si="14"/>
        <v>0</v>
      </c>
    </row>
    <row r="184" spans="1:11" x14ac:dyDescent="0.25">
      <c r="A184" s="1">
        <v>44861</v>
      </c>
      <c r="B184" s="1" t="str">
        <f t="shared" si="10"/>
        <v>Thursday</v>
      </c>
      <c r="C184">
        <v>17771.400390999999</v>
      </c>
      <c r="D184">
        <v>17783.900390999999</v>
      </c>
      <c r="E184">
        <v>17654.5</v>
      </c>
      <c r="F184">
        <v>17736.949218999998</v>
      </c>
      <c r="G184">
        <v>17736.949218999998</v>
      </c>
      <c r="H184">
        <f t="shared" si="11"/>
        <v>0</v>
      </c>
      <c r="I184">
        <f t="shared" si="12"/>
        <v>0</v>
      </c>
      <c r="J184">
        <f t="shared" si="13"/>
        <v>0</v>
      </c>
      <c r="K184">
        <f t="shared" si="14"/>
        <v>0</v>
      </c>
    </row>
    <row r="185" spans="1:11" x14ac:dyDescent="0.25">
      <c r="A185" s="1">
        <v>44862</v>
      </c>
      <c r="B185" s="1" t="str">
        <f t="shared" si="10"/>
        <v>Friday</v>
      </c>
      <c r="C185">
        <v>17756.400390999999</v>
      </c>
      <c r="D185">
        <v>17838.900390999999</v>
      </c>
      <c r="E185">
        <v>17723.699218999998</v>
      </c>
      <c r="F185">
        <v>17786.800781000002</v>
      </c>
      <c r="G185">
        <v>17786.800781000002</v>
      </c>
      <c r="H185">
        <f t="shared" si="11"/>
        <v>18050</v>
      </c>
      <c r="I185">
        <f t="shared" si="12"/>
        <v>17500</v>
      </c>
      <c r="J185">
        <f t="shared" si="13"/>
        <v>18300</v>
      </c>
      <c r="K185">
        <f t="shared" si="14"/>
        <v>17250</v>
      </c>
    </row>
    <row r="186" spans="1:11" x14ac:dyDescent="0.25">
      <c r="A186" s="1">
        <v>44865</v>
      </c>
      <c r="B186" s="1" t="str">
        <f t="shared" si="10"/>
        <v>Monday</v>
      </c>
      <c r="C186">
        <v>17910.199218999998</v>
      </c>
      <c r="D186">
        <v>18022.800781000002</v>
      </c>
      <c r="E186">
        <v>17899.900390999999</v>
      </c>
      <c r="F186">
        <v>18012.199218999998</v>
      </c>
      <c r="G186">
        <v>18012.199218999998</v>
      </c>
      <c r="H186">
        <f t="shared" si="11"/>
        <v>0</v>
      </c>
      <c r="I186">
        <f t="shared" si="12"/>
        <v>0</v>
      </c>
      <c r="J186">
        <f t="shared" si="13"/>
        <v>0</v>
      </c>
      <c r="K186">
        <f t="shared" si="14"/>
        <v>0</v>
      </c>
    </row>
    <row r="187" spans="1:11" x14ac:dyDescent="0.25">
      <c r="A187" s="1">
        <v>44866</v>
      </c>
      <c r="B187" s="1" t="str">
        <f t="shared" si="10"/>
        <v>Tuesday</v>
      </c>
      <c r="C187">
        <v>18130.699218999998</v>
      </c>
      <c r="D187">
        <v>18175.800781000002</v>
      </c>
      <c r="E187">
        <v>18060.150390999999</v>
      </c>
      <c r="F187">
        <v>18145.400390999999</v>
      </c>
      <c r="G187">
        <v>18145.400390999999</v>
      </c>
      <c r="H187">
        <f t="shared" si="11"/>
        <v>0</v>
      </c>
      <c r="I187">
        <f t="shared" si="12"/>
        <v>0</v>
      </c>
      <c r="J187">
        <f t="shared" si="13"/>
        <v>0</v>
      </c>
      <c r="K187">
        <f t="shared" si="14"/>
        <v>0</v>
      </c>
    </row>
    <row r="188" spans="1:11" x14ac:dyDescent="0.25">
      <c r="A188" s="1">
        <v>44867</v>
      </c>
      <c r="B188" s="1" t="str">
        <f t="shared" si="10"/>
        <v>Wednesday</v>
      </c>
      <c r="C188">
        <v>18177.900390999999</v>
      </c>
      <c r="D188">
        <v>18178.75</v>
      </c>
      <c r="E188">
        <v>18048.650390999999</v>
      </c>
      <c r="F188">
        <v>18082.849609000001</v>
      </c>
      <c r="G188">
        <v>18082.849609000001</v>
      </c>
      <c r="H188">
        <f t="shared" si="11"/>
        <v>0</v>
      </c>
      <c r="I188">
        <f t="shared" si="12"/>
        <v>0</v>
      </c>
      <c r="J188">
        <f t="shared" si="13"/>
        <v>0</v>
      </c>
      <c r="K188">
        <f t="shared" si="14"/>
        <v>0</v>
      </c>
    </row>
    <row r="189" spans="1:11" x14ac:dyDescent="0.25">
      <c r="A189" s="1">
        <v>44868</v>
      </c>
      <c r="B189" s="1" t="str">
        <f t="shared" si="10"/>
        <v>Thursday</v>
      </c>
      <c r="C189">
        <v>17968.349609000001</v>
      </c>
      <c r="D189">
        <v>18106.300781000002</v>
      </c>
      <c r="E189">
        <v>17959.199218999998</v>
      </c>
      <c r="F189">
        <v>18052.699218999998</v>
      </c>
      <c r="G189">
        <v>18052.699218999998</v>
      </c>
      <c r="H189">
        <f t="shared" si="11"/>
        <v>0</v>
      </c>
      <c r="I189">
        <f t="shared" si="12"/>
        <v>0</v>
      </c>
      <c r="J189">
        <f t="shared" si="13"/>
        <v>0</v>
      </c>
      <c r="K189">
        <f t="shared" si="14"/>
        <v>0</v>
      </c>
    </row>
    <row r="190" spans="1:11" x14ac:dyDescent="0.25">
      <c r="A190" s="1">
        <v>44869</v>
      </c>
      <c r="B190" s="1" t="str">
        <f t="shared" si="10"/>
        <v>Friday</v>
      </c>
      <c r="C190">
        <v>18053.400390999999</v>
      </c>
      <c r="D190">
        <v>18135.099609000001</v>
      </c>
      <c r="E190">
        <v>18017.150390999999</v>
      </c>
      <c r="F190">
        <v>18117.150390999999</v>
      </c>
      <c r="G190">
        <v>18117.150390999999</v>
      </c>
      <c r="H190">
        <f t="shared" si="11"/>
        <v>18400</v>
      </c>
      <c r="I190">
        <f t="shared" si="12"/>
        <v>17850</v>
      </c>
      <c r="J190">
        <f t="shared" si="13"/>
        <v>18650</v>
      </c>
      <c r="K190">
        <f t="shared" si="14"/>
        <v>17600</v>
      </c>
    </row>
    <row r="191" spans="1:11" x14ac:dyDescent="0.25">
      <c r="A191" s="1">
        <v>44872</v>
      </c>
      <c r="B191" s="1" t="str">
        <f t="shared" si="10"/>
        <v>Monday</v>
      </c>
      <c r="C191">
        <v>18211.75</v>
      </c>
      <c r="D191">
        <v>18255.5</v>
      </c>
      <c r="E191">
        <v>18064.75</v>
      </c>
      <c r="F191">
        <v>18202.800781000002</v>
      </c>
      <c r="G191">
        <v>18202.800781000002</v>
      </c>
      <c r="H191">
        <f t="shared" si="11"/>
        <v>0</v>
      </c>
      <c r="I191">
        <f t="shared" si="12"/>
        <v>0</v>
      </c>
      <c r="J191">
        <f t="shared" si="13"/>
        <v>0</v>
      </c>
      <c r="K191">
        <f t="shared" si="14"/>
        <v>0</v>
      </c>
    </row>
    <row r="192" spans="1:11" x14ac:dyDescent="0.25">
      <c r="A192" s="1">
        <v>44874</v>
      </c>
      <c r="B192" s="1" t="str">
        <f t="shared" si="10"/>
        <v>Wednesday</v>
      </c>
      <c r="C192">
        <v>18288.25</v>
      </c>
      <c r="D192">
        <v>18296.400390999999</v>
      </c>
      <c r="E192">
        <v>18117.5</v>
      </c>
      <c r="F192">
        <v>18157</v>
      </c>
      <c r="G192">
        <v>18157</v>
      </c>
      <c r="H192">
        <f t="shared" si="11"/>
        <v>0</v>
      </c>
      <c r="I192">
        <f t="shared" si="12"/>
        <v>0</v>
      </c>
      <c r="J192">
        <f t="shared" si="13"/>
        <v>0</v>
      </c>
      <c r="K192">
        <f t="shared" si="14"/>
        <v>0</v>
      </c>
    </row>
    <row r="193" spans="1:11" x14ac:dyDescent="0.25">
      <c r="A193" s="1">
        <v>44875</v>
      </c>
      <c r="B193" s="1" t="str">
        <f t="shared" si="10"/>
        <v>Thursday</v>
      </c>
      <c r="C193">
        <v>18044.349609000001</v>
      </c>
      <c r="D193">
        <v>18103.099609000001</v>
      </c>
      <c r="E193">
        <v>17969.400390999999</v>
      </c>
      <c r="F193">
        <v>18028.199218999998</v>
      </c>
      <c r="G193">
        <v>18028.199218999998</v>
      </c>
      <c r="H193">
        <f t="shared" si="11"/>
        <v>0</v>
      </c>
      <c r="I193">
        <f t="shared" si="12"/>
        <v>0</v>
      </c>
      <c r="J193">
        <f t="shared" si="13"/>
        <v>0</v>
      </c>
      <c r="K193">
        <f t="shared" si="14"/>
        <v>0</v>
      </c>
    </row>
    <row r="194" spans="1:11" x14ac:dyDescent="0.25">
      <c r="A194" s="1">
        <v>44876</v>
      </c>
      <c r="B194" s="1" t="str">
        <f t="shared" si="10"/>
        <v>Friday</v>
      </c>
      <c r="C194">
        <v>18272.349609000001</v>
      </c>
      <c r="D194">
        <v>18362.300781000002</v>
      </c>
      <c r="E194">
        <v>18259.349609000001</v>
      </c>
      <c r="F194">
        <v>18349.699218999998</v>
      </c>
      <c r="G194">
        <v>18349.699218999998</v>
      </c>
      <c r="H194">
        <f t="shared" si="11"/>
        <v>18600</v>
      </c>
      <c r="I194">
        <f t="shared" si="12"/>
        <v>18050</v>
      </c>
      <c r="J194">
        <f t="shared" si="13"/>
        <v>18850</v>
      </c>
      <c r="K194">
        <f t="shared" si="14"/>
        <v>17800</v>
      </c>
    </row>
    <row r="195" spans="1:11" x14ac:dyDescent="0.25">
      <c r="A195" s="1">
        <v>44879</v>
      </c>
      <c r="B195" s="1" t="str">
        <f t="shared" ref="B195:B251" si="15">TEXT(A195,"dddd")</f>
        <v>Monday</v>
      </c>
      <c r="C195">
        <v>18376.400390999999</v>
      </c>
      <c r="D195">
        <v>18399.449218999998</v>
      </c>
      <c r="E195">
        <v>18311.400390999999</v>
      </c>
      <c r="F195">
        <v>18329.150390999999</v>
      </c>
      <c r="G195">
        <v>18329.150390999999</v>
      </c>
      <c r="H195">
        <f t="shared" ref="H195:H251" si="16">IF(B195="Friday",CEILING(G195+250,50),0)</f>
        <v>0</v>
      </c>
      <c r="I195">
        <f t="shared" ref="I195:I251" si="17">IF(B195="Friday",FLOOR(G195-250,50),0)</f>
        <v>0</v>
      </c>
      <c r="J195">
        <f t="shared" si="13"/>
        <v>0</v>
      </c>
      <c r="K195">
        <f t="shared" si="14"/>
        <v>0</v>
      </c>
    </row>
    <row r="196" spans="1:11" x14ac:dyDescent="0.25">
      <c r="A196" s="1">
        <v>44880</v>
      </c>
      <c r="B196" s="1" t="str">
        <f t="shared" si="15"/>
        <v>Tuesday</v>
      </c>
      <c r="C196">
        <v>18362.75</v>
      </c>
      <c r="D196">
        <v>18427.949218999998</v>
      </c>
      <c r="E196">
        <v>18282</v>
      </c>
      <c r="F196">
        <v>18403.400390999999</v>
      </c>
      <c r="G196">
        <v>18403.400390999999</v>
      </c>
      <c r="H196">
        <f t="shared" si="16"/>
        <v>0</v>
      </c>
      <c r="I196">
        <f t="shared" si="17"/>
        <v>0</v>
      </c>
      <c r="J196">
        <f t="shared" si="13"/>
        <v>0</v>
      </c>
      <c r="K196">
        <f t="shared" si="14"/>
        <v>0</v>
      </c>
    </row>
    <row r="197" spans="1:11" x14ac:dyDescent="0.25">
      <c r="A197" s="1">
        <v>44881</v>
      </c>
      <c r="B197" s="1" t="str">
        <f t="shared" si="15"/>
        <v>Wednesday</v>
      </c>
      <c r="C197">
        <v>18398.25</v>
      </c>
      <c r="D197">
        <v>18442.150390999999</v>
      </c>
      <c r="E197">
        <v>18344.150390999999</v>
      </c>
      <c r="F197">
        <v>18409.650390999999</v>
      </c>
      <c r="G197">
        <v>18409.650390999999</v>
      </c>
      <c r="H197">
        <f t="shared" si="16"/>
        <v>0</v>
      </c>
      <c r="I197">
        <f t="shared" si="17"/>
        <v>0</v>
      </c>
      <c r="J197">
        <f t="shared" si="13"/>
        <v>0</v>
      </c>
      <c r="K197">
        <f t="shared" si="14"/>
        <v>0</v>
      </c>
    </row>
    <row r="198" spans="1:11" x14ac:dyDescent="0.25">
      <c r="A198" s="1">
        <v>44882</v>
      </c>
      <c r="B198" s="1" t="str">
        <f t="shared" si="15"/>
        <v>Thursday</v>
      </c>
      <c r="C198">
        <v>18358.699218999998</v>
      </c>
      <c r="D198">
        <v>18417.599609000001</v>
      </c>
      <c r="E198">
        <v>18312.949218999998</v>
      </c>
      <c r="F198">
        <v>18343.900390999999</v>
      </c>
      <c r="G198">
        <v>18343.900390999999</v>
      </c>
      <c r="H198">
        <f t="shared" si="16"/>
        <v>0</v>
      </c>
      <c r="I198">
        <f t="shared" si="17"/>
        <v>0</v>
      </c>
      <c r="J198">
        <f t="shared" ref="J198:J251" si="18">IF(H198=0,0,H198+250)</f>
        <v>0</v>
      </c>
      <c r="K198">
        <f t="shared" ref="K198:K251" si="19">IF(I198=0,0,I198-250)</f>
        <v>0</v>
      </c>
    </row>
    <row r="199" spans="1:11" x14ac:dyDescent="0.25">
      <c r="A199" s="1">
        <v>44883</v>
      </c>
      <c r="B199" s="1" t="str">
        <f t="shared" si="15"/>
        <v>Friday</v>
      </c>
      <c r="C199">
        <v>18382.949218999998</v>
      </c>
      <c r="D199">
        <v>18394.599609000001</v>
      </c>
      <c r="E199">
        <v>18209.800781000002</v>
      </c>
      <c r="F199">
        <v>18307.650390999999</v>
      </c>
      <c r="G199">
        <v>18307.650390999999</v>
      </c>
      <c r="H199">
        <f t="shared" si="16"/>
        <v>18600</v>
      </c>
      <c r="I199">
        <f t="shared" si="17"/>
        <v>18050</v>
      </c>
      <c r="J199">
        <f t="shared" si="18"/>
        <v>18850</v>
      </c>
      <c r="K199">
        <f t="shared" si="19"/>
        <v>17800</v>
      </c>
    </row>
    <row r="200" spans="1:11" x14ac:dyDescent="0.25">
      <c r="A200" s="1">
        <v>44886</v>
      </c>
      <c r="B200" s="1" t="str">
        <f t="shared" si="15"/>
        <v>Monday</v>
      </c>
      <c r="C200">
        <v>18246.400390999999</v>
      </c>
      <c r="D200">
        <v>18262.300781000002</v>
      </c>
      <c r="E200">
        <v>18133.349609000001</v>
      </c>
      <c r="F200">
        <v>18159.949218999998</v>
      </c>
      <c r="G200">
        <v>18159.949218999998</v>
      </c>
      <c r="H200">
        <f t="shared" si="16"/>
        <v>0</v>
      </c>
      <c r="I200">
        <f t="shared" si="17"/>
        <v>0</v>
      </c>
      <c r="J200">
        <f t="shared" si="18"/>
        <v>0</v>
      </c>
      <c r="K200">
        <f t="shared" si="19"/>
        <v>0</v>
      </c>
    </row>
    <row r="201" spans="1:11" x14ac:dyDescent="0.25">
      <c r="A201" s="1">
        <v>44887</v>
      </c>
      <c r="B201" s="1" t="str">
        <f t="shared" si="15"/>
        <v>Tuesday</v>
      </c>
      <c r="C201">
        <v>18179.150390999999</v>
      </c>
      <c r="D201">
        <v>18261.849609000001</v>
      </c>
      <c r="E201">
        <v>18137.699218999998</v>
      </c>
      <c r="F201">
        <v>18244.199218999998</v>
      </c>
      <c r="G201">
        <v>18244.199218999998</v>
      </c>
      <c r="H201">
        <f t="shared" si="16"/>
        <v>0</v>
      </c>
      <c r="I201">
        <f t="shared" si="17"/>
        <v>0</v>
      </c>
      <c r="J201">
        <f t="shared" si="18"/>
        <v>0</v>
      </c>
      <c r="K201">
        <f t="shared" si="19"/>
        <v>0</v>
      </c>
    </row>
    <row r="202" spans="1:11" x14ac:dyDescent="0.25">
      <c r="A202" s="1">
        <v>44888</v>
      </c>
      <c r="B202" s="1" t="str">
        <f t="shared" si="15"/>
        <v>Wednesday</v>
      </c>
      <c r="C202">
        <v>18325.199218999998</v>
      </c>
      <c r="D202">
        <v>18325.400390999999</v>
      </c>
      <c r="E202">
        <v>18246</v>
      </c>
      <c r="F202">
        <v>18267.25</v>
      </c>
      <c r="G202">
        <v>18267.25</v>
      </c>
      <c r="H202">
        <f t="shared" si="16"/>
        <v>0</v>
      </c>
      <c r="I202">
        <f t="shared" si="17"/>
        <v>0</v>
      </c>
      <c r="J202">
        <f t="shared" si="18"/>
        <v>0</v>
      </c>
      <c r="K202">
        <f t="shared" si="19"/>
        <v>0</v>
      </c>
    </row>
    <row r="203" spans="1:11" x14ac:dyDescent="0.25">
      <c r="A203" s="1">
        <v>44889</v>
      </c>
      <c r="B203" s="1" t="str">
        <f t="shared" si="15"/>
        <v>Thursday</v>
      </c>
      <c r="C203">
        <v>18326.099609000001</v>
      </c>
      <c r="D203">
        <v>18529.699218999998</v>
      </c>
      <c r="E203">
        <v>18294.25</v>
      </c>
      <c r="F203">
        <v>18484.099609000001</v>
      </c>
      <c r="G203">
        <v>18484.099609000001</v>
      </c>
      <c r="H203">
        <f t="shared" si="16"/>
        <v>0</v>
      </c>
      <c r="I203">
        <f t="shared" si="17"/>
        <v>0</v>
      </c>
      <c r="J203">
        <f t="shared" si="18"/>
        <v>0</v>
      </c>
      <c r="K203">
        <f t="shared" si="19"/>
        <v>0</v>
      </c>
    </row>
    <row r="204" spans="1:11" x14ac:dyDescent="0.25">
      <c r="A204" s="1">
        <v>44890</v>
      </c>
      <c r="B204" s="1" t="str">
        <f t="shared" si="15"/>
        <v>Friday</v>
      </c>
      <c r="C204">
        <v>18528.449218999998</v>
      </c>
      <c r="D204">
        <v>18534.900390999999</v>
      </c>
      <c r="E204">
        <v>18445.099609000001</v>
      </c>
      <c r="F204">
        <v>18512.75</v>
      </c>
      <c r="G204">
        <v>18512.75</v>
      </c>
      <c r="H204">
        <f t="shared" si="16"/>
        <v>18800</v>
      </c>
      <c r="I204">
        <f t="shared" si="17"/>
        <v>18250</v>
      </c>
      <c r="J204">
        <f t="shared" si="18"/>
        <v>19050</v>
      </c>
      <c r="K204">
        <f t="shared" si="19"/>
        <v>18000</v>
      </c>
    </row>
    <row r="205" spans="1:11" x14ac:dyDescent="0.25">
      <c r="A205" s="1">
        <v>44893</v>
      </c>
      <c r="B205" s="1" t="str">
        <f t="shared" si="15"/>
        <v>Monday</v>
      </c>
      <c r="C205">
        <v>18430.550781000002</v>
      </c>
      <c r="D205">
        <v>18614.25</v>
      </c>
      <c r="E205">
        <v>18365.599609000001</v>
      </c>
      <c r="F205">
        <v>18562.75</v>
      </c>
      <c r="G205">
        <v>18562.75</v>
      </c>
      <c r="H205">
        <f t="shared" si="16"/>
        <v>0</v>
      </c>
      <c r="I205">
        <f t="shared" si="17"/>
        <v>0</v>
      </c>
      <c r="J205">
        <f t="shared" si="18"/>
        <v>0</v>
      </c>
      <c r="K205">
        <f t="shared" si="19"/>
        <v>0</v>
      </c>
    </row>
    <row r="206" spans="1:11" x14ac:dyDescent="0.25">
      <c r="A206" s="1">
        <v>44894</v>
      </c>
      <c r="B206" s="1" t="str">
        <f t="shared" si="15"/>
        <v>Tuesday</v>
      </c>
      <c r="C206">
        <v>18552.449218999998</v>
      </c>
      <c r="D206">
        <v>18678.099609000001</v>
      </c>
      <c r="E206">
        <v>18552.150390999999</v>
      </c>
      <c r="F206">
        <v>18618.050781000002</v>
      </c>
      <c r="G206">
        <v>18618.050781000002</v>
      </c>
      <c r="H206">
        <f t="shared" si="16"/>
        <v>0</v>
      </c>
      <c r="I206">
        <f t="shared" si="17"/>
        <v>0</v>
      </c>
      <c r="J206">
        <f t="shared" si="18"/>
        <v>0</v>
      </c>
      <c r="K206">
        <f t="shared" si="19"/>
        <v>0</v>
      </c>
    </row>
    <row r="207" spans="1:11" x14ac:dyDescent="0.25">
      <c r="A207" s="1">
        <v>44895</v>
      </c>
      <c r="B207" s="1" t="str">
        <f t="shared" si="15"/>
        <v>Wednesday</v>
      </c>
      <c r="C207">
        <v>18625.699218999998</v>
      </c>
      <c r="D207">
        <v>18816.050781000002</v>
      </c>
      <c r="E207">
        <v>18616.550781000002</v>
      </c>
      <c r="F207">
        <v>18758.349609000001</v>
      </c>
      <c r="G207">
        <v>18758.349609000001</v>
      </c>
      <c r="H207">
        <f t="shared" si="16"/>
        <v>0</v>
      </c>
      <c r="I207">
        <f t="shared" si="17"/>
        <v>0</v>
      </c>
      <c r="J207">
        <f t="shared" si="18"/>
        <v>0</v>
      </c>
      <c r="K207">
        <f t="shared" si="19"/>
        <v>0</v>
      </c>
    </row>
    <row r="208" spans="1:11" x14ac:dyDescent="0.25">
      <c r="A208" s="1">
        <v>44896</v>
      </c>
      <c r="B208" s="1" t="str">
        <f t="shared" si="15"/>
        <v>Thursday</v>
      </c>
      <c r="C208">
        <v>18871.949218999998</v>
      </c>
      <c r="D208">
        <v>18887.599609000001</v>
      </c>
      <c r="E208">
        <v>18778.199218999998</v>
      </c>
      <c r="F208">
        <v>18812.5</v>
      </c>
      <c r="G208">
        <v>18812.5</v>
      </c>
      <c r="H208">
        <f t="shared" si="16"/>
        <v>0</v>
      </c>
      <c r="I208">
        <f t="shared" si="17"/>
        <v>0</v>
      </c>
      <c r="J208">
        <f t="shared" si="18"/>
        <v>0</v>
      </c>
      <c r="K208">
        <f t="shared" si="19"/>
        <v>0</v>
      </c>
    </row>
    <row r="209" spans="1:11" x14ac:dyDescent="0.25">
      <c r="A209" s="1">
        <v>44897</v>
      </c>
      <c r="B209" s="1" t="str">
        <f t="shared" si="15"/>
        <v>Friday</v>
      </c>
      <c r="C209">
        <v>18752.400390999999</v>
      </c>
      <c r="D209">
        <v>18781.949218999998</v>
      </c>
      <c r="E209">
        <v>18639.199218999998</v>
      </c>
      <c r="F209">
        <v>18696.099609000001</v>
      </c>
      <c r="G209">
        <v>18696.099609000001</v>
      </c>
      <c r="H209">
        <f t="shared" si="16"/>
        <v>18950</v>
      </c>
      <c r="I209">
        <f t="shared" si="17"/>
        <v>18400</v>
      </c>
      <c r="J209">
        <f t="shared" si="18"/>
        <v>19200</v>
      </c>
      <c r="K209">
        <f t="shared" si="19"/>
        <v>18150</v>
      </c>
    </row>
    <row r="210" spans="1:11" x14ac:dyDescent="0.25">
      <c r="A210" s="1">
        <v>44900</v>
      </c>
      <c r="B210" s="1" t="str">
        <f t="shared" si="15"/>
        <v>Monday</v>
      </c>
      <c r="C210">
        <v>18719.550781000002</v>
      </c>
      <c r="D210">
        <v>18728.599609000001</v>
      </c>
      <c r="E210">
        <v>18591.349609000001</v>
      </c>
      <c r="F210">
        <v>18701.050781000002</v>
      </c>
      <c r="G210">
        <v>18701.050781000002</v>
      </c>
      <c r="H210">
        <f t="shared" si="16"/>
        <v>0</v>
      </c>
      <c r="I210">
        <f t="shared" si="17"/>
        <v>0</v>
      </c>
      <c r="J210">
        <f t="shared" si="18"/>
        <v>0</v>
      </c>
      <c r="K210">
        <f t="shared" si="19"/>
        <v>0</v>
      </c>
    </row>
    <row r="211" spans="1:11" x14ac:dyDescent="0.25">
      <c r="A211" s="1">
        <v>44901</v>
      </c>
      <c r="B211" s="1" t="str">
        <f t="shared" si="15"/>
        <v>Tuesday</v>
      </c>
      <c r="C211">
        <v>18600.650390999999</v>
      </c>
      <c r="D211">
        <v>18654.900390999999</v>
      </c>
      <c r="E211">
        <v>18577.900390999999</v>
      </c>
      <c r="F211">
        <v>18642.75</v>
      </c>
      <c r="G211">
        <v>18642.75</v>
      </c>
      <c r="H211">
        <f t="shared" si="16"/>
        <v>0</v>
      </c>
      <c r="I211">
        <f t="shared" si="17"/>
        <v>0</v>
      </c>
      <c r="J211">
        <f t="shared" si="18"/>
        <v>0</v>
      </c>
      <c r="K211">
        <f t="shared" si="19"/>
        <v>0</v>
      </c>
    </row>
    <row r="212" spans="1:11" x14ac:dyDescent="0.25">
      <c r="A212" s="1">
        <v>44902</v>
      </c>
      <c r="B212" s="1" t="str">
        <f t="shared" si="15"/>
        <v>Wednesday</v>
      </c>
      <c r="C212">
        <v>18638.849609000001</v>
      </c>
      <c r="D212">
        <v>18668.300781000002</v>
      </c>
      <c r="E212">
        <v>18528.400390999999</v>
      </c>
      <c r="F212">
        <v>18560.5</v>
      </c>
      <c r="G212">
        <v>18560.5</v>
      </c>
      <c r="H212">
        <f t="shared" si="16"/>
        <v>0</v>
      </c>
      <c r="I212">
        <f t="shared" si="17"/>
        <v>0</v>
      </c>
      <c r="J212">
        <f t="shared" si="18"/>
        <v>0</v>
      </c>
      <c r="K212">
        <f t="shared" si="19"/>
        <v>0</v>
      </c>
    </row>
    <row r="213" spans="1:11" x14ac:dyDescent="0.25">
      <c r="A213" s="1">
        <v>44903</v>
      </c>
      <c r="B213" s="1" t="str">
        <f t="shared" si="15"/>
        <v>Thursday</v>
      </c>
      <c r="C213">
        <v>18570.849609000001</v>
      </c>
      <c r="D213">
        <v>18625</v>
      </c>
      <c r="E213">
        <v>18536.949218999998</v>
      </c>
      <c r="F213">
        <v>18609.349609000001</v>
      </c>
      <c r="G213">
        <v>18609.349609000001</v>
      </c>
      <c r="H213">
        <f t="shared" si="16"/>
        <v>0</v>
      </c>
      <c r="I213">
        <f t="shared" si="17"/>
        <v>0</v>
      </c>
      <c r="J213">
        <f t="shared" si="18"/>
        <v>0</v>
      </c>
      <c r="K213">
        <f t="shared" si="19"/>
        <v>0</v>
      </c>
    </row>
    <row r="214" spans="1:11" x14ac:dyDescent="0.25">
      <c r="A214" s="1">
        <v>44904</v>
      </c>
      <c r="B214" s="1" t="str">
        <f t="shared" si="15"/>
        <v>Friday</v>
      </c>
      <c r="C214">
        <v>18662.400390999999</v>
      </c>
      <c r="D214">
        <v>18664.699218999998</v>
      </c>
      <c r="E214">
        <v>18410.099609000001</v>
      </c>
      <c r="F214">
        <v>18496.599609000001</v>
      </c>
      <c r="G214">
        <v>18496.599609000001</v>
      </c>
      <c r="H214">
        <f t="shared" si="16"/>
        <v>18750</v>
      </c>
      <c r="I214">
        <f t="shared" si="17"/>
        <v>18200</v>
      </c>
      <c r="J214">
        <f t="shared" si="18"/>
        <v>19000</v>
      </c>
      <c r="K214">
        <f t="shared" si="19"/>
        <v>17950</v>
      </c>
    </row>
    <row r="215" spans="1:11" x14ac:dyDescent="0.25">
      <c r="A215" s="1">
        <v>44907</v>
      </c>
      <c r="B215" s="1" t="str">
        <f t="shared" si="15"/>
        <v>Monday</v>
      </c>
      <c r="C215">
        <v>18402.150390999999</v>
      </c>
      <c r="D215">
        <v>18521.550781000002</v>
      </c>
      <c r="E215">
        <v>18345.699218999998</v>
      </c>
      <c r="F215">
        <v>18497.150390999999</v>
      </c>
      <c r="G215">
        <v>18497.150390999999</v>
      </c>
      <c r="H215">
        <f t="shared" si="16"/>
        <v>0</v>
      </c>
      <c r="I215">
        <f t="shared" si="17"/>
        <v>0</v>
      </c>
      <c r="J215">
        <f t="shared" si="18"/>
        <v>0</v>
      </c>
      <c r="K215">
        <f t="shared" si="19"/>
        <v>0</v>
      </c>
    </row>
    <row r="216" spans="1:11" x14ac:dyDescent="0.25">
      <c r="A216" s="1">
        <v>44908</v>
      </c>
      <c r="B216" s="1" t="str">
        <f t="shared" si="15"/>
        <v>Tuesday</v>
      </c>
      <c r="C216">
        <v>18524.400390999999</v>
      </c>
      <c r="D216">
        <v>18617.25</v>
      </c>
      <c r="E216">
        <v>18490.199218999998</v>
      </c>
      <c r="F216">
        <v>18608</v>
      </c>
      <c r="G216">
        <v>18608</v>
      </c>
      <c r="H216">
        <f t="shared" si="16"/>
        <v>0</v>
      </c>
      <c r="I216">
        <f t="shared" si="17"/>
        <v>0</v>
      </c>
      <c r="J216">
        <f t="shared" si="18"/>
        <v>0</v>
      </c>
      <c r="K216">
        <f t="shared" si="19"/>
        <v>0</v>
      </c>
    </row>
    <row r="217" spans="1:11" x14ac:dyDescent="0.25">
      <c r="A217" s="1">
        <v>44909</v>
      </c>
      <c r="B217" s="1" t="str">
        <f t="shared" si="15"/>
        <v>Wednesday</v>
      </c>
      <c r="C217">
        <v>18671.25</v>
      </c>
      <c r="D217">
        <v>18696.099609000001</v>
      </c>
      <c r="E217">
        <v>18632.900390999999</v>
      </c>
      <c r="F217">
        <v>18660.300781000002</v>
      </c>
      <c r="G217">
        <v>18660.300781000002</v>
      </c>
      <c r="H217">
        <f t="shared" si="16"/>
        <v>0</v>
      </c>
      <c r="I217">
        <f t="shared" si="17"/>
        <v>0</v>
      </c>
      <c r="J217">
        <f t="shared" si="18"/>
        <v>0</v>
      </c>
      <c r="K217">
        <f t="shared" si="19"/>
        <v>0</v>
      </c>
    </row>
    <row r="218" spans="1:11" x14ac:dyDescent="0.25">
      <c r="A218" s="1">
        <v>44910</v>
      </c>
      <c r="B218" s="1" t="str">
        <f t="shared" si="15"/>
        <v>Thursday</v>
      </c>
      <c r="C218">
        <v>18614.400390999999</v>
      </c>
      <c r="D218">
        <v>18652.900390999999</v>
      </c>
      <c r="E218">
        <v>18387.699218999998</v>
      </c>
      <c r="F218">
        <v>18414.900390999999</v>
      </c>
      <c r="G218">
        <v>18414.900390999999</v>
      </c>
      <c r="H218">
        <f t="shared" si="16"/>
        <v>0</v>
      </c>
      <c r="I218">
        <f t="shared" si="17"/>
        <v>0</v>
      </c>
      <c r="J218">
        <f t="shared" si="18"/>
        <v>0</v>
      </c>
      <c r="K218">
        <f t="shared" si="19"/>
        <v>0</v>
      </c>
    </row>
    <row r="219" spans="1:11" x14ac:dyDescent="0.25">
      <c r="A219" s="1">
        <v>44911</v>
      </c>
      <c r="B219" s="1" t="str">
        <f t="shared" si="15"/>
        <v>Friday</v>
      </c>
      <c r="C219">
        <v>18319.099609000001</v>
      </c>
      <c r="D219">
        <v>18440.949218999998</v>
      </c>
      <c r="E219">
        <v>18255.150390999999</v>
      </c>
      <c r="F219">
        <v>18269</v>
      </c>
      <c r="G219">
        <v>18269</v>
      </c>
      <c r="H219">
        <f t="shared" si="16"/>
        <v>18550</v>
      </c>
      <c r="I219">
        <f t="shared" si="17"/>
        <v>18000</v>
      </c>
      <c r="J219">
        <f t="shared" si="18"/>
        <v>18800</v>
      </c>
      <c r="K219">
        <f t="shared" si="19"/>
        <v>17750</v>
      </c>
    </row>
    <row r="220" spans="1:11" x14ac:dyDescent="0.25">
      <c r="A220" s="1">
        <v>44914</v>
      </c>
      <c r="B220" s="1" t="str">
        <f t="shared" si="15"/>
        <v>Monday</v>
      </c>
      <c r="C220">
        <v>18288.099609000001</v>
      </c>
      <c r="D220">
        <v>18431.650390999999</v>
      </c>
      <c r="E220">
        <v>18244.550781000002</v>
      </c>
      <c r="F220">
        <v>18420.449218999998</v>
      </c>
      <c r="G220">
        <v>18420.449218999998</v>
      </c>
      <c r="H220">
        <f t="shared" si="16"/>
        <v>0</v>
      </c>
      <c r="I220">
        <f t="shared" si="17"/>
        <v>0</v>
      </c>
      <c r="J220">
        <f t="shared" si="18"/>
        <v>0</v>
      </c>
      <c r="K220">
        <f t="shared" si="19"/>
        <v>0</v>
      </c>
    </row>
    <row r="221" spans="1:11" x14ac:dyDescent="0.25">
      <c r="A221" s="1">
        <v>44915</v>
      </c>
      <c r="B221" s="1" t="str">
        <f t="shared" si="15"/>
        <v>Tuesday</v>
      </c>
      <c r="C221">
        <v>18340.300781000002</v>
      </c>
      <c r="D221">
        <v>18404.900390999999</v>
      </c>
      <c r="E221">
        <v>18202.650390999999</v>
      </c>
      <c r="F221">
        <v>18385.300781000002</v>
      </c>
      <c r="G221">
        <v>18385.300781000002</v>
      </c>
      <c r="H221">
        <f t="shared" si="16"/>
        <v>0</v>
      </c>
      <c r="I221">
        <f t="shared" si="17"/>
        <v>0</v>
      </c>
      <c r="J221">
        <f t="shared" si="18"/>
        <v>0</v>
      </c>
      <c r="K221">
        <f t="shared" si="19"/>
        <v>0</v>
      </c>
    </row>
    <row r="222" spans="1:11" x14ac:dyDescent="0.25">
      <c r="A222" s="1">
        <v>44916</v>
      </c>
      <c r="B222" s="1" t="str">
        <f t="shared" si="15"/>
        <v>Wednesday</v>
      </c>
      <c r="C222">
        <v>18435.150390999999</v>
      </c>
      <c r="D222">
        <v>18473.349609000001</v>
      </c>
      <c r="E222">
        <v>18162.75</v>
      </c>
      <c r="F222">
        <v>18199.099609000001</v>
      </c>
      <c r="G222">
        <v>18199.099609000001</v>
      </c>
      <c r="H222">
        <f t="shared" si="16"/>
        <v>0</v>
      </c>
      <c r="I222">
        <f t="shared" si="17"/>
        <v>0</v>
      </c>
      <c r="J222">
        <f t="shared" si="18"/>
        <v>0</v>
      </c>
      <c r="K222">
        <f t="shared" si="19"/>
        <v>0</v>
      </c>
    </row>
    <row r="223" spans="1:11" x14ac:dyDescent="0.25">
      <c r="A223" s="1">
        <v>44917</v>
      </c>
      <c r="B223" s="1" t="str">
        <f t="shared" si="15"/>
        <v>Thursday</v>
      </c>
      <c r="C223">
        <v>18288.800781000002</v>
      </c>
      <c r="D223">
        <v>18318.75</v>
      </c>
      <c r="E223">
        <v>18068.599609000001</v>
      </c>
      <c r="F223">
        <v>18127.349609000001</v>
      </c>
      <c r="G223">
        <v>18127.349609000001</v>
      </c>
      <c r="H223">
        <f t="shared" si="16"/>
        <v>0</v>
      </c>
      <c r="I223">
        <f t="shared" si="17"/>
        <v>0</v>
      </c>
      <c r="J223">
        <f t="shared" si="18"/>
        <v>0</v>
      </c>
      <c r="K223">
        <f t="shared" si="19"/>
        <v>0</v>
      </c>
    </row>
    <row r="224" spans="1:11" x14ac:dyDescent="0.25">
      <c r="A224" s="1">
        <v>44918</v>
      </c>
      <c r="B224" s="1" t="str">
        <f t="shared" si="15"/>
        <v>Friday</v>
      </c>
      <c r="C224">
        <v>17977.650390999999</v>
      </c>
      <c r="D224">
        <v>18050.449218999998</v>
      </c>
      <c r="E224">
        <v>17779.5</v>
      </c>
      <c r="F224">
        <v>17806.800781000002</v>
      </c>
      <c r="G224">
        <v>17806.800781000002</v>
      </c>
      <c r="H224">
        <f t="shared" si="16"/>
        <v>18100</v>
      </c>
      <c r="I224">
        <f t="shared" si="17"/>
        <v>17550</v>
      </c>
      <c r="J224">
        <f t="shared" si="18"/>
        <v>18350</v>
      </c>
      <c r="K224">
        <f t="shared" si="19"/>
        <v>17300</v>
      </c>
    </row>
    <row r="225" spans="1:11" x14ac:dyDescent="0.25">
      <c r="A225" s="1">
        <v>44921</v>
      </c>
      <c r="B225" s="1" t="str">
        <f t="shared" si="15"/>
        <v>Monday</v>
      </c>
      <c r="C225">
        <v>17830.400390999999</v>
      </c>
      <c r="D225">
        <v>18084.099609000001</v>
      </c>
      <c r="E225">
        <v>17774.25</v>
      </c>
      <c r="F225">
        <v>18014.599609000001</v>
      </c>
      <c r="G225">
        <v>18014.599609000001</v>
      </c>
      <c r="H225">
        <f t="shared" si="16"/>
        <v>0</v>
      </c>
      <c r="I225">
        <f t="shared" si="17"/>
        <v>0</v>
      </c>
      <c r="J225">
        <f t="shared" si="18"/>
        <v>0</v>
      </c>
      <c r="K225">
        <f t="shared" si="19"/>
        <v>0</v>
      </c>
    </row>
    <row r="226" spans="1:11" x14ac:dyDescent="0.25">
      <c r="A226" s="1">
        <v>44922</v>
      </c>
      <c r="B226" s="1" t="str">
        <f t="shared" si="15"/>
        <v>Tuesday</v>
      </c>
      <c r="C226">
        <v>18089.800781000002</v>
      </c>
      <c r="D226">
        <v>18149.25</v>
      </c>
      <c r="E226">
        <v>17967.449218999998</v>
      </c>
      <c r="F226">
        <v>18132.300781000002</v>
      </c>
      <c r="G226">
        <v>18132.300781000002</v>
      </c>
      <c r="H226">
        <f t="shared" si="16"/>
        <v>0</v>
      </c>
      <c r="I226">
        <f t="shared" si="17"/>
        <v>0</v>
      </c>
      <c r="J226">
        <f t="shared" si="18"/>
        <v>0</v>
      </c>
      <c r="K226">
        <f t="shared" si="19"/>
        <v>0</v>
      </c>
    </row>
    <row r="227" spans="1:11" x14ac:dyDescent="0.25">
      <c r="A227" s="1">
        <v>44923</v>
      </c>
      <c r="B227" s="1" t="str">
        <f t="shared" si="15"/>
        <v>Wednesday</v>
      </c>
      <c r="C227">
        <v>18084.75</v>
      </c>
      <c r="D227">
        <v>18173.099609000001</v>
      </c>
      <c r="E227">
        <v>18068.349609000001</v>
      </c>
      <c r="F227">
        <v>18122.5</v>
      </c>
      <c r="G227">
        <v>18122.5</v>
      </c>
      <c r="H227">
        <f t="shared" si="16"/>
        <v>0</v>
      </c>
      <c r="I227">
        <f t="shared" si="17"/>
        <v>0</v>
      </c>
      <c r="J227">
        <f t="shared" si="18"/>
        <v>0</v>
      </c>
      <c r="K227">
        <f t="shared" si="19"/>
        <v>0</v>
      </c>
    </row>
    <row r="228" spans="1:11" x14ac:dyDescent="0.25">
      <c r="A228" s="1">
        <v>44924</v>
      </c>
      <c r="B228" s="1" t="str">
        <f t="shared" si="15"/>
        <v>Thursday</v>
      </c>
      <c r="C228">
        <v>18045.699218999998</v>
      </c>
      <c r="D228">
        <v>18229.699218999998</v>
      </c>
      <c r="E228">
        <v>17992.800781000002</v>
      </c>
      <c r="F228">
        <v>18191</v>
      </c>
      <c r="G228">
        <v>18191</v>
      </c>
      <c r="H228">
        <f t="shared" si="16"/>
        <v>0</v>
      </c>
      <c r="I228">
        <f t="shared" si="17"/>
        <v>0</v>
      </c>
      <c r="J228">
        <f t="shared" si="18"/>
        <v>0</v>
      </c>
      <c r="K228">
        <f t="shared" si="19"/>
        <v>0</v>
      </c>
    </row>
    <row r="229" spans="1:11" x14ac:dyDescent="0.25">
      <c r="A229" s="1">
        <v>44925</v>
      </c>
      <c r="B229" s="1" t="str">
        <f t="shared" si="15"/>
        <v>Friday</v>
      </c>
      <c r="C229">
        <v>18259.099609000001</v>
      </c>
      <c r="D229">
        <v>18265.25</v>
      </c>
      <c r="E229">
        <v>18080.300781000002</v>
      </c>
      <c r="F229">
        <v>18105.300781000002</v>
      </c>
      <c r="G229">
        <v>18105.300781000002</v>
      </c>
      <c r="H229">
        <f t="shared" si="16"/>
        <v>18400</v>
      </c>
      <c r="I229">
        <f t="shared" si="17"/>
        <v>17850</v>
      </c>
      <c r="J229">
        <f t="shared" si="18"/>
        <v>18650</v>
      </c>
      <c r="K229">
        <f t="shared" si="19"/>
        <v>17600</v>
      </c>
    </row>
    <row r="230" spans="1:11" x14ac:dyDescent="0.25">
      <c r="A230" s="1">
        <v>44928</v>
      </c>
      <c r="B230" s="1" t="str">
        <f t="shared" si="15"/>
        <v>Monday</v>
      </c>
      <c r="C230">
        <v>18131.699218999998</v>
      </c>
      <c r="D230">
        <v>18215.150390999999</v>
      </c>
      <c r="E230">
        <v>18086.5</v>
      </c>
      <c r="F230">
        <v>18197.449218999998</v>
      </c>
      <c r="G230">
        <v>18197.449218999998</v>
      </c>
      <c r="H230">
        <f t="shared" si="16"/>
        <v>0</v>
      </c>
      <c r="I230">
        <f t="shared" si="17"/>
        <v>0</v>
      </c>
      <c r="J230">
        <f t="shared" si="18"/>
        <v>0</v>
      </c>
      <c r="K230">
        <f t="shared" si="19"/>
        <v>0</v>
      </c>
    </row>
    <row r="231" spans="1:11" x14ac:dyDescent="0.25">
      <c r="A231" s="1">
        <v>44929</v>
      </c>
      <c r="B231" s="1" t="str">
        <f t="shared" si="15"/>
        <v>Tuesday</v>
      </c>
      <c r="C231">
        <v>18163.199218999998</v>
      </c>
      <c r="D231">
        <v>18251.949218999998</v>
      </c>
      <c r="E231">
        <v>18149.800781000002</v>
      </c>
      <c r="F231">
        <v>18232.550781000002</v>
      </c>
      <c r="G231">
        <v>18232.550781000002</v>
      </c>
      <c r="H231">
        <f t="shared" si="16"/>
        <v>0</v>
      </c>
      <c r="I231">
        <f t="shared" si="17"/>
        <v>0</v>
      </c>
      <c r="J231">
        <f t="shared" si="18"/>
        <v>0</v>
      </c>
      <c r="K231">
        <f t="shared" si="19"/>
        <v>0</v>
      </c>
    </row>
    <row r="232" spans="1:11" x14ac:dyDescent="0.25">
      <c r="A232" s="1">
        <v>44930</v>
      </c>
      <c r="B232" s="1" t="str">
        <f t="shared" si="15"/>
        <v>Wednesday</v>
      </c>
      <c r="C232">
        <v>18230.650390999999</v>
      </c>
      <c r="D232">
        <v>18243</v>
      </c>
      <c r="E232">
        <v>18020.599609000001</v>
      </c>
      <c r="F232">
        <v>18042.949218999998</v>
      </c>
      <c r="G232">
        <v>18042.949218999998</v>
      </c>
      <c r="H232">
        <f t="shared" si="16"/>
        <v>0</v>
      </c>
      <c r="I232">
        <f t="shared" si="17"/>
        <v>0</v>
      </c>
      <c r="J232">
        <f t="shared" si="18"/>
        <v>0</v>
      </c>
      <c r="K232">
        <f t="shared" si="19"/>
        <v>0</v>
      </c>
    </row>
    <row r="233" spans="1:11" x14ac:dyDescent="0.25">
      <c r="A233" s="1">
        <v>44931</v>
      </c>
      <c r="B233" s="1" t="str">
        <f t="shared" si="15"/>
        <v>Thursday</v>
      </c>
      <c r="C233">
        <v>18101.949218999998</v>
      </c>
      <c r="D233">
        <v>18120.300781000002</v>
      </c>
      <c r="E233">
        <v>17892.599609000001</v>
      </c>
      <c r="F233">
        <v>17992.150390999999</v>
      </c>
      <c r="G233">
        <v>17992.150390999999</v>
      </c>
      <c r="H233">
        <f t="shared" si="16"/>
        <v>0</v>
      </c>
      <c r="I233">
        <f t="shared" si="17"/>
        <v>0</v>
      </c>
      <c r="J233">
        <f t="shared" si="18"/>
        <v>0</v>
      </c>
      <c r="K233">
        <f t="shared" si="19"/>
        <v>0</v>
      </c>
    </row>
    <row r="234" spans="1:11" x14ac:dyDescent="0.25">
      <c r="A234" s="1">
        <v>44932</v>
      </c>
      <c r="B234" s="1" t="str">
        <f t="shared" si="15"/>
        <v>Friday</v>
      </c>
      <c r="C234">
        <v>18008.050781000002</v>
      </c>
      <c r="D234">
        <v>18047.400390999999</v>
      </c>
      <c r="E234">
        <v>17795.550781000002</v>
      </c>
      <c r="F234">
        <v>17859.449218999998</v>
      </c>
      <c r="G234">
        <v>17859.449218999998</v>
      </c>
      <c r="H234">
        <f t="shared" si="16"/>
        <v>18150</v>
      </c>
      <c r="I234">
        <f t="shared" si="17"/>
        <v>17600</v>
      </c>
      <c r="J234">
        <f t="shared" si="18"/>
        <v>18400</v>
      </c>
      <c r="K234">
        <f t="shared" si="19"/>
        <v>17350</v>
      </c>
    </row>
    <row r="235" spans="1:11" x14ac:dyDescent="0.25">
      <c r="A235" s="1">
        <v>44935</v>
      </c>
      <c r="B235" s="1" t="str">
        <f t="shared" si="15"/>
        <v>Monday</v>
      </c>
      <c r="C235">
        <v>17952.550781000002</v>
      </c>
      <c r="D235">
        <v>18141.400390999999</v>
      </c>
      <c r="E235">
        <v>17936.150390999999</v>
      </c>
      <c r="F235">
        <v>18101.199218999998</v>
      </c>
      <c r="G235">
        <v>18101.199218999998</v>
      </c>
      <c r="H235">
        <f t="shared" si="16"/>
        <v>0</v>
      </c>
      <c r="I235">
        <f t="shared" si="17"/>
        <v>0</v>
      </c>
      <c r="J235">
        <f t="shared" si="18"/>
        <v>0</v>
      </c>
      <c r="K235">
        <f t="shared" si="19"/>
        <v>0</v>
      </c>
    </row>
    <row r="236" spans="1:11" x14ac:dyDescent="0.25">
      <c r="A236" s="1">
        <v>44936</v>
      </c>
      <c r="B236" s="1" t="str">
        <f t="shared" si="15"/>
        <v>Tuesday</v>
      </c>
      <c r="C236">
        <v>18121.300781000002</v>
      </c>
      <c r="D236">
        <v>18127.599609000001</v>
      </c>
      <c r="E236">
        <v>17856</v>
      </c>
      <c r="F236">
        <v>17914.150390999999</v>
      </c>
      <c r="G236">
        <v>17914.150390999999</v>
      </c>
      <c r="H236">
        <f t="shared" si="16"/>
        <v>0</v>
      </c>
      <c r="I236">
        <f t="shared" si="17"/>
        <v>0</v>
      </c>
      <c r="J236">
        <f t="shared" si="18"/>
        <v>0</v>
      </c>
      <c r="K236">
        <f t="shared" si="19"/>
        <v>0</v>
      </c>
    </row>
    <row r="237" spans="1:11" x14ac:dyDescent="0.25">
      <c r="A237" s="1">
        <v>44937</v>
      </c>
      <c r="B237" s="1" t="str">
        <f t="shared" si="15"/>
        <v>Wednesday</v>
      </c>
      <c r="C237">
        <v>17924.25</v>
      </c>
      <c r="D237">
        <v>17976.349609000001</v>
      </c>
      <c r="E237">
        <v>17824.349609000001</v>
      </c>
      <c r="F237">
        <v>17895.699218999998</v>
      </c>
      <c r="G237">
        <v>17895.699218999998</v>
      </c>
      <c r="H237">
        <f t="shared" si="16"/>
        <v>0</v>
      </c>
      <c r="I237">
        <f t="shared" si="17"/>
        <v>0</v>
      </c>
      <c r="J237">
        <f t="shared" si="18"/>
        <v>0</v>
      </c>
      <c r="K237">
        <f t="shared" si="19"/>
        <v>0</v>
      </c>
    </row>
    <row r="238" spans="1:11" x14ac:dyDescent="0.25">
      <c r="A238" s="1">
        <v>44938</v>
      </c>
      <c r="B238" s="1" t="str">
        <f t="shared" si="15"/>
        <v>Thursday</v>
      </c>
      <c r="C238">
        <v>17920.849609000001</v>
      </c>
      <c r="D238">
        <v>17945.800781000002</v>
      </c>
      <c r="E238">
        <v>17761.650390999999</v>
      </c>
      <c r="F238">
        <v>17858.199218999998</v>
      </c>
      <c r="G238">
        <v>17858.199218999998</v>
      </c>
      <c r="H238">
        <f t="shared" si="16"/>
        <v>0</v>
      </c>
      <c r="I238">
        <f t="shared" si="17"/>
        <v>0</v>
      </c>
      <c r="J238">
        <f t="shared" si="18"/>
        <v>0</v>
      </c>
      <c r="K238">
        <f t="shared" si="19"/>
        <v>0</v>
      </c>
    </row>
    <row r="239" spans="1:11" x14ac:dyDescent="0.25">
      <c r="A239" s="1">
        <v>44939</v>
      </c>
      <c r="B239" s="1" t="str">
        <f t="shared" si="15"/>
        <v>Friday</v>
      </c>
      <c r="C239">
        <v>17867.5</v>
      </c>
      <c r="D239">
        <v>17999.349609000001</v>
      </c>
      <c r="E239">
        <v>17774.25</v>
      </c>
      <c r="F239">
        <v>17956.599609000001</v>
      </c>
      <c r="G239">
        <v>17956.599609000001</v>
      </c>
      <c r="H239">
        <f t="shared" si="16"/>
        <v>18250</v>
      </c>
      <c r="I239">
        <f t="shared" si="17"/>
        <v>17700</v>
      </c>
      <c r="J239">
        <f t="shared" si="18"/>
        <v>18500</v>
      </c>
      <c r="K239">
        <f t="shared" si="19"/>
        <v>17450</v>
      </c>
    </row>
    <row r="240" spans="1:11" x14ac:dyDescent="0.25">
      <c r="A240" s="1">
        <v>44942</v>
      </c>
      <c r="B240" s="1" t="str">
        <f t="shared" si="15"/>
        <v>Monday</v>
      </c>
      <c r="C240">
        <v>18033.150390999999</v>
      </c>
      <c r="D240">
        <v>18049.650390999999</v>
      </c>
      <c r="E240">
        <v>17853.650390999999</v>
      </c>
      <c r="F240">
        <v>17894.849609000001</v>
      </c>
      <c r="G240">
        <v>17894.849609000001</v>
      </c>
      <c r="H240">
        <f t="shared" si="16"/>
        <v>0</v>
      </c>
      <c r="I240">
        <f t="shared" si="17"/>
        <v>0</v>
      </c>
      <c r="J240">
        <f t="shared" si="18"/>
        <v>0</v>
      </c>
      <c r="K240">
        <f t="shared" si="19"/>
        <v>0</v>
      </c>
    </row>
    <row r="241" spans="1:12" x14ac:dyDescent="0.25">
      <c r="A241" s="1">
        <v>44943</v>
      </c>
      <c r="B241" s="1" t="str">
        <f t="shared" si="15"/>
        <v>Tuesday</v>
      </c>
      <c r="C241">
        <v>17922.800781000002</v>
      </c>
      <c r="D241">
        <v>18072.050781000002</v>
      </c>
      <c r="E241">
        <v>17886.949218999998</v>
      </c>
      <c r="F241">
        <v>18053.300781000002</v>
      </c>
      <c r="G241">
        <v>18053.300781000002</v>
      </c>
      <c r="H241">
        <f t="shared" si="16"/>
        <v>0</v>
      </c>
      <c r="I241">
        <f t="shared" si="17"/>
        <v>0</v>
      </c>
      <c r="J241">
        <f t="shared" si="18"/>
        <v>0</v>
      </c>
      <c r="K241">
        <f t="shared" si="19"/>
        <v>0</v>
      </c>
    </row>
    <row r="242" spans="1:12" x14ac:dyDescent="0.25">
      <c r="A242" s="1">
        <v>44944</v>
      </c>
      <c r="B242" s="1" t="str">
        <f t="shared" si="15"/>
        <v>Wednesday</v>
      </c>
      <c r="C242">
        <v>18074.300781000002</v>
      </c>
      <c r="D242">
        <v>18183.75</v>
      </c>
      <c r="E242">
        <v>18032.449218999998</v>
      </c>
      <c r="F242">
        <v>18165.349609000001</v>
      </c>
      <c r="G242">
        <v>18165.349609000001</v>
      </c>
      <c r="H242">
        <f t="shared" si="16"/>
        <v>0</v>
      </c>
      <c r="I242">
        <f t="shared" si="17"/>
        <v>0</v>
      </c>
      <c r="J242">
        <f t="shared" si="18"/>
        <v>0</v>
      </c>
      <c r="K242">
        <f t="shared" si="19"/>
        <v>0</v>
      </c>
    </row>
    <row r="243" spans="1:12" x14ac:dyDescent="0.25">
      <c r="A243" s="1">
        <v>44945</v>
      </c>
      <c r="B243" s="1" t="str">
        <f t="shared" si="15"/>
        <v>Thursday</v>
      </c>
      <c r="C243">
        <v>18119.800781000002</v>
      </c>
      <c r="D243">
        <v>18155.199218999998</v>
      </c>
      <c r="E243">
        <v>18063.75</v>
      </c>
      <c r="F243">
        <v>18107.849609000001</v>
      </c>
      <c r="G243">
        <v>18107.849609000001</v>
      </c>
      <c r="H243">
        <f t="shared" si="16"/>
        <v>0</v>
      </c>
      <c r="I243">
        <f t="shared" si="17"/>
        <v>0</v>
      </c>
      <c r="J243">
        <f t="shared" si="18"/>
        <v>0</v>
      </c>
      <c r="K243">
        <f t="shared" si="19"/>
        <v>0</v>
      </c>
    </row>
    <row r="244" spans="1:12" x14ac:dyDescent="0.25">
      <c r="A244" s="1">
        <v>44946</v>
      </c>
      <c r="B244" s="1" t="str">
        <f t="shared" si="15"/>
        <v>Friday</v>
      </c>
      <c r="C244">
        <v>18115.599609000001</v>
      </c>
      <c r="D244">
        <v>18145.449218999998</v>
      </c>
      <c r="E244">
        <v>18016.199218999998</v>
      </c>
      <c r="F244">
        <v>18027.650390999999</v>
      </c>
      <c r="G244">
        <v>18027.650390999999</v>
      </c>
      <c r="H244">
        <f t="shared" si="16"/>
        <v>18300</v>
      </c>
      <c r="I244">
        <f t="shared" si="17"/>
        <v>17750</v>
      </c>
      <c r="J244">
        <f t="shared" si="18"/>
        <v>18550</v>
      </c>
      <c r="K244">
        <f t="shared" si="19"/>
        <v>17500</v>
      </c>
    </row>
    <row r="245" spans="1:12" x14ac:dyDescent="0.25">
      <c r="A245" s="1">
        <v>44949</v>
      </c>
      <c r="B245" s="1" t="str">
        <f t="shared" si="15"/>
        <v>Monday</v>
      </c>
      <c r="C245">
        <v>18118.449218999998</v>
      </c>
      <c r="D245">
        <v>18162.599609000001</v>
      </c>
      <c r="E245">
        <v>18063.449218999998</v>
      </c>
      <c r="F245">
        <v>18118.550781000002</v>
      </c>
      <c r="G245">
        <v>18118.550781000002</v>
      </c>
      <c r="H245">
        <f t="shared" si="16"/>
        <v>0</v>
      </c>
      <c r="I245">
        <f t="shared" si="17"/>
        <v>0</v>
      </c>
      <c r="J245">
        <f t="shared" si="18"/>
        <v>0</v>
      </c>
      <c r="K245">
        <f t="shared" si="19"/>
        <v>0</v>
      </c>
    </row>
    <row r="246" spans="1:12" x14ac:dyDescent="0.25">
      <c r="A246" s="1">
        <v>44950</v>
      </c>
      <c r="B246" s="1" t="str">
        <f t="shared" si="15"/>
        <v>Tuesday</v>
      </c>
      <c r="C246">
        <v>18183.949218999998</v>
      </c>
      <c r="D246">
        <v>18201.25</v>
      </c>
      <c r="E246">
        <v>18078.650390999999</v>
      </c>
      <c r="F246">
        <v>18118.300781000002</v>
      </c>
      <c r="G246">
        <v>18118.300781000002</v>
      </c>
      <c r="H246">
        <f t="shared" si="16"/>
        <v>0</v>
      </c>
      <c r="I246">
        <f t="shared" si="17"/>
        <v>0</v>
      </c>
      <c r="J246">
        <f t="shared" si="18"/>
        <v>0</v>
      </c>
      <c r="K246">
        <f t="shared" si="19"/>
        <v>0</v>
      </c>
    </row>
    <row r="247" spans="1:12" x14ac:dyDescent="0.25">
      <c r="A247" s="1">
        <v>44951</v>
      </c>
      <c r="B247" s="1" t="str">
        <f t="shared" si="15"/>
        <v>Wednesday</v>
      </c>
      <c r="C247">
        <v>18093.349609000001</v>
      </c>
      <c r="D247">
        <v>18100.599609000001</v>
      </c>
      <c r="E247">
        <v>17846.150390999999</v>
      </c>
      <c r="F247">
        <v>17891.949218999998</v>
      </c>
      <c r="G247">
        <v>17891.949218999998</v>
      </c>
      <c r="H247">
        <f t="shared" si="16"/>
        <v>0</v>
      </c>
      <c r="I247">
        <f t="shared" si="17"/>
        <v>0</v>
      </c>
      <c r="J247">
        <f t="shared" si="18"/>
        <v>0</v>
      </c>
      <c r="K247">
        <f t="shared" si="19"/>
        <v>0</v>
      </c>
    </row>
    <row r="248" spans="1:12" x14ac:dyDescent="0.25">
      <c r="A248" s="1">
        <v>44953</v>
      </c>
      <c r="B248" s="1" t="str">
        <f t="shared" si="15"/>
        <v>Friday</v>
      </c>
      <c r="C248">
        <v>17877.199218999998</v>
      </c>
      <c r="D248">
        <v>17884.75</v>
      </c>
      <c r="E248">
        <v>17493.550781000002</v>
      </c>
      <c r="F248">
        <v>17604.349609000001</v>
      </c>
      <c r="G248">
        <v>17604.349609000001</v>
      </c>
      <c r="H248">
        <f t="shared" si="16"/>
        <v>17900</v>
      </c>
      <c r="I248">
        <f t="shared" si="17"/>
        <v>17350</v>
      </c>
      <c r="J248">
        <f t="shared" si="18"/>
        <v>18150</v>
      </c>
      <c r="K248">
        <f t="shared" si="19"/>
        <v>17100</v>
      </c>
    </row>
    <row r="249" spans="1:12" x14ac:dyDescent="0.25">
      <c r="A249" s="1">
        <v>44956</v>
      </c>
      <c r="B249" s="1" t="str">
        <f t="shared" si="15"/>
        <v>Monday</v>
      </c>
      <c r="C249">
        <v>17541.949218999998</v>
      </c>
      <c r="D249">
        <v>17709.150390999999</v>
      </c>
      <c r="E249">
        <v>17405.550781000002</v>
      </c>
      <c r="F249">
        <v>17648.949218999998</v>
      </c>
      <c r="G249">
        <v>17648.949218999998</v>
      </c>
      <c r="H249">
        <f t="shared" si="16"/>
        <v>0</v>
      </c>
      <c r="I249">
        <f t="shared" si="17"/>
        <v>0</v>
      </c>
      <c r="J249">
        <f t="shared" si="18"/>
        <v>0</v>
      </c>
      <c r="K249">
        <f t="shared" si="19"/>
        <v>0</v>
      </c>
    </row>
    <row r="250" spans="1:12" x14ac:dyDescent="0.25">
      <c r="A250" s="1">
        <v>44957</v>
      </c>
      <c r="B250" s="1" t="str">
        <f t="shared" si="15"/>
        <v>Tuesday</v>
      </c>
      <c r="C250" t="s">
        <v>6</v>
      </c>
      <c r="D250" t="s">
        <v>6</v>
      </c>
      <c r="E250" t="s">
        <v>6</v>
      </c>
      <c r="F250" t="s">
        <v>6</v>
      </c>
      <c r="G250" t="s">
        <v>6</v>
      </c>
      <c r="H250">
        <f t="shared" si="16"/>
        <v>0</v>
      </c>
      <c r="I250">
        <f t="shared" si="17"/>
        <v>0</v>
      </c>
      <c r="J250">
        <f t="shared" si="18"/>
        <v>0</v>
      </c>
      <c r="K250">
        <f t="shared" si="19"/>
        <v>0</v>
      </c>
    </row>
    <row r="251" spans="1:12" x14ac:dyDescent="0.25">
      <c r="A251" s="1">
        <v>44958</v>
      </c>
      <c r="B251" s="1" t="str">
        <f t="shared" si="15"/>
        <v>Wednesday</v>
      </c>
      <c r="C251">
        <v>17811.599609000001</v>
      </c>
      <c r="D251">
        <v>17972.199218999998</v>
      </c>
      <c r="E251">
        <v>17353.400390999999</v>
      </c>
      <c r="F251">
        <v>17616.300781000002</v>
      </c>
      <c r="G251">
        <v>17616.300781000002</v>
      </c>
      <c r="H251">
        <f t="shared" si="16"/>
        <v>0</v>
      </c>
      <c r="I251">
        <f t="shared" si="17"/>
        <v>0</v>
      </c>
      <c r="J251">
        <f t="shared" si="18"/>
        <v>0</v>
      </c>
      <c r="K251">
        <f t="shared" si="19"/>
        <v>0</v>
      </c>
    </row>
    <row r="253" spans="1:12" x14ac:dyDescent="0.25">
      <c r="L253">
        <v>8</v>
      </c>
    </row>
    <row r="254" spans="1:12" x14ac:dyDescent="0.25">
      <c r="L254">
        <v>9</v>
      </c>
    </row>
    <row r="255" spans="1:12" x14ac:dyDescent="0.25">
      <c r="L255">
        <v>10</v>
      </c>
    </row>
    <row r="256" spans="1:12" x14ac:dyDescent="0.25">
      <c r="L256">
        <v>11</v>
      </c>
    </row>
  </sheetData>
  <conditionalFormatting sqref="B1">
    <cfRule type="cellIs" dxfId="3" priority="4" operator="equal">
      <formula>$B$5</formula>
    </cfRule>
  </conditionalFormatting>
  <conditionalFormatting sqref="A1:I251 J1:K1">
    <cfRule type="cellIs" dxfId="2" priority="3" operator="equal">
      <formula>$B$5</formula>
    </cfRule>
  </conditionalFormatting>
  <conditionalFormatting sqref="H2:I251">
    <cfRule type="cellIs" dxfId="1" priority="2" operator="notEqual">
      <formula>0</formula>
    </cfRule>
  </conditionalFormatting>
  <conditionalFormatting sqref="I1:I1048576 J1:K1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9"/>
  <sheetViews>
    <sheetView tabSelected="1" topLeftCell="C1" zoomScaleNormal="100" workbookViewId="0">
      <pane ySplit="1" topLeftCell="A82" activePane="bottomLeft" state="frozen"/>
      <selection activeCell="I1" sqref="I1"/>
      <selection pane="bottomLeft" activeCell="Z107" sqref="Z107"/>
    </sheetView>
  </sheetViews>
  <sheetFormatPr defaultRowHeight="15" x14ac:dyDescent="0.25"/>
  <cols>
    <col min="2" max="2" width="11.85546875" bestFit="1" customWidth="1"/>
    <col min="3" max="3" width="10.140625" bestFit="1" customWidth="1"/>
    <col min="4" max="4" width="11" bestFit="1" customWidth="1"/>
    <col min="5" max="5" width="11.85546875" bestFit="1" customWidth="1"/>
    <col min="6" max="6" width="11.85546875" customWidth="1"/>
    <col min="7" max="7" width="10.42578125" bestFit="1" customWidth="1"/>
    <col min="9" max="9" width="9.7109375" bestFit="1" customWidth="1"/>
    <col min="12" max="12" width="12.85546875" bestFit="1" customWidth="1"/>
    <col min="13" max="13" width="10.5703125" bestFit="1" customWidth="1"/>
    <col min="14" max="14" width="19.85546875" customWidth="1"/>
    <col min="15" max="15" width="10" bestFit="1" customWidth="1"/>
    <col min="17" max="17" width="18.85546875" bestFit="1" customWidth="1"/>
    <col min="18" max="18" width="8.7109375" customWidth="1"/>
    <col min="19" max="19" width="12.5703125" customWidth="1"/>
    <col min="20" max="20" width="14.140625" bestFit="1" customWidth="1"/>
    <col min="21" max="21" width="9.7109375" bestFit="1" customWidth="1"/>
    <col min="22" max="22" width="10.5703125" bestFit="1" customWidth="1"/>
    <col min="23" max="23" width="11.140625" bestFit="1" customWidth="1"/>
    <col min="24" max="24" width="11.140625" customWidth="1"/>
    <col min="26" max="26" width="15.28515625" customWidth="1"/>
    <col min="28" max="28" width="14.5703125" bestFit="1" customWidth="1"/>
    <col min="29" max="29" width="11.5703125" customWidth="1"/>
    <col min="30" max="30" width="11.85546875" bestFit="1" customWidth="1"/>
    <col min="31" max="31" width="9.85546875" bestFit="1" customWidth="1"/>
    <col min="32" max="32" width="11.140625" bestFit="1" customWidth="1"/>
  </cols>
  <sheetData>
    <row r="1" spans="1:32" x14ac:dyDescent="0.25">
      <c r="A1" s="9" t="s">
        <v>14</v>
      </c>
      <c r="B1" s="9" t="s">
        <v>0</v>
      </c>
      <c r="C1" s="9" t="s">
        <v>10</v>
      </c>
      <c r="D1" s="9" t="s">
        <v>11</v>
      </c>
      <c r="E1" s="9" t="s">
        <v>13</v>
      </c>
      <c r="F1" s="9" t="s">
        <v>16</v>
      </c>
      <c r="G1" s="9" t="s">
        <v>12</v>
      </c>
      <c r="H1" s="9" t="s">
        <v>15</v>
      </c>
      <c r="I1" s="9" t="s">
        <v>19</v>
      </c>
      <c r="J1" s="9" t="s">
        <v>20</v>
      </c>
      <c r="K1" s="9" t="s">
        <v>22</v>
      </c>
      <c r="L1" s="9" t="s">
        <v>21</v>
      </c>
      <c r="M1" s="14" t="s">
        <v>23</v>
      </c>
      <c r="N1" s="14" t="s">
        <v>50</v>
      </c>
      <c r="O1" s="14" t="s">
        <v>38</v>
      </c>
      <c r="P1" s="14" t="s">
        <v>45</v>
      </c>
      <c r="Q1" s="14" t="s">
        <v>46</v>
      </c>
      <c r="R1" s="14" t="s">
        <v>47</v>
      </c>
      <c r="S1" s="14" t="s">
        <v>48</v>
      </c>
      <c r="T1" s="14" t="s">
        <v>49</v>
      </c>
      <c r="U1" s="14" t="s">
        <v>51</v>
      </c>
      <c r="V1" s="14" t="s">
        <v>55</v>
      </c>
      <c r="W1" s="14" t="s">
        <v>56</v>
      </c>
      <c r="X1" s="14"/>
      <c r="Y1" s="22" t="s">
        <v>26</v>
      </c>
      <c r="Z1" s="23" t="s">
        <v>33</v>
      </c>
      <c r="AA1" s="23" t="s">
        <v>27</v>
      </c>
      <c r="AB1" s="23" t="s">
        <v>28</v>
      </c>
      <c r="AC1" s="23" t="s">
        <v>29</v>
      </c>
      <c r="AD1" s="23" t="s">
        <v>30</v>
      </c>
      <c r="AE1" s="23" t="s">
        <v>31</v>
      </c>
      <c r="AF1" s="24" t="s">
        <v>32</v>
      </c>
    </row>
    <row r="2" spans="1:32" x14ac:dyDescent="0.25">
      <c r="A2">
        <v>1.1000000000000001</v>
      </c>
      <c r="B2" s="1">
        <v>44596</v>
      </c>
      <c r="C2" s="4">
        <v>44602</v>
      </c>
      <c r="D2">
        <f>INDEX(Nifty!$A$1:$K$251,MATCH('Iron Condor (Hedge)'!B2,Nifty!$A$1:$A$251),Nifty!$L$253)</f>
        <v>17800</v>
      </c>
      <c r="E2" t="s">
        <v>7</v>
      </c>
      <c r="F2" t="s">
        <v>17</v>
      </c>
      <c r="G2">
        <v>41</v>
      </c>
      <c r="I2">
        <v>0.05</v>
      </c>
      <c r="J2">
        <f>IF(F2="SELL",(G2-I2)*50,(I2-G2)*50)</f>
        <v>2047.5000000000002</v>
      </c>
      <c r="L2">
        <f>J2</f>
        <v>2047.5000000000002</v>
      </c>
      <c r="M2">
        <v>0</v>
      </c>
      <c r="N2">
        <v>20</v>
      </c>
      <c r="O2">
        <f>N2*2</f>
        <v>40</v>
      </c>
      <c r="P2">
        <f>IF(F2="SELL",G2*50*0.05%,I2*50*0.05%)</f>
        <v>1.0249999999999999</v>
      </c>
      <c r="Q2">
        <f>(G2+I2)*50*0.053%</f>
        <v>1.087825</v>
      </c>
      <c r="R2">
        <f>(O2+S2+Q2)*18%</f>
        <v>7.3961779499999993</v>
      </c>
      <c r="S2">
        <f>(10/10000000)*(G2+I2)*50</f>
        <v>2.0524999999999996E-3</v>
      </c>
      <c r="T2">
        <f>IF(F2="SELL",I2*0.003%,G2*0.003%)</f>
        <v>1.5E-6</v>
      </c>
      <c r="U2">
        <f>SUM(P2:T2)</f>
        <v>9.5110569499999986</v>
      </c>
      <c r="V2">
        <f>J2-O2-U2</f>
        <v>1997.9889430500002</v>
      </c>
      <c r="W2">
        <f>V2</f>
        <v>1997.9889430500002</v>
      </c>
      <c r="Y2" s="25">
        <v>1</v>
      </c>
      <c r="Z2" s="12">
        <v>3257.5</v>
      </c>
      <c r="AA2" s="12">
        <f>IF(Z2&gt;0,1,0)</f>
        <v>1</v>
      </c>
      <c r="AB2" s="12">
        <f>IF(AA2=1,Z2,0)</f>
        <v>3257.5</v>
      </c>
      <c r="AC2" s="12">
        <f>IF(Z2&lt;0,1,0)</f>
        <v>0</v>
      </c>
      <c r="AD2" s="12">
        <f>IF(AC2=1,Z2,0)</f>
        <v>0</v>
      </c>
      <c r="AE2" s="12">
        <f>AA2</f>
        <v>1</v>
      </c>
      <c r="AF2" s="26">
        <f>AC2</f>
        <v>0</v>
      </c>
    </row>
    <row r="3" spans="1:32" x14ac:dyDescent="0.25">
      <c r="A3">
        <v>1.2</v>
      </c>
      <c r="B3" s="1">
        <v>44596</v>
      </c>
      <c r="C3" s="4">
        <v>44602</v>
      </c>
      <c r="D3">
        <f>INDEX(Nifty!$A$2:$K$252,MATCH('Iron Condor (Hedge)'!B3,Nifty!$A$2:$A$252),Nifty!$L$254)</f>
        <v>17250</v>
      </c>
      <c r="E3" t="s">
        <v>8</v>
      </c>
      <c r="F3" t="s">
        <v>17</v>
      </c>
      <c r="G3">
        <v>58.95</v>
      </c>
      <c r="I3">
        <v>0.1</v>
      </c>
      <c r="J3">
        <f t="shared" ref="J3:J205" si="0">IF(F3="SELL",(G3-I3)*50,(I3-G3)*50)</f>
        <v>2942.5</v>
      </c>
      <c r="L3">
        <f>J3+L2</f>
        <v>4990</v>
      </c>
      <c r="N3">
        <v>20</v>
      </c>
      <c r="O3">
        <f t="shared" ref="O3:O66" si="1">N3*2</f>
        <v>40</v>
      </c>
      <c r="P3">
        <f t="shared" ref="P3:P66" si="2">IF(F3="SELL",G3*50*0.05%,I3*50*0.05%)</f>
        <v>1.4737500000000001</v>
      </c>
      <c r="Q3">
        <f t="shared" ref="Q3:Q66" si="3">(G3+I3)*50*0.053%</f>
        <v>1.5648249999999999</v>
      </c>
      <c r="R3">
        <f t="shared" ref="R3:R66" si="4">(O3+S3+Q3)*18%</f>
        <v>7.4821999499999992</v>
      </c>
      <c r="S3">
        <f t="shared" ref="S3:S66" si="5">(10/10000000)*(G3+I3)*50</f>
        <v>2.9524999999999998E-3</v>
      </c>
      <c r="T3">
        <f t="shared" ref="T3:T66" si="6">IF(F3="SELL",I3*0.003%,G3*0.003%)</f>
        <v>3.0000000000000001E-6</v>
      </c>
      <c r="U3">
        <f t="shared" ref="U3:U66" si="7">SUM(P3:T3)</f>
        <v>10.523730449999999</v>
      </c>
      <c r="V3">
        <f t="shared" ref="V3:V66" si="8">J3-O3-U3</f>
        <v>2891.9762695499999</v>
      </c>
      <c r="W3">
        <f>W2+V3</f>
        <v>4889.9652126000001</v>
      </c>
      <c r="Y3" s="25">
        <v>2</v>
      </c>
      <c r="Z3" s="12">
        <v>3227.5</v>
      </c>
      <c r="AA3" s="12">
        <f t="shared" ref="AA3:AA52" si="9">IF(Z3&gt;0,1,0)</f>
        <v>1</v>
      </c>
      <c r="AB3" s="12">
        <f t="shared" ref="AB3:AB52" si="10">IF(AA3=1,Z3,0)</f>
        <v>3227.5</v>
      </c>
      <c r="AC3" s="12">
        <f t="shared" ref="AC3:AC52" si="11">IF(Z3&lt;0,1,0)</f>
        <v>0</v>
      </c>
      <c r="AD3" s="12">
        <f t="shared" ref="AD3:AD52" si="12">IF(AC3=1,Z3,0)</f>
        <v>0</v>
      </c>
      <c r="AE3" s="12">
        <f>IF(AA3=1,IF(AE2&gt;0,AE2+1,1),0)</f>
        <v>2</v>
      </c>
      <c r="AF3" s="26">
        <f>IF(AC3=1,IF(AF2&gt;0,AF2+1,1),0)</f>
        <v>0</v>
      </c>
    </row>
    <row r="4" spans="1:32" x14ac:dyDescent="0.25">
      <c r="A4">
        <v>1.3</v>
      </c>
      <c r="B4" s="1">
        <v>44596</v>
      </c>
      <c r="C4" s="4">
        <v>44602</v>
      </c>
      <c r="D4">
        <f>INDEX(Nifty!$A$3:$K$253,MATCH('Iron Condor (Hedge)'!B4,Nifty!$A$3:$A$253),Nifty!$L$255)</f>
        <v>18050</v>
      </c>
      <c r="E4" t="s">
        <v>7</v>
      </c>
      <c r="F4" t="s">
        <v>18</v>
      </c>
      <c r="G4">
        <v>9.75</v>
      </c>
      <c r="I4">
        <v>0.1</v>
      </c>
      <c r="J4">
        <f t="shared" si="0"/>
        <v>-482.5</v>
      </c>
      <c r="L4">
        <f t="shared" ref="L4:L67" si="13">J4+L3</f>
        <v>4507.5</v>
      </c>
      <c r="N4">
        <v>20</v>
      </c>
      <c r="O4">
        <f t="shared" si="1"/>
        <v>40</v>
      </c>
      <c r="P4">
        <f t="shared" si="2"/>
        <v>2.5000000000000001E-3</v>
      </c>
      <c r="Q4">
        <f t="shared" si="3"/>
        <v>0.26102500000000001</v>
      </c>
      <c r="R4">
        <f t="shared" si="4"/>
        <v>7.2470731499999994</v>
      </c>
      <c r="S4">
        <f t="shared" si="5"/>
        <v>4.9249999999999999E-4</v>
      </c>
      <c r="T4">
        <f t="shared" si="6"/>
        <v>2.9250000000000001E-4</v>
      </c>
      <c r="U4">
        <f t="shared" si="7"/>
        <v>7.5113831499999995</v>
      </c>
      <c r="V4">
        <f t="shared" si="8"/>
        <v>-530.01138315000003</v>
      </c>
      <c r="W4">
        <f>W3+V4</f>
        <v>4359.9538294499998</v>
      </c>
      <c r="Y4" s="25">
        <v>3</v>
      </c>
      <c r="Z4" s="12">
        <v>-7747.5000000000036</v>
      </c>
      <c r="AA4" s="12">
        <f t="shared" si="9"/>
        <v>0</v>
      </c>
      <c r="AB4" s="12">
        <f t="shared" si="10"/>
        <v>0</v>
      </c>
      <c r="AC4" s="12">
        <f t="shared" si="11"/>
        <v>1</v>
      </c>
      <c r="AD4" s="12">
        <f t="shared" si="12"/>
        <v>-7747.5000000000036</v>
      </c>
      <c r="AE4" s="12">
        <f t="shared" ref="AE4:AE52" si="14">IF(AA4=1,IF(AE3&gt;0,AE3+1,1),0)</f>
        <v>0</v>
      </c>
      <c r="AF4" s="26">
        <f t="shared" ref="AF4:AF52" si="15">IF(AC4=1,IF(AF3&gt;0,AF3+1,1),0)</f>
        <v>1</v>
      </c>
    </row>
    <row r="5" spans="1:32" x14ac:dyDescent="0.25">
      <c r="A5" s="6">
        <v>1.4</v>
      </c>
      <c r="B5" s="7">
        <v>44596</v>
      </c>
      <c r="C5" s="8">
        <v>44602</v>
      </c>
      <c r="D5">
        <f>INDEX(Nifty!$A$4:$K$254,MATCH('Iron Condor (Hedge)'!B5,Nifty!$A$4:$A$254),Nifty!$L$256)</f>
        <v>17000</v>
      </c>
      <c r="E5" s="6" t="s">
        <v>8</v>
      </c>
      <c r="F5" s="6" t="s">
        <v>18</v>
      </c>
      <c r="G5" s="6">
        <v>25.1</v>
      </c>
      <c r="H5" s="6">
        <f>G2+G3-G4-G5</f>
        <v>65.099999999999994</v>
      </c>
      <c r="I5" s="6">
        <v>0.1</v>
      </c>
      <c r="J5" s="6">
        <f t="shared" si="0"/>
        <v>-1250</v>
      </c>
      <c r="K5" s="6">
        <f>SUM(J2:J5)</f>
        <v>3257.5</v>
      </c>
      <c r="L5" s="6">
        <f t="shared" si="13"/>
        <v>3257.5</v>
      </c>
      <c r="M5">
        <v>0</v>
      </c>
      <c r="N5">
        <v>20</v>
      </c>
      <c r="O5">
        <f t="shared" si="1"/>
        <v>40</v>
      </c>
      <c r="P5">
        <f t="shared" si="2"/>
        <v>2.5000000000000001E-3</v>
      </c>
      <c r="Q5">
        <f t="shared" si="3"/>
        <v>0.66780000000000006</v>
      </c>
      <c r="R5">
        <f t="shared" si="4"/>
        <v>7.3204308000000005</v>
      </c>
      <c r="S5">
        <f t="shared" si="5"/>
        <v>1.2600000000000001E-3</v>
      </c>
      <c r="T5">
        <f t="shared" si="6"/>
        <v>7.5300000000000009E-4</v>
      </c>
      <c r="U5">
        <f t="shared" si="7"/>
        <v>7.9927438000000004</v>
      </c>
      <c r="V5">
        <f t="shared" si="8"/>
        <v>-1297.9927438</v>
      </c>
      <c r="W5">
        <f>W4+V5</f>
        <v>3061.9610856499999</v>
      </c>
      <c r="Y5" s="25">
        <v>4</v>
      </c>
      <c r="Z5" s="12">
        <v>5890</v>
      </c>
      <c r="AA5" s="12">
        <f t="shared" si="9"/>
        <v>1</v>
      </c>
      <c r="AB5" s="12">
        <f t="shared" si="10"/>
        <v>5890</v>
      </c>
      <c r="AC5" s="12">
        <f t="shared" si="11"/>
        <v>0</v>
      </c>
      <c r="AD5" s="12">
        <f t="shared" si="12"/>
        <v>0</v>
      </c>
      <c r="AE5" s="12">
        <f t="shared" si="14"/>
        <v>1</v>
      </c>
      <c r="AF5" s="26">
        <f t="shared" si="15"/>
        <v>0</v>
      </c>
    </row>
    <row r="6" spans="1:32" x14ac:dyDescent="0.25">
      <c r="A6">
        <f>A2+1</f>
        <v>2.1</v>
      </c>
      <c r="B6" s="1">
        <f>B2+7</f>
        <v>44603</v>
      </c>
      <c r="C6" s="4">
        <f>C2+7</f>
        <v>44609</v>
      </c>
      <c r="D6">
        <f>INDEX(Nifty!$A$1:$K$251,MATCH('Iron Condor (Hedge)'!B6,Nifty!$A$1:$A$251),Nifty!$L$253)</f>
        <v>17650</v>
      </c>
      <c r="E6" t="str">
        <f>E2</f>
        <v>CE</v>
      </c>
      <c r="F6" t="str">
        <f>F2</f>
        <v>SELL</v>
      </c>
      <c r="G6">
        <v>41.85</v>
      </c>
      <c r="I6">
        <v>0.05</v>
      </c>
      <c r="J6">
        <f t="shared" si="0"/>
        <v>2090</v>
      </c>
      <c r="L6">
        <f t="shared" si="13"/>
        <v>5347.5</v>
      </c>
      <c r="N6">
        <v>20</v>
      </c>
      <c r="O6">
        <f t="shared" si="1"/>
        <v>40</v>
      </c>
      <c r="P6">
        <f t="shared" si="2"/>
        <v>1.0462500000000001</v>
      </c>
      <c r="Q6">
        <f t="shared" si="3"/>
        <v>1.1103499999999999</v>
      </c>
      <c r="R6">
        <f t="shared" si="4"/>
        <v>7.4002400999999987</v>
      </c>
      <c r="S6">
        <f t="shared" si="5"/>
        <v>2.0949999999999996E-3</v>
      </c>
      <c r="T6">
        <f t="shared" si="6"/>
        <v>1.5E-6</v>
      </c>
      <c r="U6">
        <f t="shared" si="7"/>
        <v>9.5589365999999991</v>
      </c>
      <c r="V6">
        <f t="shared" si="8"/>
        <v>2040.4410634000001</v>
      </c>
      <c r="W6">
        <f>W5+V6</f>
        <v>5102.4021490499999</v>
      </c>
      <c r="Y6" s="25">
        <v>5</v>
      </c>
      <c r="Z6" s="12">
        <v>824.99999999999909</v>
      </c>
      <c r="AA6" s="12">
        <f t="shared" si="9"/>
        <v>1</v>
      </c>
      <c r="AB6" s="12">
        <f t="shared" si="10"/>
        <v>824.99999999999909</v>
      </c>
      <c r="AC6" s="12">
        <f t="shared" si="11"/>
        <v>0</v>
      </c>
      <c r="AD6" s="12">
        <f t="shared" si="12"/>
        <v>0</v>
      </c>
      <c r="AE6" s="12">
        <f t="shared" si="14"/>
        <v>2</v>
      </c>
      <c r="AF6" s="26">
        <f t="shared" si="15"/>
        <v>0</v>
      </c>
    </row>
    <row r="7" spans="1:32" x14ac:dyDescent="0.25">
      <c r="A7">
        <f t="shared" ref="A7:A70" si="16">A3+1</f>
        <v>2.2000000000000002</v>
      </c>
      <c r="B7" s="1">
        <f t="shared" ref="B7:B70" si="17">B3+7</f>
        <v>44603</v>
      </c>
      <c r="C7" s="4">
        <f t="shared" ref="C7:C70" si="18">C3+7</f>
        <v>44609</v>
      </c>
      <c r="D7">
        <f>INDEX(Nifty!$A$2:$K$252,MATCH('Iron Condor (Hedge)'!B7,Nifty!$A$2:$A$252),Nifty!$L$254)</f>
        <v>17100</v>
      </c>
      <c r="E7" t="str">
        <f t="shared" ref="E7:F41" si="19">E3</f>
        <v>PE</v>
      </c>
      <c r="F7" t="str">
        <f t="shared" si="19"/>
        <v>SELL</v>
      </c>
      <c r="G7">
        <v>55.75</v>
      </c>
      <c r="I7">
        <v>0.1</v>
      </c>
      <c r="J7">
        <f t="shared" si="0"/>
        <v>2782.5</v>
      </c>
      <c r="L7">
        <f t="shared" si="13"/>
        <v>8130</v>
      </c>
      <c r="N7">
        <v>20</v>
      </c>
      <c r="O7">
        <f t="shared" si="1"/>
        <v>40</v>
      </c>
      <c r="P7">
        <f t="shared" si="2"/>
        <v>1.39375</v>
      </c>
      <c r="Q7">
        <f t="shared" si="3"/>
        <v>1.4800249999999999</v>
      </c>
      <c r="R7">
        <f t="shared" si="4"/>
        <v>7.466907149999999</v>
      </c>
      <c r="S7">
        <f t="shared" si="5"/>
        <v>2.7924999999999998E-3</v>
      </c>
      <c r="T7">
        <f t="shared" si="6"/>
        <v>3.0000000000000001E-6</v>
      </c>
      <c r="U7">
        <f t="shared" si="7"/>
        <v>10.343477649999999</v>
      </c>
      <c r="V7">
        <f t="shared" si="8"/>
        <v>2732.1565223500002</v>
      </c>
      <c r="W7">
        <f>W6+V7</f>
        <v>7834.5586714000001</v>
      </c>
      <c r="Y7" s="25">
        <v>6</v>
      </c>
      <c r="Z7" s="12">
        <v>-6610.0000000000009</v>
      </c>
      <c r="AA7" s="12">
        <f t="shared" si="9"/>
        <v>0</v>
      </c>
      <c r="AB7" s="12">
        <f t="shared" si="10"/>
        <v>0</v>
      </c>
      <c r="AC7" s="12">
        <f t="shared" si="11"/>
        <v>1</v>
      </c>
      <c r="AD7" s="12">
        <f t="shared" si="12"/>
        <v>-6610.0000000000009</v>
      </c>
      <c r="AE7" s="12">
        <f t="shared" si="14"/>
        <v>0</v>
      </c>
      <c r="AF7" s="26">
        <f t="shared" si="15"/>
        <v>1</v>
      </c>
    </row>
    <row r="8" spans="1:32" x14ac:dyDescent="0.25">
      <c r="A8">
        <f t="shared" si="16"/>
        <v>2.2999999999999998</v>
      </c>
      <c r="B8" s="1">
        <f t="shared" si="17"/>
        <v>44603</v>
      </c>
      <c r="C8" s="4">
        <f t="shared" si="18"/>
        <v>44609</v>
      </c>
      <c r="D8">
        <f>INDEX(Nifty!$A$3:$K$253,MATCH('Iron Condor (Hedge)'!B8,Nifty!$A$3:$A$253),Nifty!$L$255)</f>
        <v>17900</v>
      </c>
      <c r="E8" t="str">
        <f t="shared" si="19"/>
        <v>CE</v>
      </c>
      <c r="F8" t="str">
        <f t="shared" si="19"/>
        <v>BUY</v>
      </c>
      <c r="G8">
        <v>9.3000000000000007</v>
      </c>
      <c r="I8">
        <v>0.1</v>
      </c>
      <c r="J8">
        <f t="shared" si="0"/>
        <v>-460.00000000000006</v>
      </c>
      <c r="L8">
        <f t="shared" si="13"/>
        <v>7670</v>
      </c>
      <c r="N8">
        <v>20</v>
      </c>
      <c r="O8">
        <f t="shared" si="1"/>
        <v>40</v>
      </c>
      <c r="P8">
        <f t="shared" si="2"/>
        <v>2.5000000000000001E-3</v>
      </c>
      <c r="Q8">
        <f t="shared" si="3"/>
        <v>0.24909999999999999</v>
      </c>
      <c r="R8">
        <f t="shared" si="4"/>
        <v>7.2449225999999998</v>
      </c>
      <c r="S8">
        <f t="shared" si="5"/>
        <v>4.6999999999999999E-4</v>
      </c>
      <c r="T8">
        <f t="shared" si="6"/>
        <v>2.7900000000000001E-4</v>
      </c>
      <c r="U8">
        <f t="shared" si="7"/>
        <v>7.4972715999999995</v>
      </c>
      <c r="V8">
        <f t="shared" si="8"/>
        <v>-507.49727160000003</v>
      </c>
      <c r="W8">
        <f>W7+V8</f>
        <v>7327.0613997999999</v>
      </c>
      <c r="Y8" s="25">
        <v>7</v>
      </c>
      <c r="Z8" s="12">
        <v>4897.5</v>
      </c>
      <c r="AA8" s="12">
        <f t="shared" si="9"/>
        <v>1</v>
      </c>
      <c r="AB8" s="12">
        <f t="shared" si="10"/>
        <v>4897.5</v>
      </c>
      <c r="AC8" s="12">
        <f t="shared" si="11"/>
        <v>0</v>
      </c>
      <c r="AD8" s="12">
        <f t="shared" si="12"/>
        <v>0</v>
      </c>
      <c r="AE8" s="12">
        <f t="shared" si="14"/>
        <v>1</v>
      </c>
      <c r="AF8" s="26">
        <f t="shared" si="15"/>
        <v>0</v>
      </c>
    </row>
    <row r="9" spans="1:32" x14ac:dyDescent="0.25">
      <c r="A9" s="6">
        <f t="shared" si="16"/>
        <v>2.4</v>
      </c>
      <c r="B9" s="7">
        <f t="shared" si="17"/>
        <v>44603</v>
      </c>
      <c r="C9" s="8">
        <f t="shared" si="18"/>
        <v>44609</v>
      </c>
      <c r="D9" s="6">
        <f>INDEX(Nifty!$A$4:$K$254,MATCH('Iron Condor (Hedge)'!B9,Nifty!$A$4:$A$254),Nifty!$L$256)</f>
        <v>16850</v>
      </c>
      <c r="E9" s="6" t="str">
        <f t="shared" si="19"/>
        <v>PE</v>
      </c>
      <c r="F9" s="6" t="str">
        <f t="shared" si="19"/>
        <v>BUY</v>
      </c>
      <c r="G9" s="6">
        <v>23.8</v>
      </c>
      <c r="H9" s="6">
        <f>G6+G7-G8-G9</f>
        <v>64.5</v>
      </c>
      <c r="I9" s="6">
        <v>0.1</v>
      </c>
      <c r="J9" s="6">
        <f t="shared" si="0"/>
        <v>-1185</v>
      </c>
      <c r="K9" s="6">
        <f>SUM(J6:J9)</f>
        <v>3227.5</v>
      </c>
      <c r="L9" s="6">
        <f t="shared" si="13"/>
        <v>6485</v>
      </c>
      <c r="M9">
        <f>IF(K9+M5&lt;0,K9+M5,0)</f>
        <v>0</v>
      </c>
      <c r="N9">
        <v>20</v>
      </c>
      <c r="O9">
        <f t="shared" si="1"/>
        <v>40</v>
      </c>
      <c r="P9">
        <f t="shared" si="2"/>
        <v>2.5000000000000001E-3</v>
      </c>
      <c r="Q9">
        <f t="shared" si="3"/>
        <v>0.63334999999999997</v>
      </c>
      <c r="R9">
        <f t="shared" si="4"/>
        <v>7.3142181000000006</v>
      </c>
      <c r="S9">
        <f t="shared" si="5"/>
        <v>1.1950000000000001E-3</v>
      </c>
      <c r="T9">
        <f t="shared" si="6"/>
        <v>7.1400000000000001E-4</v>
      </c>
      <c r="U9">
        <f t="shared" si="7"/>
        <v>7.9519771000000006</v>
      </c>
      <c r="V9">
        <f t="shared" si="8"/>
        <v>-1232.9519771</v>
      </c>
      <c r="W9">
        <f>W8+V9</f>
        <v>6094.1094226999994</v>
      </c>
      <c r="Y9" s="25">
        <v>8</v>
      </c>
      <c r="Z9" s="12">
        <v>3557.5</v>
      </c>
      <c r="AA9" s="12">
        <f t="shared" si="9"/>
        <v>1</v>
      </c>
      <c r="AB9" s="12">
        <f t="shared" si="10"/>
        <v>3557.5</v>
      </c>
      <c r="AC9" s="12">
        <f t="shared" si="11"/>
        <v>0</v>
      </c>
      <c r="AD9" s="12">
        <f t="shared" si="12"/>
        <v>0</v>
      </c>
      <c r="AE9" s="12">
        <f t="shared" si="14"/>
        <v>2</v>
      </c>
      <c r="AF9" s="26">
        <f t="shared" si="15"/>
        <v>0</v>
      </c>
    </row>
    <row r="10" spans="1:32" x14ac:dyDescent="0.25">
      <c r="A10">
        <f t="shared" si="16"/>
        <v>3.1</v>
      </c>
      <c r="B10" s="1">
        <f t="shared" si="17"/>
        <v>44610</v>
      </c>
      <c r="C10" s="4">
        <f t="shared" si="18"/>
        <v>44616</v>
      </c>
      <c r="D10">
        <f>INDEX(Nifty!$A$1:$K$251,MATCH('Iron Condor (Hedge)'!B10,Nifty!$A$1:$A$251),Nifty!$L$253)</f>
        <v>17550</v>
      </c>
      <c r="E10" t="str">
        <f t="shared" si="19"/>
        <v>CE</v>
      </c>
      <c r="F10" t="str">
        <f t="shared" si="19"/>
        <v>SELL</v>
      </c>
      <c r="G10">
        <v>72.7</v>
      </c>
      <c r="I10">
        <v>0.1</v>
      </c>
      <c r="J10">
        <f t="shared" si="0"/>
        <v>3630.0000000000005</v>
      </c>
      <c r="L10">
        <f t="shared" si="13"/>
        <v>10115</v>
      </c>
      <c r="N10">
        <v>20</v>
      </c>
      <c r="O10">
        <f t="shared" si="1"/>
        <v>40</v>
      </c>
      <c r="P10">
        <f t="shared" si="2"/>
        <v>1.8175000000000001</v>
      </c>
      <c r="Q10">
        <f t="shared" si="3"/>
        <v>1.9292</v>
      </c>
      <c r="R10">
        <f t="shared" si="4"/>
        <v>7.5479111999999997</v>
      </c>
      <c r="S10">
        <f t="shared" si="5"/>
        <v>3.6399999999999996E-3</v>
      </c>
      <c r="T10">
        <f t="shared" si="6"/>
        <v>3.0000000000000001E-6</v>
      </c>
      <c r="U10">
        <f t="shared" si="7"/>
        <v>11.298254200000001</v>
      </c>
      <c r="V10">
        <f t="shared" si="8"/>
        <v>3578.7017458000005</v>
      </c>
      <c r="W10">
        <f>W9+V10</f>
        <v>9672.8111685000003</v>
      </c>
      <c r="Y10" s="25">
        <v>9</v>
      </c>
      <c r="Z10" s="12">
        <v>2792.5</v>
      </c>
      <c r="AA10" s="12">
        <f t="shared" si="9"/>
        <v>1</v>
      </c>
      <c r="AB10" s="12">
        <f t="shared" si="10"/>
        <v>2792.5</v>
      </c>
      <c r="AC10" s="12">
        <f t="shared" si="11"/>
        <v>0</v>
      </c>
      <c r="AD10" s="12">
        <f t="shared" si="12"/>
        <v>0</v>
      </c>
      <c r="AE10" s="12">
        <f t="shared" si="14"/>
        <v>3</v>
      </c>
      <c r="AF10" s="26">
        <f t="shared" si="15"/>
        <v>0</v>
      </c>
    </row>
    <row r="11" spans="1:32" x14ac:dyDescent="0.25">
      <c r="A11">
        <f t="shared" si="16"/>
        <v>3.2</v>
      </c>
      <c r="B11" s="1">
        <f t="shared" si="17"/>
        <v>44610</v>
      </c>
      <c r="C11" s="4">
        <f t="shared" si="18"/>
        <v>44616</v>
      </c>
      <c r="D11">
        <f>INDEX(Nifty!$A$2:$K$252,MATCH('Iron Condor (Hedge)'!B11,Nifty!$A$2:$A$252),Nifty!$L$254)</f>
        <v>17000</v>
      </c>
      <c r="E11" t="str">
        <f t="shared" si="19"/>
        <v>PE</v>
      </c>
      <c r="F11" t="str">
        <f t="shared" si="19"/>
        <v>SELL</v>
      </c>
      <c r="G11">
        <v>101.55</v>
      </c>
      <c r="I11">
        <v>738</v>
      </c>
      <c r="J11">
        <f t="shared" si="0"/>
        <v>-31822.500000000004</v>
      </c>
      <c r="L11">
        <f t="shared" si="13"/>
        <v>-21707.500000000004</v>
      </c>
      <c r="N11">
        <v>20</v>
      </c>
      <c r="O11">
        <f t="shared" si="1"/>
        <v>40</v>
      </c>
      <c r="P11">
        <f t="shared" si="2"/>
        <v>2.5387499999999998</v>
      </c>
      <c r="Q11">
        <f t="shared" si="3"/>
        <v>22.248075</v>
      </c>
      <c r="R11">
        <f t="shared" si="4"/>
        <v>11.21220945</v>
      </c>
      <c r="S11">
        <f t="shared" si="5"/>
        <v>4.1977499999999994E-2</v>
      </c>
      <c r="T11">
        <f t="shared" si="6"/>
        <v>2.214E-2</v>
      </c>
      <c r="U11">
        <f t="shared" si="7"/>
        <v>36.063151949999998</v>
      </c>
      <c r="V11">
        <f t="shared" si="8"/>
        <v>-31898.563151950002</v>
      </c>
      <c r="W11">
        <f>W10+V11</f>
        <v>-22225.751983450002</v>
      </c>
      <c r="Y11" s="25">
        <v>10</v>
      </c>
      <c r="Z11" s="12">
        <v>1225</v>
      </c>
      <c r="AA11" s="12">
        <f t="shared" si="9"/>
        <v>1</v>
      </c>
      <c r="AB11" s="12">
        <f t="shared" si="10"/>
        <v>1225</v>
      </c>
      <c r="AC11" s="12">
        <f t="shared" si="11"/>
        <v>0</v>
      </c>
      <c r="AD11" s="12">
        <f t="shared" si="12"/>
        <v>0</v>
      </c>
      <c r="AE11" s="12">
        <f t="shared" si="14"/>
        <v>4</v>
      </c>
      <c r="AF11" s="26">
        <f t="shared" si="15"/>
        <v>0</v>
      </c>
    </row>
    <row r="12" spans="1:32" x14ac:dyDescent="0.25">
      <c r="A12">
        <f t="shared" si="16"/>
        <v>3.3</v>
      </c>
      <c r="B12" s="1">
        <f t="shared" si="17"/>
        <v>44610</v>
      </c>
      <c r="C12" s="4">
        <f t="shared" si="18"/>
        <v>44616</v>
      </c>
      <c r="D12">
        <f>INDEX(Nifty!$A$3:$K$253,MATCH('Iron Condor (Hedge)'!B12,Nifty!$A$3:$A$253),Nifty!$L$255)</f>
        <v>17800</v>
      </c>
      <c r="E12" t="str">
        <f t="shared" si="19"/>
        <v>CE</v>
      </c>
      <c r="F12" t="str">
        <f t="shared" si="19"/>
        <v>BUY</v>
      </c>
      <c r="G12">
        <v>20.65</v>
      </c>
      <c r="I12">
        <v>0.1</v>
      </c>
      <c r="J12">
        <f t="shared" si="0"/>
        <v>-1027.4999999999998</v>
      </c>
      <c r="L12">
        <f t="shared" si="13"/>
        <v>-22735.000000000004</v>
      </c>
      <c r="N12">
        <v>20</v>
      </c>
      <c r="O12">
        <f t="shared" si="1"/>
        <v>40</v>
      </c>
      <c r="P12">
        <f t="shared" si="2"/>
        <v>2.5000000000000001E-3</v>
      </c>
      <c r="Q12">
        <f t="shared" si="3"/>
        <v>0.549875</v>
      </c>
      <c r="R12">
        <f t="shared" si="4"/>
        <v>7.2991642500000005</v>
      </c>
      <c r="S12">
        <f t="shared" si="5"/>
        <v>1.0375E-3</v>
      </c>
      <c r="T12">
        <f t="shared" si="6"/>
        <v>6.1949999999999993E-4</v>
      </c>
      <c r="U12">
        <f t="shared" si="7"/>
        <v>7.8531962499999999</v>
      </c>
      <c r="V12">
        <f t="shared" si="8"/>
        <v>-1075.3531962499999</v>
      </c>
      <c r="W12">
        <f>W11+V12</f>
        <v>-23301.1051797</v>
      </c>
      <c r="Y12" s="25">
        <v>11</v>
      </c>
      <c r="Z12" s="12">
        <v>2440</v>
      </c>
      <c r="AA12" s="12">
        <f t="shared" si="9"/>
        <v>1</v>
      </c>
      <c r="AB12" s="12">
        <f t="shared" si="10"/>
        <v>2440</v>
      </c>
      <c r="AC12" s="12">
        <f t="shared" si="11"/>
        <v>0</v>
      </c>
      <c r="AD12" s="12">
        <f t="shared" si="12"/>
        <v>0</v>
      </c>
      <c r="AE12" s="12">
        <f t="shared" si="14"/>
        <v>5</v>
      </c>
      <c r="AF12" s="26">
        <f t="shared" si="15"/>
        <v>0</v>
      </c>
    </row>
    <row r="13" spans="1:32" x14ac:dyDescent="0.25">
      <c r="A13" s="6">
        <f t="shared" si="16"/>
        <v>3.4</v>
      </c>
      <c r="B13" s="7">
        <f t="shared" si="17"/>
        <v>44610</v>
      </c>
      <c r="C13" s="8">
        <f t="shared" si="18"/>
        <v>44616</v>
      </c>
      <c r="D13" s="6">
        <f>INDEX(Nifty!$A$4:$K$254,MATCH('Iron Condor (Hedge)'!B13,Nifty!$A$4:$A$254),Nifty!$L$256)</f>
        <v>16750</v>
      </c>
      <c r="E13" s="6" t="str">
        <f t="shared" si="19"/>
        <v>PE</v>
      </c>
      <c r="F13" s="6" t="str">
        <f t="shared" si="19"/>
        <v>BUY</v>
      </c>
      <c r="G13" s="6">
        <v>58.55</v>
      </c>
      <c r="H13" s="6">
        <f>G10+G11-G12-G13</f>
        <v>95.05</v>
      </c>
      <c r="I13" s="6">
        <v>488</v>
      </c>
      <c r="J13" s="6">
        <f t="shared" si="0"/>
        <v>21472.5</v>
      </c>
      <c r="K13" s="6">
        <f>SUM(J10:J13)</f>
        <v>-7747.5000000000036</v>
      </c>
      <c r="L13" s="6">
        <f t="shared" si="13"/>
        <v>-1262.5000000000036</v>
      </c>
      <c r="M13">
        <f>IF(K13+M9&lt;0,K13+M9,0)</f>
        <v>-7747.5000000000036</v>
      </c>
      <c r="N13">
        <v>20</v>
      </c>
      <c r="O13">
        <f t="shared" si="1"/>
        <v>40</v>
      </c>
      <c r="P13">
        <f t="shared" si="2"/>
        <v>12.200000000000001</v>
      </c>
      <c r="Q13">
        <f t="shared" si="3"/>
        <v>14.483574999999998</v>
      </c>
      <c r="R13">
        <f t="shared" si="4"/>
        <v>9.8119624499999993</v>
      </c>
      <c r="S13">
        <f t="shared" si="5"/>
        <v>2.7327499999999998E-2</v>
      </c>
      <c r="T13">
        <f t="shared" si="6"/>
        <v>1.7565E-3</v>
      </c>
      <c r="U13">
        <f t="shared" si="7"/>
        <v>36.524621449999998</v>
      </c>
      <c r="V13">
        <f t="shared" si="8"/>
        <v>21395.97537855</v>
      </c>
      <c r="W13">
        <f>W12+V13</f>
        <v>-1905.1298011500003</v>
      </c>
      <c r="Y13" s="25">
        <v>12</v>
      </c>
      <c r="Z13" s="12">
        <v>3214</v>
      </c>
      <c r="AA13" s="12">
        <f t="shared" si="9"/>
        <v>1</v>
      </c>
      <c r="AB13" s="12">
        <f t="shared" si="10"/>
        <v>3214</v>
      </c>
      <c r="AC13" s="12">
        <f t="shared" si="11"/>
        <v>0</v>
      </c>
      <c r="AD13" s="12">
        <f t="shared" si="12"/>
        <v>0</v>
      </c>
      <c r="AE13" s="12">
        <f t="shared" si="14"/>
        <v>6</v>
      </c>
      <c r="AF13" s="26">
        <f t="shared" si="15"/>
        <v>0</v>
      </c>
    </row>
    <row r="14" spans="1:32" x14ac:dyDescent="0.25">
      <c r="A14">
        <f t="shared" si="16"/>
        <v>4.0999999999999996</v>
      </c>
      <c r="B14" s="1">
        <f t="shared" si="17"/>
        <v>44617</v>
      </c>
      <c r="C14" s="4">
        <f t="shared" si="18"/>
        <v>44623</v>
      </c>
      <c r="D14">
        <f>INDEX(Nifty!$A$1:$K$251,MATCH('Iron Condor (Hedge)'!B14,Nifty!$A$1:$A$251),Nifty!$L$253)</f>
        <v>16950</v>
      </c>
      <c r="E14" t="str">
        <f t="shared" si="19"/>
        <v>CE</v>
      </c>
      <c r="F14" t="str">
        <f t="shared" si="19"/>
        <v>SELL</v>
      </c>
      <c r="G14">
        <v>97.85</v>
      </c>
      <c r="I14">
        <v>0.15</v>
      </c>
      <c r="J14">
        <f t="shared" si="0"/>
        <v>4884.9999999999991</v>
      </c>
      <c r="L14">
        <f t="shared" si="13"/>
        <v>3622.4999999999955</v>
      </c>
      <c r="N14">
        <v>20</v>
      </c>
      <c r="O14">
        <f t="shared" si="1"/>
        <v>40</v>
      </c>
      <c r="P14">
        <f t="shared" si="2"/>
        <v>2.44625</v>
      </c>
      <c r="Q14">
        <f t="shared" si="3"/>
        <v>2.597</v>
      </c>
      <c r="R14">
        <f t="shared" si="4"/>
        <v>7.668342</v>
      </c>
      <c r="S14">
        <f t="shared" si="5"/>
        <v>4.8999999999999998E-3</v>
      </c>
      <c r="T14">
        <f t="shared" si="6"/>
        <v>4.5000000000000001E-6</v>
      </c>
      <c r="U14">
        <f t="shared" si="7"/>
        <v>12.716496499999998</v>
      </c>
      <c r="V14">
        <f t="shared" si="8"/>
        <v>4832.2835034999989</v>
      </c>
      <c r="W14">
        <f>W13+V14</f>
        <v>2927.1537023499986</v>
      </c>
      <c r="Y14" s="25">
        <v>13</v>
      </c>
      <c r="Z14" s="12">
        <v>-4767.5</v>
      </c>
      <c r="AA14" s="12">
        <f t="shared" si="9"/>
        <v>0</v>
      </c>
      <c r="AB14" s="12">
        <f t="shared" si="10"/>
        <v>0</v>
      </c>
      <c r="AC14" s="12">
        <f t="shared" si="11"/>
        <v>1</v>
      </c>
      <c r="AD14" s="12">
        <f t="shared" si="12"/>
        <v>-4767.5</v>
      </c>
      <c r="AE14" s="12">
        <f t="shared" si="14"/>
        <v>0</v>
      </c>
      <c r="AF14" s="26">
        <f t="shared" si="15"/>
        <v>1</v>
      </c>
    </row>
    <row r="15" spans="1:32" x14ac:dyDescent="0.25">
      <c r="A15">
        <f t="shared" si="16"/>
        <v>4.2</v>
      </c>
      <c r="B15" s="1">
        <f t="shared" si="17"/>
        <v>44617</v>
      </c>
      <c r="C15" s="4">
        <f t="shared" si="18"/>
        <v>44623</v>
      </c>
      <c r="D15">
        <f>INDEX(Nifty!$A$2:$K$252,MATCH('Iron Condor (Hedge)'!B15,Nifty!$A$2:$A$252),Nifty!$L$254)</f>
        <v>16400</v>
      </c>
      <c r="E15" t="str">
        <f t="shared" si="19"/>
        <v>PE</v>
      </c>
      <c r="F15" t="str">
        <f t="shared" si="19"/>
        <v>SELL</v>
      </c>
      <c r="G15">
        <v>158.05000000000001</v>
      </c>
      <c r="I15">
        <v>0.15</v>
      </c>
      <c r="J15">
        <f t="shared" si="0"/>
        <v>7895</v>
      </c>
      <c r="L15">
        <f t="shared" si="13"/>
        <v>11517.499999999996</v>
      </c>
      <c r="N15">
        <v>20</v>
      </c>
      <c r="O15">
        <f t="shared" si="1"/>
        <v>40</v>
      </c>
      <c r="P15">
        <f t="shared" si="2"/>
        <v>3.9512500000000004</v>
      </c>
      <c r="Q15">
        <f t="shared" si="3"/>
        <v>4.1923000000000004</v>
      </c>
      <c r="R15">
        <f t="shared" si="4"/>
        <v>7.9560378000000007</v>
      </c>
      <c r="S15">
        <f t="shared" si="5"/>
        <v>7.9100000000000004E-3</v>
      </c>
      <c r="T15">
        <f t="shared" si="6"/>
        <v>4.5000000000000001E-6</v>
      </c>
      <c r="U15">
        <f t="shared" si="7"/>
        <v>16.1075023</v>
      </c>
      <c r="V15">
        <f t="shared" si="8"/>
        <v>7838.8924976999997</v>
      </c>
      <c r="W15">
        <f>W14+V15</f>
        <v>10766.046200049997</v>
      </c>
      <c r="Y15" s="25">
        <v>14</v>
      </c>
      <c r="Z15" s="12">
        <v>-8071</v>
      </c>
      <c r="AA15" s="12">
        <f t="shared" si="9"/>
        <v>0</v>
      </c>
      <c r="AB15" s="12">
        <f t="shared" si="10"/>
        <v>0</v>
      </c>
      <c r="AC15" s="12">
        <f t="shared" si="11"/>
        <v>1</v>
      </c>
      <c r="AD15" s="12">
        <f t="shared" si="12"/>
        <v>-8071</v>
      </c>
      <c r="AE15" s="12">
        <f t="shared" si="14"/>
        <v>0</v>
      </c>
      <c r="AF15" s="26">
        <f t="shared" si="15"/>
        <v>2</v>
      </c>
    </row>
    <row r="16" spans="1:32" x14ac:dyDescent="0.25">
      <c r="A16">
        <f t="shared" si="16"/>
        <v>4.3</v>
      </c>
      <c r="B16" s="1">
        <f t="shared" si="17"/>
        <v>44617</v>
      </c>
      <c r="C16" s="4">
        <f t="shared" si="18"/>
        <v>44623</v>
      </c>
      <c r="D16">
        <f>INDEX(Nifty!$A$3:$K$253,MATCH('Iron Condor (Hedge)'!B16,Nifty!$A$3:$A$253),Nifty!$L$255)</f>
        <v>17200</v>
      </c>
      <c r="E16" t="str">
        <f t="shared" si="19"/>
        <v>CE</v>
      </c>
      <c r="F16" t="str">
        <f t="shared" si="19"/>
        <v>BUY</v>
      </c>
      <c r="G16">
        <v>36.1</v>
      </c>
      <c r="I16">
        <v>0.05</v>
      </c>
      <c r="J16">
        <f t="shared" si="0"/>
        <v>-1802.5000000000002</v>
      </c>
      <c r="L16">
        <f t="shared" si="13"/>
        <v>9714.9999999999964</v>
      </c>
      <c r="N16">
        <v>20</v>
      </c>
      <c r="O16">
        <f t="shared" si="1"/>
        <v>40</v>
      </c>
      <c r="P16">
        <f t="shared" si="2"/>
        <v>1.25E-3</v>
      </c>
      <c r="Q16">
        <f t="shared" si="3"/>
        <v>0.95797499999999991</v>
      </c>
      <c r="R16">
        <f t="shared" si="4"/>
        <v>7.3727608499999988</v>
      </c>
      <c r="S16">
        <f t="shared" si="5"/>
        <v>1.8074999999999999E-3</v>
      </c>
      <c r="T16">
        <f t="shared" si="6"/>
        <v>1.083E-3</v>
      </c>
      <c r="U16">
        <f t="shared" si="7"/>
        <v>8.3348763499999983</v>
      </c>
      <c r="V16">
        <f t="shared" si="8"/>
        <v>-1850.8348763500003</v>
      </c>
      <c r="W16">
        <f>W15+V16</f>
        <v>8915.2113236999976</v>
      </c>
      <c r="Y16" s="25">
        <v>15</v>
      </c>
      <c r="Z16" s="12">
        <v>4510</v>
      </c>
      <c r="AA16" s="12">
        <f t="shared" si="9"/>
        <v>1</v>
      </c>
      <c r="AB16" s="12">
        <f t="shared" si="10"/>
        <v>4510</v>
      </c>
      <c r="AC16" s="12">
        <f t="shared" si="11"/>
        <v>0</v>
      </c>
      <c r="AD16" s="12">
        <f t="shared" si="12"/>
        <v>0</v>
      </c>
      <c r="AE16" s="12">
        <f t="shared" si="14"/>
        <v>1</v>
      </c>
      <c r="AF16" s="26">
        <f t="shared" si="15"/>
        <v>0</v>
      </c>
    </row>
    <row r="17" spans="1:32" x14ac:dyDescent="0.25">
      <c r="A17" s="6">
        <f t="shared" si="16"/>
        <v>4.4000000000000004</v>
      </c>
      <c r="B17" s="7">
        <f t="shared" si="17"/>
        <v>44617</v>
      </c>
      <c r="C17" s="8">
        <f t="shared" si="18"/>
        <v>44623</v>
      </c>
      <c r="D17" s="6">
        <f>INDEX(Nifty!$A$4:$K$254,MATCH('Iron Condor (Hedge)'!B17,Nifty!$A$4:$A$254),Nifty!$L$256)</f>
        <v>16150</v>
      </c>
      <c r="E17" s="6" t="str">
        <f t="shared" si="19"/>
        <v>PE</v>
      </c>
      <c r="F17" s="6" t="str">
        <f t="shared" si="19"/>
        <v>BUY</v>
      </c>
      <c r="G17" s="6">
        <v>101.85</v>
      </c>
      <c r="H17" s="6">
        <f>G14+G15-G16-G17</f>
        <v>117.95000000000002</v>
      </c>
      <c r="I17" s="6">
        <v>0.1</v>
      </c>
      <c r="J17" s="6">
        <f t="shared" si="0"/>
        <v>-5087.5</v>
      </c>
      <c r="K17" s="6">
        <f>SUM(J14:J17)</f>
        <v>5890</v>
      </c>
      <c r="L17" s="6">
        <f t="shared" si="13"/>
        <v>4627.4999999999964</v>
      </c>
      <c r="M17">
        <f>IF(K17+M13&lt;0,K17+M13,0)</f>
        <v>-1857.5000000000036</v>
      </c>
      <c r="N17">
        <v>20</v>
      </c>
      <c r="O17">
        <f t="shared" si="1"/>
        <v>40</v>
      </c>
      <c r="P17">
        <f t="shared" si="2"/>
        <v>2.5000000000000001E-3</v>
      </c>
      <c r="Q17">
        <f t="shared" si="3"/>
        <v>2.7016749999999994</v>
      </c>
      <c r="R17">
        <f t="shared" si="4"/>
        <v>7.6872190499999995</v>
      </c>
      <c r="S17">
        <f t="shared" si="5"/>
        <v>5.0974999999999996E-3</v>
      </c>
      <c r="T17">
        <f t="shared" si="6"/>
        <v>3.0555000000000001E-3</v>
      </c>
      <c r="U17">
        <f t="shared" si="7"/>
        <v>10.399547049999999</v>
      </c>
      <c r="V17">
        <f t="shared" si="8"/>
        <v>-5137.8995470500004</v>
      </c>
      <c r="W17">
        <f>W16+V17</f>
        <v>3777.3117766499972</v>
      </c>
      <c r="Y17" s="25">
        <v>16</v>
      </c>
      <c r="Z17" s="12">
        <v>4330.0000000000018</v>
      </c>
      <c r="AA17" s="12">
        <f t="shared" si="9"/>
        <v>1</v>
      </c>
      <c r="AB17" s="12">
        <f t="shared" si="10"/>
        <v>4330.0000000000018</v>
      </c>
      <c r="AC17" s="12">
        <f t="shared" si="11"/>
        <v>0</v>
      </c>
      <c r="AD17" s="12">
        <f t="shared" si="12"/>
        <v>0</v>
      </c>
      <c r="AE17" s="12">
        <f t="shared" si="14"/>
        <v>2</v>
      </c>
      <c r="AF17" s="26">
        <f t="shared" si="15"/>
        <v>0</v>
      </c>
    </row>
    <row r="18" spans="1:32" x14ac:dyDescent="0.25">
      <c r="A18">
        <f t="shared" si="16"/>
        <v>5.0999999999999996</v>
      </c>
      <c r="B18" s="1">
        <f t="shared" si="17"/>
        <v>44624</v>
      </c>
      <c r="C18" s="4">
        <f t="shared" si="18"/>
        <v>44630</v>
      </c>
      <c r="D18">
        <f>INDEX(Nifty!$A$1:$K$251,MATCH('Iron Condor (Hedge)'!B18,Nifty!$A$1:$A$251),Nifty!$L$253)</f>
        <v>16500</v>
      </c>
      <c r="E18" t="str">
        <f t="shared" si="19"/>
        <v>CE</v>
      </c>
      <c r="F18" t="str">
        <f t="shared" si="19"/>
        <v>SELL</v>
      </c>
      <c r="G18" s="10">
        <v>127.7</v>
      </c>
      <c r="I18" s="10">
        <v>110.6</v>
      </c>
      <c r="J18" s="10">
        <f t="shared" si="0"/>
        <v>855.00000000000045</v>
      </c>
      <c r="L18" s="12">
        <f t="shared" si="13"/>
        <v>5482.4999999999964</v>
      </c>
      <c r="N18">
        <v>20</v>
      </c>
      <c r="O18">
        <f t="shared" si="1"/>
        <v>40</v>
      </c>
      <c r="P18">
        <f t="shared" si="2"/>
        <v>3.1924999999999999</v>
      </c>
      <c r="Q18">
        <f t="shared" si="3"/>
        <v>6.3149499999999996</v>
      </c>
      <c r="R18">
        <f t="shared" si="4"/>
        <v>8.3388356999999989</v>
      </c>
      <c r="S18">
        <f t="shared" si="5"/>
        <v>1.1915E-2</v>
      </c>
      <c r="T18">
        <f t="shared" si="6"/>
        <v>3.3179999999999998E-3</v>
      </c>
      <c r="U18">
        <f t="shared" si="7"/>
        <v>17.861518699999994</v>
      </c>
      <c r="V18">
        <f t="shared" si="8"/>
        <v>797.13848130000042</v>
      </c>
      <c r="W18">
        <f>W17+V18</f>
        <v>4574.4502579499976</v>
      </c>
      <c r="Y18" s="25">
        <v>17</v>
      </c>
      <c r="Z18" s="12">
        <v>4015</v>
      </c>
      <c r="AA18" s="12">
        <f t="shared" si="9"/>
        <v>1</v>
      </c>
      <c r="AB18" s="12">
        <f t="shared" si="10"/>
        <v>4015</v>
      </c>
      <c r="AC18" s="12">
        <f t="shared" si="11"/>
        <v>0</v>
      </c>
      <c r="AD18" s="12">
        <f t="shared" si="12"/>
        <v>0</v>
      </c>
      <c r="AE18" s="12">
        <f t="shared" si="14"/>
        <v>3</v>
      </c>
      <c r="AF18" s="26">
        <f t="shared" si="15"/>
        <v>0</v>
      </c>
    </row>
    <row r="19" spans="1:32" x14ac:dyDescent="0.25">
      <c r="A19">
        <f t="shared" si="16"/>
        <v>5.2</v>
      </c>
      <c r="B19" s="1">
        <f t="shared" si="17"/>
        <v>44624</v>
      </c>
      <c r="C19" s="4">
        <f t="shared" si="18"/>
        <v>44630</v>
      </c>
      <c r="D19">
        <f>INDEX(Nifty!$A$2:$K$252,MATCH('Iron Condor (Hedge)'!B19,Nifty!$A$2:$A$252),Nifty!$L$254)</f>
        <v>15950</v>
      </c>
      <c r="E19" t="str">
        <f t="shared" si="19"/>
        <v>PE</v>
      </c>
      <c r="F19" t="str">
        <f t="shared" si="19"/>
        <v>SELL</v>
      </c>
      <c r="G19" s="10">
        <v>142.19999999999999</v>
      </c>
      <c r="I19" s="10">
        <v>0.15</v>
      </c>
      <c r="J19" s="10">
        <f t="shared" si="0"/>
        <v>7102.4999999999991</v>
      </c>
      <c r="L19" s="12">
        <f t="shared" si="13"/>
        <v>12584.999999999996</v>
      </c>
      <c r="N19">
        <v>20</v>
      </c>
      <c r="O19">
        <f t="shared" si="1"/>
        <v>40</v>
      </c>
      <c r="P19">
        <f t="shared" si="2"/>
        <v>3.5549999999999997</v>
      </c>
      <c r="Q19">
        <f t="shared" si="3"/>
        <v>3.772275</v>
      </c>
      <c r="R19">
        <f t="shared" si="4"/>
        <v>7.8802906500000001</v>
      </c>
      <c r="S19">
        <f t="shared" si="5"/>
        <v>7.1174999999999997E-3</v>
      </c>
      <c r="T19">
        <f t="shared" si="6"/>
        <v>4.5000000000000001E-6</v>
      </c>
      <c r="U19">
        <f t="shared" si="7"/>
        <v>15.214687649999998</v>
      </c>
      <c r="V19">
        <f t="shared" si="8"/>
        <v>7047.285312349999</v>
      </c>
      <c r="W19">
        <f>W18+V19</f>
        <v>11621.735570299996</v>
      </c>
      <c r="Y19" s="25">
        <v>18</v>
      </c>
      <c r="Z19" s="12">
        <v>3845</v>
      </c>
      <c r="AA19" s="12">
        <f t="shared" si="9"/>
        <v>1</v>
      </c>
      <c r="AB19" s="12">
        <f t="shared" si="10"/>
        <v>3845</v>
      </c>
      <c r="AC19" s="12">
        <f t="shared" si="11"/>
        <v>0</v>
      </c>
      <c r="AD19" s="12">
        <f t="shared" si="12"/>
        <v>0</v>
      </c>
      <c r="AE19" s="12">
        <f t="shared" si="14"/>
        <v>4</v>
      </c>
      <c r="AF19" s="26">
        <f t="shared" si="15"/>
        <v>0</v>
      </c>
    </row>
    <row r="20" spans="1:32" x14ac:dyDescent="0.25">
      <c r="A20">
        <f t="shared" si="16"/>
        <v>5.3</v>
      </c>
      <c r="B20" s="1">
        <f t="shared" si="17"/>
        <v>44624</v>
      </c>
      <c r="C20" s="4">
        <f t="shared" si="18"/>
        <v>44630</v>
      </c>
      <c r="D20">
        <f>INDEX(Nifty!$A$3:$K$253,MATCH('Iron Condor (Hedge)'!B20,Nifty!$A$3:$A$253),Nifty!$L$255)</f>
        <v>16750</v>
      </c>
      <c r="E20" t="str">
        <f t="shared" si="19"/>
        <v>CE</v>
      </c>
      <c r="F20" t="str">
        <f t="shared" si="19"/>
        <v>BUY</v>
      </c>
      <c r="G20" s="10">
        <v>57.85</v>
      </c>
      <c r="I20" s="10">
        <v>0.25</v>
      </c>
      <c r="J20" s="10">
        <f t="shared" si="0"/>
        <v>-2880</v>
      </c>
      <c r="L20" s="12">
        <f t="shared" si="13"/>
        <v>9704.9999999999964</v>
      </c>
      <c r="N20">
        <v>20</v>
      </c>
      <c r="O20">
        <f t="shared" si="1"/>
        <v>40</v>
      </c>
      <c r="P20">
        <f t="shared" si="2"/>
        <v>6.2500000000000003E-3</v>
      </c>
      <c r="Q20">
        <f t="shared" si="3"/>
        <v>1.53965</v>
      </c>
      <c r="R20">
        <f t="shared" si="4"/>
        <v>7.4776598999999999</v>
      </c>
      <c r="S20">
        <f t="shared" si="5"/>
        <v>2.9049999999999996E-3</v>
      </c>
      <c r="T20">
        <f t="shared" si="6"/>
        <v>1.7355000000000001E-3</v>
      </c>
      <c r="U20">
        <f t="shared" si="7"/>
        <v>9.0282004000000011</v>
      </c>
      <c r="V20">
        <f t="shared" si="8"/>
        <v>-2929.0282004000001</v>
      </c>
      <c r="W20">
        <f>W19+V20</f>
        <v>8692.7073698999957</v>
      </c>
      <c r="Y20" s="25">
        <v>19</v>
      </c>
      <c r="Z20" s="12">
        <v>-8680.0000000000055</v>
      </c>
      <c r="AA20" s="12">
        <f t="shared" si="9"/>
        <v>0</v>
      </c>
      <c r="AB20" s="12">
        <f t="shared" si="10"/>
        <v>0</v>
      </c>
      <c r="AC20" s="12">
        <f t="shared" si="11"/>
        <v>1</v>
      </c>
      <c r="AD20" s="12">
        <f t="shared" si="12"/>
        <v>-8680.0000000000055</v>
      </c>
      <c r="AE20" s="12">
        <f t="shared" si="14"/>
        <v>0</v>
      </c>
      <c r="AF20" s="26">
        <f t="shared" si="15"/>
        <v>1</v>
      </c>
    </row>
    <row r="21" spans="1:32" x14ac:dyDescent="0.25">
      <c r="A21" s="6">
        <f t="shared" si="16"/>
        <v>5.4</v>
      </c>
      <c r="B21" s="7">
        <f t="shared" si="17"/>
        <v>44624</v>
      </c>
      <c r="C21" s="8">
        <f t="shared" si="18"/>
        <v>44630</v>
      </c>
      <c r="D21" s="6">
        <f>INDEX(Nifty!$A$4:$K$254,MATCH('Iron Condor (Hedge)'!B21,Nifty!$A$4:$A$254),Nifty!$L$256)</f>
        <v>15700</v>
      </c>
      <c r="E21" s="6" t="str">
        <f t="shared" si="19"/>
        <v>PE</v>
      </c>
      <c r="F21" s="6" t="str">
        <f t="shared" si="19"/>
        <v>BUY</v>
      </c>
      <c r="G21" s="11">
        <v>85.15</v>
      </c>
      <c r="H21" s="6">
        <f>G18+G19-G20-G21</f>
        <v>126.89999999999998</v>
      </c>
      <c r="I21" s="11">
        <v>0.1</v>
      </c>
      <c r="J21" s="11">
        <f t="shared" si="0"/>
        <v>-4252.5000000000009</v>
      </c>
      <c r="K21" s="6">
        <f>SUM(J18:J21)</f>
        <v>824.99999999999909</v>
      </c>
      <c r="L21" s="6">
        <f t="shared" si="13"/>
        <v>5452.4999999999955</v>
      </c>
      <c r="M21">
        <f>IF(K21+M17&lt;0,K21+M17,0)</f>
        <v>-1032.5000000000045</v>
      </c>
      <c r="N21">
        <v>20</v>
      </c>
      <c r="O21">
        <f t="shared" si="1"/>
        <v>40</v>
      </c>
      <c r="P21">
        <f t="shared" si="2"/>
        <v>2.5000000000000001E-3</v>
      </c>
      <c r="Q21">
        <f t="shared" si="3"/>
        <v>2.259125</v>
      </c>
      <c r="R21">
        <f t="shared" si="4"/>
        <v>7.6074097499999995</v>
      </c>
      <c r="S21">
        <f t="shared" si="5"/>
        <v>4.2624999999999998E-3</v>
      </c>
      <c r="T21">
        <f t="shared" si="6"/>
        <v>2.5545000000000003E-3</v>
      </c>
      <c r="U21">
        <f t="shared" si="7"/>
        <v>9.8758517499999989</v>
      </c>
      <c r="V21">
        <f t="shared" si="8"/>
        <v>-4302.3758517500009</v>
      </c>
      <c r="W21">
        <f>W20+V21</f>
        <v>4390.3315181499947</v>
      </c>
      <c r="Y21" s="25">
        <v>20</v>
      </c>
      <c r="Z21" s="12">
        <v>4384.5</v>
      </c>
      <c r="AA21" s="12">
        <f t="shared" si="9"/>
        <v>1</v>
      </c>
      <c r="AB21" s="12">
        <f t="shared" si="10"/>
        <v>4384.5</v>
      </c>
      <c r="AC21" s="12">
        <f t="shared" si="11"/>
        <v>0</v>
      </c>
      <c r="AD21" s="12">
        <f t="shared" si="12"/>
        <v>0</v>
      </c>
      <c r="AE21" s="12">
        <f t="shared" si="14"/>
        <v>1</v>
      </c>
      <c r="AF21" s="26">
        <f t="shared" si="15"/>
        <v>0</v>
      </c>
    </row>
    <row r="22" spans="1:32" x14ac:dyDescent="0.25">
      <c r="A22">
        <f t="shared" si="16"/>
        <v>6.1</v>
      </c>
      <c r="B22" s="1">
        <f t="shared" si="17"/>
        <v>44631</v>
      </c>
      <c r="C22" s="4">
        <f t="shared" si="18"/>
        <v>44637</v>
      </c>
      <c r="D22">
        <f>INDEX(Nifty!$A$1:$K$251,MATCH('Iron Condor (Hedge)'!B22,Nifty!$A$1:$A$251),Nifty!$L$253)</f>
        <v>16900</v>
      </c>
      <c r="E22" t="str">
        <f t="shared" si="19"/>
        <v>CE</v>
      </c>
      <c r="F22" t="str">
        <f t="shared" si="19"/>
        <v>SELL</v>
      </c>
      <c r="G22" s="10">
        <v>103.75</v>
      </c>
      <c r="I22" s="10">
        <v>376.05</v>
      </c>
      <c r="J22" s="10">
        <f t="shared" si="0"/>
        <v>-13615</v>
      </c>
      <c r="L22" s="12">
        <f t="shared" si="13"/>
        <v>-8162.5000000000045</v>
      </c>
      <c r="N22">
        <v>20</v>
      </c>
      <c r="O22">
        <f t="shared" si="1"/>
        <v>40</v>
      </c>
      <c r="P22">
        <f t="shared" si="2"/>
        <v>2.59375</v>
      </c>
      <c r="Q22">
        <f t="shared" si="3"/>
        <v>12.714699999999999</v>
      </c>
      <c r="R22">
        <f t="shared" si="4"/>
        <v>9.4929641999999994</v>
      </c>
      <c r="S22">
        <f t="shared" si="5"/>
        <v>2.3990000000000001E-2</v>
      </c>
      <c r="T22">
        <f t="shared" si="6"/>
        <v>1.12815E-2</v>
      </c>
      <c r="U22">
        <f t="shared" si="7"/>
        <v>24.836685699999997</v>
      </c>
      <c r="V22">
        <f t="shared" si="8"/>
        <v>-13679.8366857</v>
      </c>
      <c r="W22">
        <f>W21+V22</f>
        <v>-9289.5051675500054</v>
      </c>
      <c r="Y22" s="25">
        <v>21</v>
      </c>
      <c r="Z22" s="12">
        <v>6020</v>
      </c>
      <c r="AA22" s="12">
        <f t="shared" si="9"/>
        <v>1</v>
      </c>
      <c r="AB22" s="12">
        <f t="shared" si="10"/>
        <v>6020</v>
      </c>
      <c r="AC22" s="12">
        <f t="shared" si="11"/>
        <v>0</v>
      </c>
      <c r="AD22" s="12">
        <f t="shared" si="12"/>
        <v>0</v>
      </c>
      <c r="AE22" s="12">
        <f t="shared" si="14"/>
        <v>2</v>
      </c>
      <c r="AF22" s="26">
        <f t="shared" si="15"/>
        <v>0</v>
      </c>
    </row>
    <row r="23" spans="1:32" x14ac:dyDescent="0.25">
      <c r="A23">
        <f t="shared" si="16"/>
        <v>6.2</v>
      </c>
      <c r="B23" s="1">
        <f t="shared" si="17"/>
        <v>44631</v>
      </c>
      <c r="C23" s="4">
        <f t="shared" si="18"/>
        <v>44637</v>
      </c>
      <c r="D23">
        <f>INDEX(Nifty!$A$2:$K$252,MATCH('Iron Condor (Hedge)'!B23,Nifty!$A$2:$A$252),Nifty!$L$254)</f>
        <v>16350</v>
      </c>
      <c r="E23" t="str">
        <f t="shared" si="19"/>
        <v>PE</v>
      </c>
      <c r="F23" t="str">
        <f t="shared" si="19"/>
        <v>SELL</v>
      </c>
      <c r="G23" s="10">
        <v>130.85</v>
      </c>
      <c r="I23" s="10">
        <v>0.05</v>
      </c>
      <c r="J23" s="10">
        <f t="shared" si="0"/>
        <v>6539.9999999999991</v>
      </c>
      <c r="L23" s="12">
        <f t="shared" si="13"/>
        <v>-1622.5000000000055</v>
      </c>
      <c r="N23">
        <v>20</v>
      </c>
      <c r="O23">
        <f t="shared" si="1"/>
        <v>40</v>
      </c>
      <c r="P23">
        <f t="shared" si="2"/>
        <v>3.2712500000000002</v>
      </c>
      <c r="Q23">
        <f t="shared" si="3"/>
        <v>3.4688499999999998</v>
      </c>
      <c r="R23">
        <f t="shared" si="4"/>
        <v>7.8255711000000012</v>
      </c>
      <c r="S23">
        <f t="shared" si="5"/>
        <v>6.5450000000000005E-3</v>
      </c>
      <c r="T23">
        <f t="shared" si="6"/>
        <v>1.5E-6</v>
      </c>
      <c r="U23">
        <f t="shared" si="7"/>
        <v>14.5722176</v>
      </c>
      <c r="V23">
        <f t="shared" si="8"/>
        <v>6485.4277823999992</v>
      </c>
      <c r="W23">
        <f>W22+V23</f>
        <v>-2804.0773851500062</v>
      </c>
      <c r="Y23" s="25">
        <v>22</v>
      </c>
      <c r="Z23" s="12">
        <v>3717.5</v>
      </c>
      <c r="AA23" s="12">
        <f t="shared" si="9"/>
        <v>1</v>
      </c>
      <c r="AB23" s="12">
        <f t="shared" si="10"/>
        <v>3717.5</v>
      </c>
      <c r="AC23" s="12">
        <f t="shared" si="11"/>
        <v>0</v>
      </c>
      <c r="AD23" s="12">
        <f t="shared" si="12"/>
        <v>0</v>
      </c>
      <c r="AE23" s="12">
        <f t="shared" si="14"/>
        <v>3</v>
      </c>
      <c r="AF23" s="26">
        <f t="shared" si="15"/>
        <v>0</v>
      </c>
    </row>
    <row r="24" spans="1:32" x14ac:dyDescent="0.25">
      <c r="A24">
        <f t="shared" si="16"/>
        <v>6.3</v>
      </c>
      <c r="B24" s="1">
        <f t="shared" si="17"/>
        <v>44631</v>
      </c>
      <c r="C24" s="4">
        <f t="shared" si="18"/>
        <v>44637</v>
      </c>
      <c r="D24">
        <f>INDEX(Nifty!$A$3:$K$253,MATCH('Iron Condor (Hedge)'!B24,Nifty!$A$3:$A$253),Nifty!$L$255)</f>
        <v>17150</v>
      </c>
      <c r="E24" t="str">
        <f t="shared" si="19"/>
        <v>CE</v>
      </c>
      <c r="F24" t="str">
        <f t="shared" si="19"/>
        <v>BUY</v>
      </c>
      <c r="G24" s="10">
        <v>40.950000000000003</v>
      </c>
      <c r="I24" s="10">
        <v>127.25</v>
      </c>
      <c r="J24" s="10">
        <f t="shared" si="0"/>
        <v>4315</v>
      </c>
      <c r="L24" s="12">
        <f t="shared" si="13"/>
        <v>2692.4999999999945</v>
      </c>
      <c r="N24">
        <v>20</v>
      </c>
      <c r="O24">
        <f t="shared" si="1"/>
        <v>40</v>
      </c>
      <c r="P24">
        <f t="shared" si="2"/>
        <v>3.1812499999999999</v>
      </c>
      <c r="Q24">
        <f t="shared" si="3"/>
        <v>4.4573</v>
      </c>
      <c r="R24">
        <f t="shared" si="4"/>
        <v>8.0038277999999998</v>
      </c>
      <c r="S24">
        <f t="shared" si="5"/>
        <v>8.4099999999999991E-3</v>
      </c>
      <c r="T24">
        <f t="shared" si="6"/>
        <v>1.2285000000000002E-3</v>
      </c>
      <c r="U24">
        <f t="shared" si="7"/>
        <v>15.6520163</v>
      </c>
      <c r="V24">
        <f t="shared" si="8"/>
        <v>4259.3479837000004</v>
      </c>
      <c r="W24">
        <f>W23+V24</f>
        <v>1455.2705985499942</v>
      </c>
      <c r="Y24" s="25">
        <v>23</v>
      </c>
      <c r="Z24" s="12">
        <v>2115</v>
      </c>
      <c r="AA24" s="12">
        <f t="shared" si="9"/>
        <v>1</v>
      </c>
      <c r="AB24" s="12">
        <f t="shared" si="10"/>
        <v>2115</v>
      </c>
      <c r="AC24" s="12">
        <f t="shared" si="11"/>
        <v>0</v>
      </c>
      <c r="AD24" s="12">
        <f t="shared" si="12"/>
        <v>0</v>
      </c>
      <c r="AE24" s="12">
        <f t="shared" si="14"/>
        <v>4</v>
      </c>
      <c r="AF24" s="26">
        <f t="shared" si="15"/>
        <v>0</v>
      </c>
    </row>
    <row r="25" spans="1:32" x14ac:dyDescent="0.25">
      <c r="A25" s="6">
        <f t="shared" si="16"/>
        <v>6.4</v>
      </c>
      <c r="B25" s="7">
        <f t="shared" si="17"/>
        <v>44631</v>
      </c>
      <c r="C25" s="8">
        <f t="shared" si="18"/>
        <v>44637</v>
      </c>
      <c r="D25" s="6">
        <f>INDEX(Nifty!$A$4:$K$254,MATCH('Iron Condor (Hedge)'!B25,Nifty!$A$4:$A$254),Nifty!$L$256)</f>
        <v>16100</v>
      </c>
      <c r="E25" s="6" t="str">
        <f t="shared" si="19"/>
        <v>PE</v>
      </c>
      <c r="F25" s="6" t="str">
        <f t="shared" si="19"/>
        <v>BUY</v>
      </c>
      <c r="G25" s="11">
        <v>77.099999999999994</v>
      </c>
      <c r="H25" s="6">
        <f>G22+G23-G24-G25</f>
        <v>116.54999999999998</v>
      </c>
      <c r="I25" s="11">
        <v>0.1</v>
      </c>
      <c r="J25" s="11">
        <f t="shared" si="0"/>
        <v>-3850</v>
      </c>
      <c r="K25" s="6">
        <f>SUM(J22:J25)</f>
        <v>-6610.0000000000009</v>
      </c>
      <c r="L25" s="6">
        <f t="shared" si="13"/>
        <v>-1157.5000000000055</v>
      </c>
      <c r="M25">
        <f>IF(K25+M21&lt;0,K25+M21,0)</f>
        <v>-7642.5000000000055</v>
      </c>
      <c r="N25">
        <v>20</v>
      </c>
      <c r="O25">
        <f t="shared" si="1"/>
        <v>40</v>
      </c>
      <c r="P25">
        <f t="shared" si="2"/>
        <v>2.5000000000000001E-3</v>
      </c>
      <c r="Q25">
        <f t="shared" si="3"/>
        <v>2.0457999999999998</v>
      </c>
      <c r="R25">
        <f t="shared" si="4"/>
        <v>7.5689388000000006</v>
      </c>
      <c r="S25">
        <f t="shared" si="5"/>
        <v>3.8599999999999988E-3</v>
      </c>
      <c r="T25">
        <f t="shared" si="6"/>
        <v>2.313E-3</v>
      </c>
      <c r="U25">
        <f t="shared" si="7"/>
        <v>9.6234117999999995</v>
      </c>
      <c r="V25">
        <f t="shared" si="8"/>
        <v>-3899.6234118000002</v>
      </c>
      <c r="W25">
        <f>W24+V25</f>
        <v>-2444.352813250006</v>
      </c>
      <c r="Y25" s="25">
        <v>24</v>
      </c>
      <c r="Z25" s="12">
        <v>-10105</v>
      </c>
      <c r="AA25" s="12">
        <f t="shared" si="9"/>
        <v>0</v>
      </c>
      <c r="AB25" s="12">
        <f t="shared" si="10"/>
        <v>0</v>
      </c>
      <c r="AC25" s="12">
        <f t="shared" si="11"/>
        <v>1</v>
      </c>
      <c r="AD25" s="12">
        <f t="shared" si="12"/>
        <v>-10105</v>
      </c>
      <c r="AE25" s="12">
        <f t="shared" si="14"/>
        <v>0</v>
      </c>
      <c r="AF25" s="26">
        <f t="shared" si="15"/>
        <v>1</v>
      </c>
    </row>
    <row r="26" spans="1:32" x14ac:dyDescent="0.25">
      <c r="A26">
        <f t="shared" si="16"/>
        <v>7.1</v>
      </c>
      <c r="B26" s="1">
        <v>44641</v>
      </c>
      <c r="C26" s="4">
        <f t="shared" si="18"/>
        <v>44644</v>
      </c>
      <c r="D26">
        <f>INDEX(Nifty!$A$1:$K$251,MATCH('Iron Condor (Hedge)'!B26,Nifty!$A$1:$A$251),Nifty!$L$253)</f>
        <v>17400</v>
      </c>
      <c r="E26" t="str">
        <f t="shared" si="19"/>
        <v>CE</v>
      </c>
      <c r="F26" t="str">
        <f t="shared" si="19"/>
        <v>SELL</v>
      </c>
      <c r="G26" s="10">
        <v>81.25</v>
      </c>
      <c r="I26" s="10">
        <v>0.1</v>
      </c>
      <c r="J26" s="10">
        <f t="shared" si="0"/>
        <v>4057.5000000000005</v>
      </c>
      <c r="L26" s="6">
        <f t="shared" si="13"/>
        <v>2899.999999999995</v>
      </c>
      <c r="N26">
        <v>20</v>
      </c>
      <c r="O26">
        <f t="shared" si="1"/>
        <v>40</v>
      </c>
      <c r="P26">
        <f t="shared" si="2"/>
        <v>2.03125</v>
      </c>
      <c r="Q26">
        <f t="shared" si="3"/>
        <v>2.1557749999999998</v>
      </c>
      <c r="R26">
        <f t="shared" si="4"/>
        <v>7.5887716499999991</v>
      </c>
      <c r="S26">
        <f t="shared" si="5"/>
        <v>4.0674999999999991E-3</v>
      </c>
      <c r="T26">
        <f t="shared" si="6"/>
        <v>3.0000000000000001E-6</v>
      </c>
      <c r="U26">
        <f t="shared" si="7"/>
        <v>11.779867149999999</v>
      </c>
      <c r="V26">
        <f t="shared" si="8"/>
        <v>4005.7201328500005</v>
      </c>
      <c r="W26">
        <f>W25+V26</f>
        <v>1561.3673195999945</v>
      </c>
      <c r="Y26" s="25">
        <v>25</v>
      </c>
      <c r="Z26" s="12">
        <v>2517.5</v>
      </c>
      <c r="AA26" s="12">
        <f t="shared" si="9"/>
        <v>1</v>
      </c>
      <c r="AB26" s="12">
        <f t="shared" si="10"/>
        <v>2517.5</v>
      </c>
      <c r="AC26" s="12">
        <f t="shared" si="11"/>
        <v>0</v>
      </c>
      <c r="AD26" s="12">
        <f t="shared" si="12"/>
        <v>0</v>
      </c>
      <c r="AE26" s="12">
        <f t="shared" si="14"/>
        <v>1</v>
      </c>
      <c r="AF26" s="26">
        <f t="shared" si="15"/>
        <v>0</v>
      </c>
    </row>
    <row r="27" spans="1:32" x14ac:dyDescent="0.25">
      <c r="A27">
        <f t="shared" si="16"/>
        <v>7.2</v>
      </c>
      <c r="B27" s="1">
        <v>44641</v>
      </c>
      <c r="C27" s="4">
        <f t="shared" si="18"/>
        <v>44644</v>
      </c>
      <c r="D27">
        <f>INDEX(Nifty!$A$2:$K$252,MATCH('Iron Condor (Hedge)'!B27,Nifty!$A$2:$A$252),Nifty!$L$254)</f>
        <v>16850</v>
      </c>
      <c r="E27" t="str">
        <f t="shared" si="19"/>
        <v>PE</v>
      </c>
      <c r="F27" t="str">
        <f t="shared" si="19"/>
        <v>SELL</v>
      </c>
      <c r="G27" s="10">
        <v>84.75</v>
      </c>
      <c r="I27" s="10">
        <v>0.05</v>
      </c>
      <c r="J27" s="10">
        <f t="shared" si="0"/>
        <v>4235</v>
      </c>
      <c r="L27" s="6">
        <f t="shared" si="13"/>
        <v>7134.9999999999945</v>
      </c>
      <c r="N27">
        <v>20</v>
      </c>
      <c r="O27">
        <f t="shared" si="1"/>
        <v>40</v>
      </c>
      <c r="P27">
        <f t="shared" si="2"/>
        <v>2.1187499999999999</v>
      </c>
      <c r="Q27">
        <f t="shared" si="3"/>
        <v>2.2471999999999999</v>
      </c>
      <c r="R27">
        <f t="shared" si="4"/>
        <v>7.6052591999999999</v>
      </c>
      <c r="S27">
        <f t="shared" si="5"/>
        <v>4.239999999999999E-3</v>
      </c>
      <c r="T27">
        <f t="shared" si="6"/>
        <v>1.5E-6</v>
      </c>
      <c r="U27">
        <f t="shared" si="7"/>
        <v>11.9754507</v>
      </c>
      <c r="V27">
        <f t="shared" si="8"/>
        <v>4183.0245493000002</v>
      </c>
      <c r="W27">
        <f>W26+V27</f>
        <v>5744.3918688999947</v>
      </c>
      <c r="Y27" s="25">
        <v>26</v>
      </c>
      <c r="Z27" s="12">
        <v>2457.5</v>
      </c>
      <c r="AA27" s="12">
        <f t="shared" si="9"/>
        <v>1</v>
      </c>
      <c r="AB27" s="12">
        <f t="shared" si="10"/>
        <v>2457.5</v>
      </c>
      <c r="AC27" s="12">
        <f t="shared" si="11"/>
        <v>0</v>
      </c>
      <c r="AD27" s="12">
        <f t="shared" si="12"/>
        <v>0</v>
      </c>
      <c r="AE27" s="12">
        <f t="shared" si="14"/>
        <v>2</v>
      </c>
      <c r="AF27" s="26">
        <f t="shared" si="15"/>
        <v>0</v>
      </c>
    </row>
    <row r="28" spans="1:32" x14ac:dyDescent="0.25">
      <c r="A28">
        <f t="shared" si="16"/>
        <v>7.3</v>
      </c>
      <c r="B28" s="1">
        <v>44641</v>
      </c>
      <c r="C28" s="4">
        <f t="shared" si="18"/>
        <v>44644</v>
      </c>
      <c r="D28">
        <f>INDEX(Nifty!$A$3:$K$253,MATCH('Iron Condor (Hedge)'!B28,Nifty!$A$3:$A$253),Nifty!$L$255)</f>
        <v>17650</v>
      </c>
      <c r="E28" t="str">
        <f t="shared" si="19"/>
        <v>CE</v>
      </c>
      <c r="F28" t="str">
        <f t="shared" si="19"/>
        <v>BUY</v>
      </c>
      <c r="G28" s="10">
        <v>28.1</v>
      </c>
      <c r="I28" s="10">
        <v>0.05</v>
      </c>
      <c r="J28" s="10">
        <f t="shared" si="0"/>
        <v>-1402.5</v>
      </c>
      <c r="L28" s="6">
        <f t="shared" si="13"/>
        <v>5732.4999999999945</v>
      </c>
      <c r="N28">
        <v>20</v>
      </c>
      <c r="O28">
        <f t="shared" si="1"/>
        <v>40</v>
      </c>
      <c r="P28">
        <f t="shared" si="2"/>
        <v>1.25E-3</v>
      </c>
      <c r="Q28">
        <f t="shared" si="3"/>
        <v>0.74597499999999994</v>
      </c>
      <c r="R28">
        <f t="shared" si="4"/>
        <v>7.3345288499999999</v>
      </c>
      <c r="S28">
        <f t="shared" si="5"/>
        <v>1.4074999999999999E-3</v>
      </c>
      <c r="T28">
        <f t="shared" si="6"/>
        <v>8.4300000000000011E-4</v>
      </c>
      <c r="U28">
        <f t="shared" si="7"/>
        <v>8.084004349999999</v>
      </c>
      <c r="V28">
        <f t="shared" si="8"/>
        <v>-1450.58400435</v>
      </c>
      <c r="W28">
        <f>W27+V28</f>
        <v>4293.8078645499945</v>
      </c>
      <c r="Y28" s="25">
        <v>27</v>
      </c>
      <c r="Z28" s="12">
        <v>2642.5</v>
      </c>
      <c r="AA28" s="12">
        <f t="shared" si="9"/>
        <v>1</v>
      </c>
      <c r="AB28" s="12">
        <f t="shared" si="10"/>
        <v>2642.5</v>
      </c>
      <c r="AC28" s="12">
        <f t="shared" si="11"/>
        <v>0</v>
      </c>
      <c r="AD28" s="12">
        <f t="shared" si="12"/>
        <v>0</v>
      </c>
      <c r="AE28" s="12">
        <f t="shared" si="14"/>
        <v>3</v>
      </c>
      <c r="AF28" s="26">
        <f t="shared" si="15"/>
        <v>0</v>
      </c>
    </row>
    <row r="29" spans="1:32" x14ac:dyDescent="0.25">
      <c r="A29" s="6">
        <f t="shared" si="16"/>
        <v>7.4</v>
      </c>
      <c r="B29" s="7">
        <v>44641</v>
      </c>
      <c r="C29" s="8">
        <f t="shared" si="18"/>
        <v>44644</v>
      </c>
      <c r="D29" s="6">
        <f>INDEX(Nifty!$A$4:$K$254,MATCH('Iron Condor (Hedge)'!B29,Nifty!$A$4:$A$254),Nifty!$L$256)</f>
        <v>16600</v>
      </c>
      <c r="E29" s="6" t="str">
        <f t="shared" si="19"/>
        <v>PE</v>
      </c>
      <c r="F29" s="6" t="str">
        <f t="shared" si="19"/>
        <v>BUY</v>
      </c>
      <c r="G29" s="11">
        <v>39.9</v>
      </c>
      <c r="H29" s="6">
        <f>G26+G27-G28-G29</f>
        <v>98</v>
      </c>
      <c r="I29" s="11">
        <v>0.05</v>
      </c>
      <c r="J29" s="11">
        <f t="shared" si="0"/>
        <v>-1992.5</v>
      </c>
      <c r="K29" s="6">
        <f>SUM(J26:J29)</f>
        <v>4897.5</v>
      </c>
      <c r="L29" s="6">
        <f t="shared" si="13"/>
        <v>3739.9999999999945</v>
      </c>
      <c r="M29">
        <f>IF(K29+M25&lt;0,K29+M25,0)</f>
        <v>-2745.0000000000055</v>
      </c>
      <c r="N29">
        <v>20</v>
      </c>
      <c r="O29">
        <f t="shared" si="1"/>
        <v>40</v>
      </c>
      <c r="P29">
        <f t="shared" si="2"/>
        <v>1.25E-3</v>
      </c>
      <c r="Q29">
        <f t="shared" si="3"/>
        <v>1.0586749999999998</v>
      </c>
      <c r="R29">
        <f t="shared" si="4"/>
        <v>7.3909210500000002</v>
      </c>
      <c r="S29">
        <f t="shared" si="5"/>
        <v>1.9974999999999997E-3</v>
      </c>
      <c r="T29">
        <f t="shared" si="6"/>
        <v>1.1969999999999999E-3</v>
      </c>
      <c r="U29">
        <f t="shared" si="7"/>
        <v>8.4540405499999984</v>
      </c>
      <c r="V29">
        <f t="shared" si="8"/>
        <v>-2040.9540405499999</v>
      </c>
      <c r="W29">
        <f>W28+V29</f>
        <v>2252.8538239999943</v>
      </c>
      <c r="Y29" s="25">
        <v>28</v>
      </c>
      <c r="Z29" s="12">
        <v>1394.9999999999998</v>
      </c>
      <c r="AA29" s="12">
        <f t="shared" si="9"/>
        <v>1</v>
      </c>
      <c r="AB29" s="12">
        <f t="shared" si="10"/>
        <v>1394.9999999999998</v>
      </c>
      <c r="AC29" s="12">
        <f t="shared" si="11"/>
        <v>0</v>
      </c>
      <c r="AD29" s="12">
        <f t="shared" si="12"/>
        <v>0</v>
      </c>
      <c r="AE29" s="12">
        <f t="shared" si="14"/>
        <v>4</v>
      </c>
      <c r="AF29" s="26">
        <f t="shared" si="15"/>
        <v>0</v>
      </c>
    </row>
    <row r="30" spans="1:32" x14ac:dyDescent="0.25">
      <c r="A30">
        <f t="shared" si="16"/>
        <v>8.1</v>
      </c>
      <c r="B30" s="1">
        <v>44645</v>
      </c>
      <c r="C30" s="4">
        <f t="shared" si="18"/>
        <v>44651</v>
      </c>
      <c r="D30">
        <f>INDEX(Nifty!$A$1:$K$251,MATCH('Iron Condor (Hedge)'!B30,Nifty!$A$1:$A$251),Nifty!$L$253)</f>
        <v>17450</v>
      </c>
      <c r="E30" t="str">
        <f t="shared" si="19"/>
        <v>CE</v>
      </c>
      <c r="F30" t="str">
        <f t="shared" si="19"/>
        <v>SELL</v>
      </c>
      <c r="G30" s="10">
        <v>66.45</v>
      </c>
      <c r="I30" s="10">
        <v>19.45</v>
      </c>
      <c r="J30" s="10">
        <f t="shared" si="0"/>
        <v>2350</v>
      </c>
      <c r="L30" s="12">
        <f t="shared" si="13"/>
        <v>6089.9999999999945</v>
      </c>
      <c r="N30">
        <v>20</v>
      </c>
      <c r="O30">
        <f t="shared" si="1"/>
        <v>40</v>
      </c>
      <c r="P30">
        <f t="shared" si="2"/>
        <v>1.6612500000000001</v>
      </c>
      <c r="Q30">
        <f t="shared" si="3"/>
        <v>2.2763499999999999</v>
      </c>
      <c r="R30">
        <f t="shared" si="4"/>
        <v>7.6105160999999999</v>
      </c>
      <c r="S30">
        <f t="shared" si="5"/>
        <v>4.2950000000000002E-3</v>
      </c>
      <c r="T30">
        <f t="shared" si="6"/>
        <v>5.8350000000000003E-4</v>
      </c>
      <c r="U30">
        <f t="shared" si="7"/>
        <v>11.5529946</v>
      </c>
      <c r="V30">
        <f t="shared" si="8"/>
        <v>2298.4470053999999</v>
      </c>
      <c r="W30">
        <f>W29+V30</f>
        <v>4551.3008293999937</v>
      </c>
      <c r="Y30" s="25">
        <v>29</v>
      </c>
      <c r="Z30" s="12">
        <v>2315</v>
      </c>
      <c r="AA30" s="12">
        <f t="shared" si="9"/>
        <v>1</v>
      </c>
      <c r="AB30" s="12">
        <f t="shared" si="10"/>
        <v>2315</v>
      </c>
      <c r="AC30" s="12">
        <f t="shared" si="11"/>
        <v>0</v>
      </c>
      <c r="AD30" s="12">
        <f t="shared" si="12"/>
        <v>0</v>
      </c>
      <c r="AE30" s="12">
        <f t="shared" si="14"/>
        <v>5</v>
      </c>
      <c r="AF30" s="26">
        <f t="shared" si="15"/>
        <v>0</v>
      </c>
    </row>
    <row r="31" spans="1:32" x14ac:dyDescent="0.25">
      <c r="A31">
        <f t="shared" si="16"/>
        <v>8.1999999999999993</v>
      </c>
      <c r="B31" s="1">
        <v>44645</v>
      </c>
      <c r="C31" s="4">
        <f t="shared" si="18"/>
        <v>44651</v>
      </c>
      <c r="D31">
        <f>INDEX(Nifty!$A$2:$K$252,MATCH('Iron Condor (Hedge)'!B31,Nifty!$A$2:$A$252),Nifty!$L$254)</f>
        <v>16900</v>
      </c>
      <c r="E31" t="str">
        <f t="shared" si="19"/>
        <v>PE</v>
      </c>
      <c r="F31" t="str">
        <f t="shared" si="19"/>
        <v>SELL</v>
      </c>
      <c r="G31" s="10">
        <v>86.1</v>
      </c>
      <c r="I31" s="10">
        <v>0.1</v>
      </c>
      <c r="J31" s="10">
        <f t="shared" si="0"/>
        <v>4300</v>
      </c>
      <c r="L31" s="12">
        <f t="shared" si="13"/>
        <v>10389.999999999995</v>
      </c>
      <c r="N31">
        <v>20</v>
      </c>
      <c r="O31">
        <f t="shared" si="1"/>
        <v>40</v>
      </c>
      <c r="P31">
        <f t="shared" si="2"/>
        <v>2.1524999999999999</v>
      </c>
      <c r="Q31">
        <f t="shared" si="3"/>
        <v>2.2842999999999996</v>
      </c>
      <c r="R31">
        <f t="shared" si="4"/>
        <v>7.6119497999999997</v>
      </c>
      <c r="S31">
        <f t="shared" si="5"/>
        <v>4.3099999999999987E-3</v>
      </c>
      <c r="T31">
        <f t="shared" si="6"/>
        <v>3.0000000000000001E-6</v>
      </c>
      <c r="U31">
        <f t="shared" si="7"/>
        <v>12.053062799999999</v>
      </c>
      <c r="V31">
        <f t="shared" si="8"/>
        <v>4247.9469372000003</v>
      </c>
      <c r="W31">
        <f>W30+V31</f>
        <v>8799.2477665999941</v>
      </c>
      <c r="Y31" s="25">
        <v>30</v>
      </c>
      <c r="Z31" s="12">
        <v>3082.5</v>
      </c>
      <c r="AA31" s="12">
        <f t="shared" si="9"/>
        <v>1</v>
      </c>
      <c r="AB31" s="12">
        <f t="shared" si="10"/>
        <v>3082.5</v>
      </c>
      <c r="AC31" s="12">
        <f t="shared" si="11"/>
        <v>0</v>
      </c>
      <c r="AD31" s="12">
        <f t="shared" si="12"/>
        <v>0</v>
      </c>
      <c r="AE31" s="12">
        <f t="shared" si="14"/>
        <v>6</v>
      </c>
      <c r="AF31" s="26">
        <f t="shared" si="15"/>
        <v>0</v>
      </c>
    </row>
    <row r="32" spans="1:32" x14ac:dyDescent="0.25">
      <c r="A32">
        <f t="shared" si="16"/>
        <v>8.3000000000000007</v>
      </c>
      <c r="B32" s="1">
        <v>44645</v>
      </c>
      <c r="C32" s="4">
        <f t="shared" si="18"/>
        <v>44651</v>
      </c>
      <c r="D32">
        <f>INDEX(Nifty!$A$3:$K$253,MATCH('Iron Condor (Hedge)'!B32,Nifty!$A$3:$A$253),Nifty!$L$255)</f>
        <v>17700</v>
      </c>
      <c r="E32" t="str">
        <f t="shared" si="19"/>
        <v>CE</v>
      </c>
      <c r="F32" t="str">
        <f t="shared" si="19"/>
        <v>BUY</v>
      </c>
      <c r="G32" s="10">
        <v>21.7</v>
      </c>
      <c r="I32" s="10">
        <v>0.1</v>
      </c>
      <c r="J32" s="10">
        <f t="shared" si="0"/>
        <v>-1080</v>
      </c>
      <c r="L32" s="12">
        <f t="shared" si="13"/>
        <v>9309.9999999999945</v>
      </c>
      <c r="N32">
        <v>20</v>
      </c>
      <c r="O32">
        <f t="shared" si="1"/>
        <v>40</v>
      </c>
      <c r="P32">
        <f t="shared" si="2"/>
        <v>2.5000000000000001E-3</v>
      </c>
      <c r="Q32">
        <f t="shared" si="3"/>
        <v>0.57769999999999999</v>
      </c>
      <c r="R32">
        <f t="shared" si="4"/>
        <v>7.3041821999999996</v>
      </c>
      <c r="S32">
        <f t="shared" si="5"/>
        <v>1.09E-3</v>
      </c>
      <c r="T32">
        <f t="shared" si="6"/>
        <v>6.5099999999999999E-4</v>
      </c>
      <c r="U32">
        <f t="shared" si="7"/>
        <v>7.8861231999999992</v>
      </c>
      <c r="V32">
        <f t="shared" si="8"/>
        <v>-1127.8861231999999</v>
      </c>
      <c r="W32">
        <f>W31+V32</f>
        <v>7671.3616433999941</v>
      </c>
      <c r="Y32" s="25">
        <v>31</v>
      </c>
      <c r="Z32" s="12">
        <v>3522.5</v>
      </c>
      <c r="AA32" s="12">
        <f t="shared" si="9"/>
        <v>1</v>
      </c>
      <c r="AB32" s="12">
        <f t="shared" si="10"/>
        <v>3522.5</v>
      </c>
      <c r="AC32" s="12">
        <f t="shared" si="11"/>
        <v>0</v>
      </c>
      <c r="AD32" s="12">
        <f t="shared" si="12"/>
        <v>0</v>
      </c>
      <c r="AE32" s="12">
        <f t="shared" si="14"/>
        <v>7</v>
      </c>
      <c r="AF32" s="26">
        <f t="shared" si="15"/>
        <v>0</v>
      </c>
    </row>
    <row r="33" spans="1:32" x14ac:dyDescent="0.25">
      <c r="A33" s="6">
        <f t="shared" si="16"/>
        <v>8.4</v>
      </c>
      <c r="B33" s="7">
        <v>44645</v>
      </c>
      <c r="C33" s="8">
        <f t="shared" si="18"/>
        <v>44651</v>
      </c>
      <c r="D33" s="6">
        <f>INDEX(Nifty!$A$4:$K$254,MATCH('Iron Condor (Hedge)'!B33,Nifty!$A$4:$A$254),Nifty!$L$256)</f>
        <v>16650</v>
      </c>
      <c r="E33" s="6" t="str">
        <f t="shared" si="19"/>
        <v>PE</v>
      </c>
      <c r="F33" s="6" t="str">
        <f t="shared" si="19"/>
        <v>BUY</v>
      </c>
      <c r="G33" s="6">
        <v>40.299999999999997</v>
      </c>
      <c r="H33" s="6">
        <f>G30+G31-G32-G33</f>
        <v>90.550000000000026</v>
      </c>
      <c r="I33" s="6">
        <v>0.05</v>
      </c>
      <c r="J33" s="6">
        <f t="shared" si="0"/>
        <v>-2012.5</v>
      </c>
      <c r="K33" s="6">
        <f>SUM(J30:J33)</f>
        <v>3557.5</v>
      </c>
      <c r="L33" s="6">
        <f t="shared" si="13"/>
        <v>7297.4999999999945</v>
      </c>
      <c r="M33">
        <f>IF(K33+M29&lt;0,K33+M29,0)</f>
        <v>0</v>
      </c>
      <c r="N33">
        <v>20</v>
      </c>
      <c r="O33">
        <f t="shared" si="1"/>
        <v>40</v>
      </c>
      <c r="P33">
        <f t="shared" si="2"/>
        <v>1.25E-3</v>
      </c>
      <c r="Q33">
        <f t="shared" si="3"/>
        <v>1.0692749999999998</v>
      </c>
      <c r="R33">
        <f t="shared" si="4"/>
        <v>7.392832649999999</v>
      </c>
      <c r="S33">
        <f t="shared" si="5"/>
        <v>2.0174999999999998E-3</v>
      </c>
      <c r="T33">
        <f t="shared" si="6"/>
        <v>1.209E-3</v>
      </c>
      <c r="U33">
        <f t="shared" si="7"/>
        <v>8.4665841499999974</v>
      </c>
      <c r="V33">
        <f t="shared" si="8"/>
        <v>-2060.96658415</v>
      </c>
      <c r="W33">
        <f>W32+V33</f>
        <v>5610.3950592499941</v>
      </c>
      <c r="Y33" s="25">
        <v>32</v>
      </c>
      <c r="Z33" s="12">
        <v>2965.0000000000005</v>
      </c>
      <c r="AA33" s="12">
        <f t="shared" si="9"/>
        <v>1</v>
      </c>
      <c r="AB33" s="12">
        <f t="shared" si="10"/>
        <v>2965.0000000000005</v>
      </c>
      <c r="AC33" s="12">
        <f t="shared" si="11"/>
        <v>0</v>
      </c>
      <c r="AD33" s="12">
        <f t="shared" si="12"/>
        <v>0</v>
      </c>
      <c r="AE33" s="12">
        <f t="shared" si="14"/>
        <v>8</v>
      </c>
      <c r="AF33" s="26">
        <f t="shared" si="15"/>
        <v>0</v>
      </c>
    </row>
    <row r="34" spans="1:32" x14ac:dyDescent="0.25">
      <c r="A34">
        <f t="shared" si="16"/>
        <v>9.1</v>
      </c>
      <c r="B34" s="1">
        <f t="shared" si="17"/>
        <v>44652</v>
      </c>
      <c r="C34" s="4">
        <f t="shared" si="18"/>
        <v>44658</v>
      </c>
      <c r="D34">
        <f>INDEX(Nifty!$A$1:$K$251,MATCH('Iron Condor (Hedge)'!B34,Nifty!$A$1:$A$251),Nifty!$L$253)</f>
        <v>17950</v>
      </c>
      <c r="E34" t="str">
        <f t="shared" si="19"/>
        <v>CE</v>
      </c>
      <c r="F34" t="str">
        <f t="shared" si="19"/>
        <v>SELL</v>
      </c>
      <c r="G34" s="10">
        <v>31.8</v>
      </c>
      <c r="I34" s="10">
        <v>0.15</v>
      </c>
      <c r="J34" s="10">
        <f t="shared" si="0"/>
        <v>1582.5</v>
      </c>
      <c r="L34" s="12">
        <f t="shared" si="13"/>
        <v>8879.9999999999945</v>
      </c>
      <c r="N34">
        <v>20</v>
      </c>
      <c r="O34">
        <f t="shared" si="1"/>
        <v>40</v>
      </c>
      <c r="P34">
        <f t="shared" si="2"/>
        <v>0.79500000000000004</v>
      </c>
      <c r="Q34">
        <f t="shared" si="3"/>
        <v>0.84667499999999996</v>
      </c>
      <c r="R34">
        <f t="shared" si="4"/>
        <v>7.3526890499999995</v>
      </c>
      <c r="S34">
        <f t="shared" si="5"/>
        <v>1.5975E-3</v>
      </c>
      <c r="T34">
        <f t="shared" si="6"/>
        <v>4.5000000000000001E-6</v>
      </c>
      <c r="U34">
        <f t="shared" si="7"/>
        <v>8.9959660499999998</v>
      </c>
      <c r="V34">
        <f t="shared" si="8"/>
        <v>1533.5040339499999</v>
      </c>
      <c r="W34">
        <f>W33+V34</f>
        <v>7143.8990931999942</v>
      </c>
      <c r="Y34" s="25">
        <v>33</v>
      </c>
      <c r="Z34" s="12">
        <v>4132.5</v>
      </c>
      <c r="AA34" s="12">
        <f t="shared" si="9"/>
        <v>1</v>
      </c>
      <c r="AB34" s="12">
        <f t="shared" si="10"/>
        <v>4132.5</v>
      </c>
      <c r="AC34" s="12">
        <f t="shared" si="11"/>
        <v>0</v>
      </c>
      <c r="AD34" s="12">
        <f t="shared" si="12"/>
        <v>0</v>
      </c>
      <c r="AE34" s="12">
        <f t="shared" si="14"/>
        <v>9</v>
      </c>
      <c r="AF34" s="26">
        <f t="shared" si="15"/>
        <v>0</v>
      </c>
    </row>
    <row r="35" spans="1:32" x14ac:dyDescent="0.25">
      <c r="A35">
        <f t="shared" si="16"/>
        <v>9.1999999999999993</v>
      </c>
      <c r="B35" s="1">
        <f t="shared" si="17"/>
        <v>44652</v>
      </c>
      <c r="C35" s="4">
        <f t="shared" si="18"/>
        <v>44658</v>
      </c>
      <c r="D35">
        <f>INDEX(Nifty!$A$2:$K$252,MATCH('Iron Condor (Hedge)'!B35,Nifty!$A$2:$A$252),Nifty!$L$254)</f>
        <v>17400</v>
      </c>
      <c r="E35" t="str">
        <f t="shared" si="19"/>
        <v>PE</v>
      </c>
      <c r="F35" t="str">
        <f t="shared" si="19"/>
        <v>SELL</v>
      </c>
      <c r="G35" s="10">
        <v>51.7</v>
      </c>
      <c r="I35" s="10">
        <v>0.05</v>
      </c>
      <c r="J35" s="10">
        <f t="shared" si="0"/>
        <v>2582.5000000000005</v>
      </c>
      <c r="L35" s="12">
        <f t="shared" si="13"/>
        <v>11462.499999999995</v>
      </c>
      <c r="N35">
        <v>20</v>
      </c>
      <c r="O35">
        <f t="shared" si="1"/>
        <v>40</v>
      </c>
      <c r="P35">
        <f t="shared" si="2"/>
        <v>1.2925</v>
      </c>
      <c r="Q35">
        <f t="shared" si="3"/>
        <v>1.371375</v>
      </c>
      <c r="R35">
        <f t="shared" si="4"/>
        <v>7.4473132499999997</v>
      </c>
      <c r="S35">
        <f t="shared" si="5"/>
        <v>2.5875E-3</v>
      </c>
      <c r="T35">
        <f t="shared" si="6"/>
        <v>1.5E-6</v>
      </c>
      <c r="U35">
        <f t="shared" si="7"/>
        <v>10.11377725</v>
      </c>
      <c r="V35">
        <f t="shared" si="8"/>
        <v>2532.3862227500003</v>
      </c>
      <c r="W35">
        <f>W34+V35</f>
        <v>9676.2853159499937</v>
      </c>
      <c r="Y35" s="25">
        <v>34</v>
      </c>
      <c r="Z35" s="12">
        <v>-6579.9999999999991</v>
      </c>
      <c r="AA35" s="12">
        <f t="shared" si="9"/>
        <v>0</v>
      </c>
      <c r="AB35" s="12">
        <f t="shared" si="10"/>
        <v>0</v>
      </c>
      <c r="AC35" s="12">
        <f t="shared" si="11"/>
        <v>1</v>
      </c>
      <c r="AD35" s="12">
        <f t="shared" si="12"/>
        <v>-6579.9999999999991</v>
      </c>
      <c r="AE35" s="12">
        <f t="shared" si="14"/>
        <v>0</v>
      </c>
      <c r="AF35" s="26">
        <f t="shared" si="15"/>
        <v>1</v>
      </c>
    </row>
    <row r="36" spans="1:32" x14ac:dyDescent="0.25">
      <c r="A36">
        <f t="shared" si="16"/>
        <v>9.3000000000000007</v>
      </c>
      <c r="B36" s="1">
        <f t="shared" si="17"/>
        <v>44652</v>
      </c>
      <c r="C36" s="4">
        <f t="shared" si="18"/>
        <v>44658</v>
      </c>
      <c r="D36">
        <f>INDEX(Nifty!$A$3:$K$253,MATCH('Iron Condor (Hedge)'!B36,Nifty!$A$3:$A$253),Nifty!$L$255)</f>
        <v>18200</v>
      </c>
      <c r="E36" t="str">
        <f t="shared" si="19"/>
        <v>CE</v>
      </c>
      <c r="F36" t="str">
        <f t="shared" si="19"/>
        <v>BUY</v>
      </c>
      <c r="G36" s="10">
        <v>4.5999999999999996</v>
      </c>
      <c r="I36" s="10">
        <v>0.15</v>
      </c>
      <c r="J36" s="10">
        <f t="shared" si="0"/>
        <v>-222.49999999999997</v>
      </c>
      <c r="L36" s="12">
        <f t="shared" si="13"/>
        <v>11239.999999999995</v>
      </c>
      <c r="N36">
        <v>20</v>
      </c>
      <c r="O36">
        <f t="shared" si="1"/>
        <v>40</v>
      </c>
      <c r="P36">
        <f t="shared" si="2"/>
        <v>3.7499999999999999E-3</v>
      </c>
      <c r="Q36">
        <f t="shared" si="3"/>
        <v>0.12587499999999999</v>
      </c>
      <c r="R36">
        <f t="shared" si="4"/>
        <v>7.222700249999999</v>
      </c>
      <c r="S36">
        <f t="shared" si="5"/>
        <v>2.3749999999999997E-4</v>
      </c>
      <c r="T36">
        <f t="shared" si="6"/>
        <v>1.3799999999999999E-4</v>
      </c>
      <c r="U36">
        <f t="shared" si="7"/>
        <v>7.3527007499999986</v>
      </c>
      <c r="V36">
        <f t="shared" si="8"/>
        <v>-269.85270075</v>
      </c>
      <c r="W36">
        <f>W35+V36</f>
        <v>9406.432615199994</v>
      </c>
      <c r="Y36" s="25">
        <v>35</v>
      </c>
      <c r="Z36" s="12">
        <v>3030</v>
      </c>
      <c r="AA36" s="12">
        <f t="shared" si="9"/>
        <v>1</v>
      </c>
      <c r="AB36" s="12">
        <f t="shared" si="10"/>
        <v>3030</v>
      </c>
      <c r="AC36" s="12">
        <f t="shared" si="11"/>
        <v>0</v>
      </c>
      <c r="AD36" s="12">
        <f t="shared" si="12"/>
        <v>0</v>
      </c>
      <c r="AE36" s="12">
        <f t="shared" si="14"/>
        <v>1</v>
      </c>
      <c r="AF36" s="26">
        <f t="shared" si="15"/>
        <v>0</v>
      </c>
    </row>
    <row r="37" spans="1:32" x14ac:dyDescent="0.25">
      <c r="A37" s="6">
        <f t="shared" si="16"/>
        <v>9.4</v>
      </c>
      <c r="B37" s="7">
        <f t="shared" si="17"/>
        <v>44652</v>
      </c>
      <c r="C37" s="8">
        <f t="shared" si="18"/>
        <v>44658</v>
      </c>
      <c r="D37" s="6">
        <f>INDEX(Nifty!$A$4:$K$254,MATCH('Iron Condor (Hedge)'!B37,Nifty!$A$4:$A$254),Nifty!$L$256)</f>
        <v>17150</v>
      </c>
      <c r="E37" s="6" t="str">
        <f t="shared" si="19"/>
        <v>PE</v>
      </c>
      <c r="F37" s="6" t="str">
        <f t="shared" si="19"/>
        <v>BUY</v>
      </c>
      <c r="G37" s="6">
        <v>23.05</v>
      </c>
      <c r="H37" s="6">
        <f>G34+G35-G36-G37</f>
        <v>55.850000000000009</v>
      </c>
      <c r="I37" s="6">
        <v>0.05</v>
      </c>
      <c r="J37" s="6">
        <f t="shared" si="0"/>
        <v>-1150</v>
      </c>
      <c r="K37" s="6">
        <f>SUM(J34:J37)</f>
        <v>2792.5</v>
      </c>
      <c r="L37" s="12">
        <f t="shared" si="13"/>
        <v>10089.999999999995</v>
      </c>
      <c r="M37">
        <f>IF(K37+M33&lt;0,K37+M33,0)</f>
        <v>0</v>
      </c>
      <c r="N37">
        <v>20</v>
      </c>
      <c r="O37">
        <f t="shared" si="1"/>
        <v>40</v>
      </c>
      <c r="P37">
        <f t="shared" si="2"/>
        <v>1.25E-3</v>
      </c>
      <c r="Q37">
        <f t="shared" si="3"/>
        <v>0.61214999999999997</v>
      </c>
      <c r="R37">
        <f t="shared" si="4"/>
        <v>7.3103948999999995</v>
      </c>
      <c r="S37">
        <f t="shared" si="5"/>
        <v>1.155E-3</v>
      </c>
      <c r="T37">
        <f t="shared" si="6"/>
        <v>6.9150000000000006E-4</v>
      </c>
      <c r="U37">
        <f t="shared" si="7"/>
        <v>7.9256413999999991</v>
      </c>
      <c r="V37">
        <f t="shared" si="8"/>
        <v>-1197.9256413999999</v>
      </c>
      <c r="W37">
        <f>W36+V37</f>
        <v>8208.5069737999947</v>
      </c>
      <c r="Y37" s="25">
        <v>36</v>
      </c>
      <c r="Z37" s="12">
        <v>1087.5</v>
      </c>
      <c r="AA37" s="12">
        <f t="shared" si="9"/>
        <v>1</v>
      </c>
      <c r="AB37" s="12">
        <f t="shared" si="10"/>
        <v>1087.5</v>
      </c>
      <c r="AC37" s="12">
        <f t="shared" si="11"/>
        <v>0</v>
      </c>
      <c r="AD37" s="12">
        <f t="shared" si="12"/>
        <v>0</v>
      </c>
      <c r="AE37" s="12">
        <f t="shared" si="14"/>
        <v>2</v>
      </c>
      <c r="AF37" s="26">
        <f t="shared" si="15"/>
        <v>0</v>
      </c>
    </row>
    <row r="38" spans="1:32" x14ac:dyDescent="0.25">
      <c r="A38">
        <f t="shared" si="16"/>
        <v>10.1</v>
      </c>
      <c r="B38" s="1">
        <f t="shared" si="17"/>
        <v>44659</v>
      </c>
      <c r="C38" s="4">
        <v>44664</v>
      </c>
      <c r="D38">
        <f>INDEX(Nifty!$A$1:$K$251,MATCH('Iron Condor (Hedge)'!B38,Nifty!$A$1:$A$251),Nifty!$L$253)</f>
        <v>18050</v>
      </c>
      <c r="E38" t="str">
        <f t="shared" si="19"/>
        <v>CE</v>
      </c>
      <c r="F38" t="str">
        <f t="shared" si="19"/>
        <v>SELL</v>
      </c>
      <c r="G38" s="10">
        <v>38.9</v>
      </c>
      <c r="I38" s="10">
        <v>0.05</v>
      </c>
      <c r="J38" s="10">
        <f t="shared" si="0"/>
        <v>1942.5</v>
      </c>
      <c r="L38" s="12">
        <f t="shared" si="13"/>
        <v>12032.499999999995</v>
      </c>
      <c r="N38">
        <v>20</v>
      </c>
      <c r="O38">
        <f t="shared" si="1"/>
        <v>40</v>
      </c>
      <c r="P38">
        <f t="shared" si="2"/>
        <v>0.97250000000000003</v>
      </c>
      <c r="Q38">
        <f t="shared" si="3"/>
        <v>1.0321749999999998</v>
      </c>
      <c r="R38">
        <f t="shared" si="4"/>
        <v>7.3861420500000001</v>
      </c>
      <c r="S38">
        <f t="shared" si="5"/>
        <v>1.9474999999999996E-3</v>
      </c>
      <c r="T38">
        <f t="shared" si="6"/>
        <v>1.5E-6</v>
      </c>
      <c r="U38">
        <f t="shared" si="7"/>
        <v>9.3927660499999988</v>
      </c>
      <c r="V38">
        <f t="shared" si="8"/>
        <v>1893.1072339499999</v>
      </c>
      <c r="W38">
        <f>W37+V38</f>
        <v>10101.614207749995</v>
      </c>
      <c r="Y38" s="25">
        <v>37</v>
      </c>
      <c r="Z38" s="12">
        <v>-2042.5</v>
      </c>
      <c r="AA38" s="12">
        <f t="shared" si="9"/>
        <v>0</v>
      </c>
      <c r="AB38" s="12">
        <f t="shared" si="10"/>
        <v>0</v>
      </c>
      <c r="AC38" s="12">
        <f t="shared" si="11"/>
        <v>1</v>
      </c>
      <c r="AD38" s="12">
        <f t="shared" si="12"/>
        <v>-2042.5</v>
      </c>
      <c r="AE38" s="12">
        <f t="shared" si="14"/>
        <v>0</v>
      </c>
      <c r="AF38" s="26">
        <f t="shared" si="15"/>
        <v>1</v>
      </c>
    </row>
    <row r="39" spans="1:32" x14ac:dyDescent="0.25">
      <c r="A39">
        <f t="shared" si="16"/>
        <v>10.199999999999999</v>
      </c>
      <c r="B39" s="1">
        <f t="shared" si="17"/>
        <v>44659</v>
      </c>
      <c r="C39" s="4">
        <v>44664</v>
      </c>
      <c r="D39">
        <f>INDEX(Nifty!$A$2:$K$252,MATCH('Iron Condor (Hedge)'!B39,Nifty!$A$2:$A$252),Nifty!$L$254)</f>
        <v>17500</v>
      </c>
      <c r="E39" t="str">
        <f t="shared" si="19"/>
        <v>PE</v>
      </c>
      <c r="F39" t="str">
        <f t="shared" si="19"/>
        <v>SELL</v>
      </c>
      <c r="G39" s="10">
        <v>33.15</v>
      </c>
      <c r="I39" s="10">
        <v>26.95</v>
      </c>
      <c r="J39" s="10">
        <f t="shared" si="0"/>
        <v>309.99999999999994</v>
      </c>
      <c r="L39" s="12">
        <f t="shared" si="13"/>
        <v>12342.499999999995</v>
      </c>
      <c r="N39">
        <v>20</v>
      </c>
      <c r="O39">
        <f t="shared" si="1"/>
        <v>40</v>
      </c>
      <c r="P39">
        <f t="shared" si="2"/>
        <v>0.82874999999999999</v>
      </c>
      <c r="Q39">
        <f t="shared" si="3"/>
        <v>1.5926499999999997</v>
      </c>
      <c r="R39">
        <f t="shared" si="4"/>
        <v>7.4872179000000001</v>
      </c>
      <c r="S39">
        <f t="shared" si="5"/>
        <v>3.0049999999999994E-3</v>
      </c>
      <c r="T39">
        <f t="shared" si="6"/>
        <v>8.0849999999999997E-4</v>
      </c>
      <c r="U39">
        <f t="shared" si="7"/>
        <v>9.9124313999999991</v>
      </c>
      <c r="V39">
        <f t="shared" si="8"/>
        <v>260.08756859999994</v>
      </c>
      <c r="W39">
        <f>W38+V39</f>
        <v>10361.701776349995</v>
      </c>
      <c r="Y39" s="25">
        <v>38</v>
      </c>
      <c r="Z39" s="12">
        <v>1940</v>
      </c>
      <c r="AA39" s="12">
        <f t="shared" si="9"/>
        <v>1</v>
      </c>
      <c r="AB39" s="12">
        <f t="shared" si="10"/>
        <v>1940</v>
      </c>
      <c r="AC39" s="12">
        <f t="shared" si="11"/>
        <v>0</v>
      </c>
      <c r="AD39" s="12">
        <f t="shared" si="12"/>
        <v>0</v>
      </c>
      <c r="AE39" s="12">
        <f t="shared" si="14"/>
        <v>1</v>
      </c>
      <c r="AF39" s="26">
        <f t="shared" si="15"/>
        <v>0</v>
      </c>
    </row>
    <row r="40" spans="1:32" x14ac:dyDescent="0.25">
      <c r="A40">
        <f t="shared" si="16"/>
        <v>10.3</v>
      </c>
      <c r="B40" s="1">
        <f t="shared" si="17"/>
        <v>44659</v>
      </c>
      <c r="C40" s="4">
        <v>44664</v>
      </c>
      <c r="D40">
        <f>INDEX(Nifty!$A$3:$K$253,MATCH('Iron Condor (Hedge)'!B40,Nifty!$A$3:$A$253),Nifty!$L$255)</f>
        <v>18300</v>
      </c>
      <c r="E40" t="str">
        <f t="shared" si="19"/>
        <v>CE</v>
      </c>
      <c r="F40" t="str">
        <f t="shared" si="19"/>
        <v>BUY</v>
      </c>
      <c r="G40" s="10">
        <v>9.8000000000000007</v>
      </c>
      <c r="I40" s="10">
        <v>0.05</v>
      </c>
      <c r="J40" s="10">
        <f t="shared" si="0"/>
        <v>-487.5</v>
      </c>
      <c r="L40" s="12">
        <f t="shared" si="13"/>
        <v>11854.999999999995</v>
      </c>
      <c r="N40">
        <v>20</v>
      </c>
      <c r="O40">
        <f t="shared" si="1"/>
        <v>40</v>
      </c>
      <c r="P40">
        <f t="shared" si="2"/>
        <v>1.25E-3</v>
      </c>
      <c r="Q40">
        <f t="shared" si="3"/>
        <v>0.26102500000000001</v>
      </c>
      <c r="R40">
        <f t="shared" si="4"/>
        <v>7.2470731499999994</v>
      </c>
      <c r="S40">
        <f t="shared" si="5"/>
        <v>4.9249999999999999E-4</v>
      </c>
      <c r="T40">
        <f t="shared" si="6"/>
        <v>2.9400000000000004E-4</v>
      </c>
      <c r="U40">
        <f t="shared" si="7"/>
        <v>7.5101346499999995</v>
      </c>
      <c r="V40">
        <f t="shared" si="8"/>
        <v>-535.01013465000005</v>
      </c>
      <c r="W40">
        <f>W39+V40</f>
        <v>9826.6916416999957</v>
      </c>
      <c r="Y40" s="25">
        <v>39</v>
      </c>
      <c r="Z40" s="12">
        <v>2360</v>
      </c>
      <c r="AA40" s="12">
        <f t="shared" si="9"/>
        <v>1</v>
      </c>
      <c r="AB40" s="12">
        <f t="shared" si="10"/>
        <v>2360</v>
      </c>
      <c r="AC40" s="12">
        <f t="shared" si="11"/>
        <v>0</v>
      </c>
      <c r="AD40" s="12">
        <f t="shared" si="12"/>
        <v>0</v>
      </c>
      <c r="AE40" s="12">
        <f t="shared" si="14"/>
        <v>2</v>
      </c>
      <c r="AF40" s="26">
        <f t="shared" si="15"/>
        <v>0</v>
      </c>
    </row>
    <row r="41" spans="1:32" x14ac:dyDescent="0.25">
      <c r="A41" s="6">
        <f t="shared" si="16"/>
        <v>10.4</v>
      </c>
      <c r="B41" s="7">
        <f t="shared" si="17"/>
        <v>44659</v>
      </c>
      <c r="C41" s="4">
        <v>44664</v>
      </c>
      <c r="D41" s="6">
        <f>INDEX(Nifty!$A$4:$K$254,MATCH('Iron Condor (Hedge)'!B41,Nifty!$A$4:$A$254),Nifty!$L$256)</f>
        <v>17250</v>
      </c>
      <c r="E41" s="6" t="str">
        <f t="shared" si="19"/>
        <v>PE</v>
      </c>
      <c r="F41" s="6" t="str">
        <f t="shared" si="19"/>
        <v>BUY</v>
      </c>
      <c r="G41" s="6">
        <v>10.85</v>
      </c>
      <c r="H41" s="6">
        <f>G38+G39-G40-G41</f>
        <v>51.4</v>
      </c>
      <c r="I41" s="6">
        <v>0.05</v>
      </c>
      <c r="J41" s="6">
        <f t="shared" si="0"/>
        <v>-540</v>
      </c>
      <c r="K41" s="6">
        <f>SUM(J38:J41)</f>
        <v>1225</v>
      </c>
      <c r="L41" s="12">
        <f t="shared" si="13"/>
        <v>11314.999999999995</v>
      </c>
      <c r="M41">
        <f>IF(K41+M37&lt;0,K41+M37,0)</f>
        <v>0</v>
      </c>
      <c r="N41">
        <v>20</v>
      </c>
      <c r="O41">
        <f t="shared" si="1"/>
        <v>40</v>
      </c>
      <c r="P41">
        <f t="shared" si="2"/>
        <v>1.25E-3</v>
      </c>
      <c r="Q41">
        <f t="shared" si="3"/>
        <v>0.28885</v>
      </c>
      <c r="R41">
        <f t="shared" si="4"/>
        <v>7.2520910999999995</v>
      </c>
      <c r="S41">
        <f t="shared" si="5"/>
        <v>5.4500000000000002E-4</v>
      </c>
      <c r="T41">
        <f t="shared" si="6"/>
        <v>3.255E-4</v>
      </c>
      <c r="U41">
        <f t="shared" si="7"/>
        <v>7.5430615999999988</v>
      </c>
      <c r="V41">
        <f t="shared" si="8"/>
        <v>-587.54306159999999</v>
      </c>
      <c r="W41">
        <f>W40+V41</f>
        <v>9239.1485800999963</v>
      </c>
      <c r="Y41" s="25">
        <v>40</v>
      </c>
      <c r="Z41" s="12">
        <v>2227.5</v>
      </c>
      <c r="AA41" s="12">
        <f t="shared" si="9"/>
        <v>1</v>
      </c>
      <c r="AB41" s="12">
        <f t="shared" si="10"/>
        <v>2227.5</v>
      </c>
      <c r="AC41" s="12">
        <f t="shared" si="11"/>
        <v>0</v>
      </c>
      <c r="AD41" s="12">
        <f t="shared" si="12"/>
        <v>0</v>
      </c>
      <c r="AE41" s="12">
        <f t="shared" si="14"/>
        <v>3</v>
      </c>
      <c r="AF41" s="26">
        <f t="shared" si="15"/>
        <v>0</v>
      </c>
    </row>
    <row r="42" spans="1:32" x14ac:dyDescent="0.25">
      <c r="A42">
        <f t="shared" si="16"/>
        <v>11.1</v>
      </c>
      <c r="B42" s="1">
        <v>44669</v>
      </c>
      <c r="C42" s="4">
        <v>44672</v>
      </c>
      <c r="D42">
        <f>INDEX(Nifty!$A$1:$K$251,MATCH('Iron Condor (Hedge)'!B42,Nifty!$A$1:$A$251),Nifty!$L$253)</f>
        <v>17450</v>
      </c>
      <c r="E42" t="str">
        <f t="shared" ref="E42:F42" si="20">E38</f>
        <v>CE</v>
      </c>
      <c r="F42" t="str">
        <f t="shared" si="20"/>
        <v>SELL</v>
      </c>
      <c r="G42" s="10">
        <v>34.299999999999997</v>
      </c>
      <c r="I42" s="10">
        <v>0.15</v>
      </c>
      <c r="J42" s="10">
        <f t="shared" si="0"/>
        <v>1707.5</v>
      </c>
      <c r="L42" s="12">
        <f t="shared" si="13"/>
        <v>13022.499999999995</v>
      </c>
      <c r="N42">
        <v>20</v>
      </c>
      <c r="O42">
        <f t="shared" si="1"/>
        <v>40</v>
      </c>
      <c r="P42">
        <f t="shared" si="2"/>
        <v>0.85749999999999993</v>
      </c>
      <c r="Q42">
        <f t="shared" si="3"/>
        <v>0.91292499999999988</v>
      </c>
      <c r="R42">
        <f t="shared" si="4"/>
        <v>7.3646365500000002</v>
      </c>
      <c r="S42">
        <f t="shared" si="5"/>
        <v>1.7224999999999999E-3</v>
      </c>
      <c r="T42">
        <f t="shared" si="6"/>
        <v>4.5000000000000001E-6</v>
      </c>
      <c r="U42">
        <f t="shared" si="7"/>
        <v>9.1367885499999986</v>
      </c>
      <c r="V42">
        <f t="shared" si="8"/>
        <v>1658.3632114500001</v>
      </c>
      <c r="W42">
        <f>W41+V42</f>
        <v>10897.511791549996</v>
      </c>
      <c r="Y42" s="25">
        <v>41</v>
      </c>
      <c r="Z42" s="12">
        <v>1797.5</v>
      </c>
      <c r="AA42" s="12">
        <f t="shared" si="9"/>
        <v>1</v>
      </c>
      <c r="AB42" s="12">
        <f t="shared" si="10"/>
        <v>1797.5</v>
      </c>
      <c r="AC42" s="12">
        <f t="shared" si="11"/>
        <v>0</v>
      </c>
      <c r="AD42" s="12">
        <f t="shared" si="12"/>
        <v>0</v>
      </c>
      <c r="AE42" s="12">
        <f t="shared" si="14"/>
        <v>4</v>
      </c>
      <c r="AF42" s="26">
        <f t="shared" si="15"/>
        <v>0</v>
      </c>
    </row>
    <row r="43" spans="1:32" x14ac:dyDescent="0.25">
      <c r="A43">
        <f t="shared" si="16"/>
        <v>11.2</v>
      </c>
      <c r="B43" s="1">
        <v>44669</v>
      </c>
      <c r="C43" s="4">
        <v>44672</v>
      </c>
      <c r="D43">
        <f>INDEX(Nifty!$A$2:$K$252,MATCH('Iron Condor (Hedge)'!B43,Nifty!$A$2:$A$252),Nifty!$L$254)</f>
        <v>16900</v>
      </c>
      <c r="E43" t="str">
        <f t="shared" ref="E43:F43" si="21">E39</f>
        <v>PE</v>
      </c>
      <c r="F43" t="str">
        <f t="shared" si="21"/>
        <v>SELL</v>
      </c>
      <c r="G43" s="10">
        <v>33.15</v>
      </c>
      <c r="I43" s="10">
        <v>0.1</v>
      </c>
      <c r="J43" s="10">
        <f t="shared" si="0"/>
        <v>1652.4999999999998</v>
      </c>
      <c r="L43" s="12">
        <f t="shared" si="13"/>
        <v>14674.999999999995</v>
      </c>
      <c r="N43">
        <v>20</v>
      </c>
      <c r="O43">
        <f t="shared" si="1"/>
        <v>40</v>
      </c>
      <c r="P43">
        <f t="shared" si="2"/>
        <v>0.82874999999999999</v>
      </c>
      <c r="Q43">
        <f t="shared" si="3"/>
        <v>0.88112499999999994</v>
      </c>
      <c r="R43">
        <f t="shared" si="4"/>
        <v>7.3589017499999994</v>
      </c>
      <c r="S43">
        <f t="shared" si="5"/>
        <v>1.6625000000000001E-3</v>
      </c>
      <c r="T43">
        <f t="shared" si="6"/>
        <v>3.0000000000000001E-6</v>
      </c>
      <c r="U43">
        <f t="shared" si="7"/>
        <v>9.0704422499999993</v>
      </c>
      <c r="V43">
        <f t="shared" si="8"/>
        <v>1603.4295577499997</v>
      </c>
      <c r="W43">
        <f>W42+V43</f>
        <v>12500.941349299996</v>
      </c>
      <c r="Y43" s="25">
        <v>42</v>
      </c>
      <c r="Z43" s="12">
        <v>1637.5</v>
      </c>
      <c r="AA43" s="12">
        <f t="shared" si="9"/>
        <v>1</v>
      </c>
      <c r="AB43" s="12">
        <f t="shared" si="10"/>
        <v>1637.5</v>
      </c>
      <c r="AC43" s="12">
        <f t="shared" si="11"/>
        <v>0</v>
      </c>
      <c r="AD43" s="12">
        <f t="shared" si="12"/>
        <v>0</v>
      </c>
      <c r="AE43" s="12">
        <f t="shared" si="14"/>
        <v>5</v>
      </c>
      <c r="AF43" s="26">
        <f t="shared" si="15"/>
        <v>0</v>
      </c>
    </row>
    <row r="44" spans="1:32" x14ac:dyDescent="0.25">
      <c r="A44">
        <f t="shared" si="16"/>
        <v>11.3</v>
      </c>
      <c r="B44" s="1">
        <v>44669</v>
      </c>
      <c r="C44" s="4">
        <v>44672</v>
      </c>
      <c r="D44">
        <f>INDEX(Nifty!$A$3:$K$253,MATCH('Iron Condor (Hedge)'!B44,Nifty!$A$3:$A$253),Nifty!$L$255)</f>
        <v>17700</v>
      </c>
      <c r="E44" t="str">
        <f t="shared" ref="E44:F44" si="22">E40</f>
        <v>CE</v>
      </c>
      <c r="F44" t="str">
        <f t="shared" si="22"/>
        <v>BUY</v>
      </c>
      <c r="G44" s="10">
        <v>8.5</v>
      </c>
      <c r="I44" s="10">
        <v>0.1</v>
      </c>
      <c r="J44" s="10">
        <f t="shared" si="0"/>
        <v>-420</v>
      </c>
      <c r="L44" s="12">
        <f t="shared" si="13"/>
        <v>14254.999999999995</v>
      </c>
      <c r="N44">
        <v>20</v>
      </c>
      <c r="O44">
        <f t="shared" si="1"/>
        <v>40</v>
      </c>
      <c r="P44">
        <f t="shared" si="2"/>
        <v>2.5000000000000001E-3</v>
      </c>
      <c r="Q44">
        <f t="shared" si="3"/>
        <v>0.22789999999999999</v>
      </c>
      <c r="R44">
        <f t="shared" si="4"/>
        <v>7.2410993999999995</v>
      </c>
      <c r="S44">
        <f t="shared" si="5"/>
        <v>4.2999999999999994E-4</v>
      </c>
      <c r="T44">
        <f t="shared" si="6"/>
        <v>2.5500000000000002E-4</v>
      </c>
      <c r="U44">
        <f t="shared" si="7"/>
        <v>7.4721843999999997</v>
      </c>
      <c r="V44">
        <f t="shared" si="8"/>
        <v>-467.4721844</v>
      </c>
      <c r="W44">
        <f>W43+V44</f>
        <v>12033.469164899996</v>
      </c>
      <c r="Y44" s="25">
        <v>43</v>
      </c>
      <c r="Z44" s="12">
        <v>485.00000000000011</v>
      </c>
      <c r="AA44" s="12">
        <f t="shared" si="9"/>
        <v>1</v>
      </c>
      <c r="AB44" s="12">
        <f t="shared" si="10"/>
        <v>485.00000000000011</v>
      </c>
      <c r="AC44" s="12">
        <f t="shared" si="11"/>
        <v>0</v>
      </c>
      <c r="AD44" s="12">
        <f t="shared" si="12"/>
        <v>0</v>
      </c>
      <c r="AE44" s="12">
        <f t="shared" si="14"/>
        <v>6</v>
      </c>
      <c r="AF44" s="26">
        <f t="shared" si="15"/>
        <v>0</v>
      </c>
    </row>
    <row r="45" spans="1:32" x14ac:dyDescent="0.25">
      <c r="A45" s="6">
        <f t="shared" si="16"/>
        <v>11.4</v>
      </c>
      <c r="B45" s="7">
        <v>44669</v>
      </c>
      <c r="C45" s="8">
        <v>44672</v>
      </c>
      <c r="D45" s="6">
        <f>INDEX(Nifty!$A$4:$K$254,MATCH('Iron Condor (Hedge)'!B45,Nifty!$A$4:$A$254),Nifty!$L$256)</f>
        <v>16650</v>
      </c>
      <c r="E45" s="6" t="str">
        <f t="shared" ref="E45:F45" si="23">E41</f>
        <v>PE</v>
      </c>
      <c r="F45" s="6" t="str">
        <f t="shared" si="23"/>
        <v>BUY</v>
      </c>
      <c r="G45" s="6">
        <v>10.050000000000001</v>
      </c>
      <c r="H45" s="6">
        <f>G42+G43-G44-G45</f>
        <v>48.899999999999991</v>
      </c>
      <c r="I45" s="6">
        <v>0.05</v>
      </c>
      <c r="J45" s="6">
        <f t="shared" si="0"/>
        <v>-500</v>
      </c>
      <c r="K45" s="6">
        <f>SUM(J42:J45)</f>
        <v>2440</v>
      </c>
      <c r="L45" s="12">
        <f t="shared" si="13"/>
        <v>13754.999999999995</v>
      </c>
      <c r="M45">
        <f>IF(K45+M41&lt;0,K45+M41,0)</f>
        <v>0</v>
      </c>
      <c r="N45">
        <v>20</v>
      </c>
      <c r="O45">
        <f t="shared" si="1"/>
        <v>40</v>
      </c>
      <c r="P45">
        <f t="shared" si="2"/>
        <v>1.25E-3</v>
      </c>
      <c r="Q45">
        <f t="shared" si="3"/>
        <v>0.26765</v>
      </c>
      <c r="R45">
        <f t="shared" si="4"/>
        <v>7.2482679000000001</v>
      </c>
      <c r="S45">
        <f t="shared" si="5"/>
        <v>5.0500000000000002E-4</v>
      </c>
      <c r="T45">
        <f t="shared" si="6"/>
        <v>3.0150000000000001E-4</v>
      </c>
      <c r="U45">
        <f t="shared" si="7"/>
        <v>7.5179744000000008</v>
      </c>
      <c r="V45">
        <f t="shared" si="8"/>
        <v>-547.51797439999996</v>
      </c>
      <c r="W45">
        <f>W44+V45</f>
        <v>11485.951190499996</v>
      </c>
      <c r="Y45" s="25">
        <v>44</v>
      </c>
      <c r="Z45" s="12">
        <v>1752.5</v>
      </c>
      <c r="AA45" s="12">
        <f t="shared" si="9"/>
        <v>1</v>
      </c>
      <c r="AB45" s="12">
        <f t="shared" si="10"/>
        <v>1752.5</v>
      </c>
      <c r="AC45" s="12">
        <f t="shared" si="11"/>
        <v>0</v>
      </c>
      <c r="AD45" s="12">
        <f t="shared" si="12"/>
        <v>0</v>
      </c>
      <c r="AE45" s="12">
        <f t="shared" si="14"/>
        <v>7</v>
      </c>
      <c r="AF45" s="26">
        <f t="shared" si="15"/>
        <v>0</v>
      </c>
    </row>
    <row r="46" spans="1:32" x14ac:dyDescent="0.25">
      <c r="A46">
        <f t="shared" si="16"/>
        <v>12.1</v>
      </c>
      <c r="B46" s="1">
        <v>44673</v>
      </c>
      <c r="C46" s="4">
        <f t="shared" si="18"/>
        <v>44679</v>
      </c>
      <c r="D46">
        <f>INDEX(Nifty!$A$1:$K$251,MATCH('Iron Condor (Hedge)'!B46,Nifty!$A$1:$A$251),Nifty!$L$253)</f>
        <v>17450</v>
      </c>
      <c r="E46" t="str">
        <f t="shared" ref="E46:F46" si="24">E42</f>
        <v>CE</v>
      </c>
      <c r="F46" t="str">
        <f t="shared" si="24"/>
        <v>SELL</v>
      </c>
      <c r="G46" s="10">
        <v>42.1</v>
      </c>
      <c r="I46" s="10">
        <v>0.1</v>
      </c>
      <c r="J46" s="10">
        <f t="shared" si="0"/>
        <v>2100</v>
      </c>
      <c r="L46" s="12">
        <f t="shared" si="13"/>
        <v>15854.999999999995</v>
      </c>
      <c r="N46">
        <v>20</v>
      </c>
      <c r="O46">
        <f t="shared" si="1"/>
        <v>40</v>
      </c>
      <c r="P46">
        <f t="shared" si="2"/>
        <v>1.0525</v>
      </c>
      <c r="Q46">
        <f t="shared" si="3"/>
        <v>1.1182999999999998</v>
      </c>
      <c r="R46">
        <f t="shared" si="4"/>
        <v>7.4016737999999993</v>
      </c>
      <c r="S46">
        <f t="shared" si="5"/>
        <v>2.1100000000000003E-3</v>
      </c>
      <c r="T46">
        <f t="shared" si="6"/>
        <v>3.0000000000000001E-6</v>
      </c>
      <c r="U46">
        <f t="shared" si="7"/>
        <v>9.5745867999999987</v>
      </c>
      <c r="V46">
        <f t="shared" si="8"/>
        <v>2050.4254132000001</v>
      </c>
      <c r="W46">
        <f>W45+V46</f>
        <v>13536.376603699997</v>
      </c>
      <c r="Y46" s="25">
        <v>45</v>
      </c>
      <c r="Z46" s="12">
        <v>1437.5</v>
      </c>
      <c r="AA46" s="12">
        <f t="shared" si="9"/>
        <v>1</v>
      </c>
      <c r="AB46" s="12">
        <f t="shared" si="10"/>
        <v>1437.5</v>
      </c>
      <c r="AC46" s="12">
        <f t="shared" si="11"/>
        <v>0</v>
      </c>
      <c r="AD46" s="12">
        <f t="shared" si="12"/>
        <v>0</v>
      </c>
      <c r="AE46" s="12">
        <f t="shared" si="14"/>
        <v>8</v>
      </c>
      <c r="AF46" s="26">
        <f t="shared" si="15"/>
        <v>0</v>
      </c>
    </row>
    <row r="47" spans="1:32" x14ac:dyDescent="0.25">
      <c r="A47">
        <f t="shared" si="16"/>
        <v>12.2</v>
      </c>
      <c r="B47" s="1">
        <v>44673</v>
      </c>
      <c r="C47" s="4">
        <f t="shared" si="18"/>
        <v>44679</v>
      </c>
      <c r="D47">
        <f>INDEX(Nifty!$A$2:$K$252,MATCH('Iron Condor (Hedge)'!B47,Nifty!$A$2:$A$252),Nifty!$L$254)</f>
        <v>16900</v>
      </c>
      <c r="E47" t="str">
        <f t="shared" ref="E47:F47" si="25">E43</f>
        <v>PE</v>
      </c>
      <c r="F47" t="str">
        <f t="shared" si="25"/>
        <v>SELL</v>
      </c>
      <c r="G47" s="10">
        <v>56.4</v>
      </c>
      <c r="I47" s="10">
        <v>0.1</v>
      </c>
      <c r="J47" s="10">
        <f t="shared" si="0"/>
        <v>2815</v>
      </c>
      <c r="L47" s="12">
        <f t="shared" si="13"/>
        <v>18669.999999999993</v>
      </c>
      <c r="N47">
        <v>20</v>
      </c>
      <c r="O47">
        <f t="shared" si="1"/>
        <v>40</v>
      </c>
      <c r="P47">
        <f t="shared" si="2"/>
        <v>1.41</v>
      </c>
      <c r="Q47">
        <f t="shared" si="3"/>
        <v>1.49725</v>
      </c>
      <c r="R47">
        <f t="shared" si="4"/>
        <v>7.4700135000000003</v>
      </c>
      <c r="S47">
        <f t="shared" si="5"/>
        <v>2.8249999999999998E-3</v>
      </c>
      <c r="T47">
        <f t="shared" si="6"/>
        <v>3.0000000000000001E-6</v>
      </c>
      <c r="U47">
        <f t="shared" si="7"/>
        <v>10.380091499999999</v>
      </c>
      <c r="V47">
        <f t="shared" si="8"/>
        <v>2764.6199084999998</v>
      </c>
      <c r="W47">
        <f>W46+V47</f>
        <v>16300.996512199996</v>
      </c>
      <c r="Y47" s="25">
        <v>46</v>
      </c>
      <c r="Z47" s="12">
        <v>1685</v>
      </c>
      <c r="AA47" s="12">
        <f t="shared" si="9"/>
        <v>1</v>
      </c>
      <c r="AB47" s="12">
        <f t="shared" si="10"/>
        <v>1685</v>
      </c>
      <c r="AC47" s="12">
        <f t="shared" si="11"/>
        <v>0</v>
      </c>
      <c r="AD47" s="12">
        <f t="shared" si="12"/>
        <v>0</v>
      </c>
      <c r="AE47" s="12">
        <f t="shared" si="14"/>
        <v>9</v>
      </c>
      <c r="AF47" s="26">
        <f t="shared" si="15"/>
        <v>0</v>
      </c>
    </row>
    <row r="48" spans="1:32" x14ac:dyDescent="0.25">
      <c r="A48">
        <f t="shared" si="16"/>
        <v>12.3</v>
      </c>
      <c r="B48" s="1">
        <v>44673</v>
      </c>
      <c r="C48" s="4">
        <f t="shared" si="18"/>
        <v>44679</v>
      </c>
      <c r="D48">
        <f>INDEX(Nifty!$A$3:$K$253,MATCH('Iron Condor (Hedge)'!B48,Nifty!$A$3:$A$253),Nifty!$L$255)</f>
        <v>17700</v>
      </c>
      <c r="E48" t="str">
        <f t="shared" ref="E48:F48" si="26">E44</f>
        <v>CE</v>
      </c>
      <c r="F48" t="str">
        <f t="shared" si="26"/>
        <v>BUY</v>
      </c>
      <c r="G48" s="10">
        <v>11.05</v>
      </c>
      <c r="I48" s="10">
        <v>0.05</v>
      </c>
      <c r="J48" s="10">
        <f t="shared" si="0"/>
        <v>-550</v>
      </c>
      <c r="L48" s="12">
        <f t="shared" si="13"/>
        <v>18119.999999999993</v>
      </c>
      <c r="N48">
        <v>20</v>
      </c>
      <c r="O48">
        <f t="shared" si="1"/>
        <v>40</v>
      </c>
      <c r="P48">
        <f t="shared" si="2"/>
        <v>1.25E-3</v>
      </c>
      <c r="Q48">
        <f t="shared" si="3"/>
        <v>0.29415000000000002</v>
      </c>
      <c r="R48">
        <f t="shared" si="4"/>
        <v>7.2530469000000002</v>
      </c>
      <c r="S48">
        <f t="shared" si="5"/>
        <v>5.5500000000000005E-4</v>
      </c>
      <c r="T48">
        <f t="shared" si="6"/>
        <v>3.3150000000000003E-4</v>
      </c>
      <c r="U48">
        <f t="shared" si="7"/>
        <v>7.5493334000000001</v>
      </c>
      <c r="V48">
        <f t="shared" si="8"/>
        <v>-597.54933340000002</v>
      </c>
      <c r="W48">
        <f>W47+V48</f>
        <v>15703.447178799996</v>
      </c>
      <c r="Y48" s="25">
        <v>47</v>
      </c>
      <c r="Z48" s="12">
        <v>-1892.4999999999998</v>
      </c>
      <c r="AA48" s="12">
        <f t="shared" si="9"/>
        <v>0</v>
      </c>
      <c r="AB48" s="12">
        <f t="shared" si="10"/>
        <v>0</v>
      </c>
      <c r="AC48" s="12">
        <f t="shared" si="11"/>
        <v>1</v>
      </c>
      <c r="AD48" s="12">
        <f t="shared" si="12"/>
        <v>-1892.4999999999998</v>
      </c>
      <c r="AE48" s="12">
        <f t="shared" si="14"/>
        <v>0</v>
      </c>
      <c r="AF48" s="26">
        <f t="shared" si="15"/>
        <v>1</v>
      </c>
    </row>
    <row r="49" spans="1:32" x14ac:dyDescent="0.25">
      <c r="A49" s="6">
        <f t="shared" si="16"/>
        <v>12.4</v>
      </c>
      <c r="B49" s="7">
        <v>44673</v>
      </c>
      <c r="C49" s="8">
        <f t="shared" si="18"/>
        <v>44679</v>
      </c>
      <c r="D49" s="6">
        <f>INDEX(Nifty!$A$4:$K$254,MATCH('Iron Condor (Hedge)'!B49,Nifty!$A$4:$A$254),Nifty!$L$256)</f>
        <v>16650</v>
      </c>
      <c r="E49" s="6" t="str">
        <f t="shared" ref="E49:F49" si="27">E45</f>
        <v>PE</v>
      </c>
      <c r="F49" s="6" t="str">
        <f t="shared" si="27"/>
        <v>BUY</v>
      </c>
      <c r="G49" s="6">
        <v>23.07</v>
      </c>
      <c r="H49" s="6">
        <f>G46+G47-G48-G49</f>
        <v>64.38</v>
      </c>
      <c r="I49" s="6">
        <v>0.05</v>
      </c>
      <c r="J49" s="6">
        <f t="shared" si="0"/>
        <v>-1151</v>
      </c>
      <c r="K49" s="6">
        <f>SUM(J46:J49)</f>
        <v>3214</v>
      </c>
      <c r="L49" s="12">
        <f t="shared" si="13"/>
        <v>16968.999999999993</v>
      </c>
      <c r="M49">
        <f>IF(K49+M45&lt;0,K49+M45,0)</f>
        <v>0</v>
      </c>
      <c r="N49">
        <v>20</v>
      </c>
      <c r="O49">
        <f t="shared" si="1"/>
        <v>40</v>
      </c>
      <c r="P49">
        <f t="shared" si="2"/>
        <v>1.25E-3</v>
      </c>
      <c r="Q49">
        <f t="shared" si="3"/>
        <v>0.61268</v>
      </c>
      <c r="R49">
        <f t="shared" si="4"/>
        <v>7.3104904799999995</v>
      </c>
      <c r="S49">
        <f t="shared" si="5"/>
        <v>1.1559999999999999E-3</v>
      </c>
      <c r="T49">
        <f t="shared" si="6"/>
        <v>6.9210000000000007E-4</v>
      </c>
      <c r="U49">
        <f t="shared" si="7"/>
        <v>7.9262685799999995</v>
      </c>
      <c r="V49">
        <f t="shared" si="8"/>
        <v>-1198.9262685799999</v>
      </c>
      <c r="W49">
        <f>W48+V49</f>
        <v>14504.520910219995</v>
      </c>
      <c r="Y49" s="25">
        <v>48</v>
      </c>
      <c r="Z49" s="12">
        <v>2095</v>
      </c>
      <c r="AA49" s="12">
        <f t="shared" si="9"/>
        <v>1</v>
      </c>
      <c r="AB49" s="12">
        <f t="shared" si="10"/>
        <v>2095</v>
      </c>
      <c r="AC49" s="12">
        <f t="shared" si="11"/>
        <v>0</v>
      </c>
      <c r="AD49" s="12">
        <f t="shared" si="12"/>
        <v>0</v>
      </c>
      <c r="AE49" s="12">
        <f t="shared" si="14"/>
        <v>1</v>
      </c>
      <c r="AF49" s="26">
        <f t="shared" si="15"/>
        <v>0</v>
      </c>
    </row>
    <row r="50" spans="1:32" x14ac:dyDescent="0.25">
      <c r="A50">
        <f t="shared" si="16"/>
        <v>13.1</v>
      </c>
      <c r="B50" s="1">
        <f t="shared" si="17"/>
        <v>44680</v>
      </c>
      <c r="C50" s="4">
        <f t="shared" si="18"/>
        <v>44686</v>
      </c>
      <c r="D50">
        <f>INDEX(Nifty!$A$1:$K$251,MATCH('Iron Condor (Hedge)'!B50,Nifty!$A$1:$A$251),Nifty!$L$253)</f>
        <v>17400</v>
      </c>
      <c r="E50" t="str">
        <f t="shared" ref="E50:F50" si="28">E46</f>
        <v>CE</v>
      </c>
      <c r="F50" t="str">
        <f t="shared" si="28"/>
        <v>SELL</v>
      </c>
      <c r="G50" s="10">
        <v>46.6</v>
      </c>
      <c r="I50" s="10">
        <v>0.1</v>
      </c>
      <c r="J50" s="10">
        <f t="shared" si="0"/>
        <v>2325</v>
      </c>
      <c r="L50" s="12">
        <f t="shared" si="13"/>
        <v>19293.999999999993</v>
      </c>
      <c r="N50">
        <v>20</v>
      </c>
      <c r="O50">
        <f t="shared" si="1"/>
        <v>40</v>
      </c>
      <c r="P50">
        <f t="shared" si="2"/>
        <v>1.165</v>
      </c>
      <c r="Q50">
        <f t="shared" si="3"/>
        <v>1.2375499999999999</v>
      </c>
      <c r="R50">
        <f t="shared" si="4"/>
        <v>7.4231793000000001</v>
      </c>
      <c r="S50">
        <f t="shared" si="5"/>
        <v>2.3350000000000003E-3</v>
      </c>
      <c r="T50">
        <f t="shared" si="6"/>
        <v>3.0000000000000001E-6</v>
      </c>
      <c r="U50">
        <f t="shared" si="7"/>
        <v>9.828067299999999</v>
      </c>
      <c r="V50">
        <f t="shared" si="8"/>
        <v>2275.1719327000001</v>
      </c>
      <c r="W50">
        <f>W49+V50</f>
        <v>16779.692842919994</v>
      </c>
      <c r="Y50" s="25">
        <v>49</v>
      </c>
      <c r="Z50" s="12">
        <v>1937.5</v>
      </c>
      <c r="AA50" s="12">
        <f t="shared" si="9"/>
        <v>1</v>
      </c>
      <c r="AB50" s="12">
        <f t="shared" si="10"/>
        <v>1937.5</v>
      </c>
      <c r="AC50" s="12">
        <f t="shared" si="11"/>
        <v>0</v>
      </c>
      <c r="AD50" s="12">
        <f t="shared" si="12"/>
        <v>0</v>
      </c>
      <c r="AE50" s="12">
        <f t="shared" si="14"/>
        <v>2</v>
      </c>
      <c r="AF50" s="26">
        <f t="shared" si="15"/>
        <v>0</v>
      </c>
    </row>
    <row r="51" spans="1:32" x14ac:dyDescent="0.25">
      <c r="A51">
        <f t="shared" si="16"/>
        <v>13.2</v>
      </c>
      <c r="B51" s="1">
        <f t="shared" si="17"/>
        <v>44680</v>
      </c>
      <c r="C51" s="4">
        <f t="shared" si="18"/>
        <v>44686</v>
      </c>
      <c r="D51">
        <f>INDEX(Nifty!$A$2:$K$252,MATCH('Iron Condor (Hedge)'!B51,Nifty!$A$2:$A$252),Nifty!$L$254)</f>
        <v>16850</v>
      </c>
      <c r="E51" t="str">
        <f t="shared" ref="E51:F51" si="29">E47</f>
        <v>PE</v>
      </c>
      <c r="F51" t="str">
        <f t="shared" si="29"/>
        <v>SELL</v>
      </c>
      <c r="G51" s="10">
        <v>67.45</v>
      </c>
      <c r="I51" s="10">
        <v>166.8</v>
      </c>
      <c r="J51" s="10">
        <f t="shared" si="0"/>
        <v>-4967.5</v>
      </c>
      <c r="L51" s="12">
        <f t="shared" si="13"/>
        <v>14326.499999999993</v>
      </c>
      <c r="N51">
        <v>20</v>
      </c>
      <c r="O51">
        <f t="shared" si="1"/>
        <v>40</v>
      </c>
      <c r="P51">
        <f t="shared" si="2"/>
        <v>1.68625</v>
      </c>
      <c r="Q51">
        <f t="shared" si="3"/>
        <v>6.2076250000000002</v>
      </c>
      <c r="R51">
        <f t="shared" si="4"/>
        <v>8.3194807500000003</v>
      </c>
      <c r="S51">
        <f t="shared" si="5"/>
        <v>1.1712500000000001E-2</v>
      </c>
      <c r="T51">
        <f t="shared" si="6"/>
        <v>5.0040000000000006E-3</v>
      </c>
      <c r="U51">
        <f t="shared" si="7"/>
        <v>16.230072250000003</v>
      </c>
      <c r="V51">
        <f t="shared" si="8"/>
        <v>-5023.7300722500004</v>
      </c>
      <c r="W51">
        <f>W50+V51</f>
        <v>11755.962770669994</v>
      </c>
      <c r="Y51" s="25">
        <v>50</v>
      </c>
      <c r="Z51" s="12">
        <v>1757.5</v>
      </c>
      <c r="AA51" s="12">
        <f t="shared" si="9"/>
        <v>1</v>
      </c>
      <c r="AB51" s="12">
        <f t="shared" si="10"/>
        <v>1757.5</v>
      </c>
      <c r="AC51" s="12">
        <f t="shared" si="11"/>
        <v>0</v>
      </c>
      <c r="AD51" s="12">
        <f t="shared" si="12"/>
        <v>0</v>
      </c>
      <c r="AE51" s="12">
        <f t="shared" si="14"/>
        <v>3</v>
      </c>
      <c r="AF51" s="26">
        <f t="shared" si="15"/>
        <v>0</v>
      </c>
    </row>
    <row r="52" spans="1:32" x14ac:dyDescent="0.25">
      <c r="A52">
        <f t="shared" si="16"/>
        <v>13.3</v>
      </c>
      <c r="B52" s="1">
        <f t="shared" si="17"/>
        <v>44680</v>
      </c>
      <c r="C52" s="4">
        <f t="shared" si="18"/>
        <v>44686</v>
      </c>
      <c r="D52">
        <f>INDEX(Nifty!$A$3:$K$253,MATCH('Iron Condor (Hedge)'!B52,Nifty!$A$3:$A$253),Nifty!$L$255)</f>
        <v>17650</v>
      </c>
      <c r="E52" t="str">
        <f t="shared" ref="E52:F52" si="30">E48</f>
        <v>CE</v>
      </c>
      <c r="F52" t="str">
        <f t="shared" si="30"/>
        <v>BUY</v>
      </c>
      <c r="G52" s="10">
        <v>14.15</v>
      </c>
      <c r="I52" s="10">
        <v>0.05</v>
      </c>
      <c r="J52" s="10">
        <f t="shared" si="0"/>
        <v>-705</v>
      </c>
      <c r="L52" s="12">
        <f t="shared" si="13"/>
        <v>13621.499999999993</v>
      </c>
      <c r="N52">
        <v>20</v>
      </c>
      <c r="O52">
        <f t="shared" si="1"/>
        <v>40</v>
      </c>
      <c r="P52">
        <f t="shared" si="2"/>
        <v>1.25E-3</v>
      </c>
      <c r="Q52">
        <f t="shared" si="3"/>
        <v>0.37629999999999997</v>
      </c>
      <c r="R52">
        <f t="shared" si="4"/>
        <v>7.2678617999999995</v>
      </c>
      <c r="S52">
        <f t="shared" si="5"/>
        <v>7.1000000000000002E-4</v>
      </c>
      <c r="T52">
        <f t="shared" si="6"/>
        <v>4.2450000000000002E-4</v>
      </c>
      <c r="U52">
        <f t="shared" si="7"/>
        <v>7.6465462999999998</v>
      </c>
      <c r="V52">
        <f t="shared" si="8"/>
        <v>-752.64654629999995</v>
      </c>
      <c r="W52">
        <f>W51+V52</f>
        <v>11003.316224369994</v>
      </c>
      <c r="Y52" s="25">
        <v>51</v>
      </c>
      <c r="Z52" s="12">
        <v>1080</v>
      </c>
      <c r="AA52" s="12">
        <f t="shared" si="9"/>
        <v>1</v>
      </c>
      <c r="AB52" s="12">
        <f t="shared" si="10"/>
        <v>1080</v>
      </c>
      <c r="AC52" s="12">
        <f t="shared" si="11"/>
        <v>0</v>
      </c>
      <c r="AD52" s="12">
        <f t="shared" si="12"/>
        <v>0</v>
      </c>
      <c r="AE52" s="12">
        <f t="shared" si="14"/>
        <v>4</v>
      </c>
      <c r="AF52" s="26">
        <f t="shared" si="15"/>
        <v>0</v>
      </c>
    </row>
    <row r="53" spans="1:32" x14ac:dyDescent="0.25">
      <c r="A53" s="6">
        <f t="shared" si="16"/>
        <v>13.4</v>
      </c>
      <c r="B53" s="7">
        <f t="shared" si="17"/>
        <v>44680</v>
      </c>
      <c r="C53" s="8">
        <f t="shared" si="18"/>
        <v>44686</v>
      </c>
      <c r="D53" s="6">
        <f>INDEX(Nifty!$A$4:$K$254,MATCH('Iron Condor (Hedge)'!B53,Nifty!$A$4:$A$254),Nifty!$L$256)</f>
        <v>16600</v>
      </c>
      <c r="E53" s="6" t="str">
        <f t="shared" ref="E53:F53" si="31">E49</f>
        <v>PE</v>
      </c>
      <c r="F53" s="6" t="str">
        <f t="shared" si="31"/>
        <v>BUY</v>
      </c>
      <c r="G53" s="6">
        <v>28.55</v>
      </c>
      <c r="H53" s="6">
        <f>G50+G51-G52-G53</f>
        <v>71.350000000000009</v>
      </c>
      <c r="I53" s="6">
        <v>0.15</v>
      </c>
      <c r="J53" s="6">
        <f t="shared" si="0"/>
        <v>-1420</v>
      </c>
      <c r="K53" s="6">
        <f>SUM(J50:J53)</f>
        <v>-4767.5</v>
      </c>
      <c r="L53" s="12">
        <f t="shared" si="13"/>
        <v>12201.499999999993</v>
      </c>
      <c r="M53">
        <f>IF(K53+M49&lt;0,K53+M49,0)</f>
        <v>-4767.5</v>
      </c>
      <c r="N53">
        <v>20</v>
      </c>
      <c r="O53">
        <f t="shared" si="1"/>
        <v>40</v>
      </c>
      <c r="P53">
        <f t="shared" si="2"/>
        <v>3.7499999999999999E-3</v>
      </c>
      <c r="Q53">
        <f t="shared" si="3"/>
        <v>0.76054999999999995</v>
      </c>
      <c r="R53">
        <f t="shared" si="4"/>
        <v>7.3371573000000003</v>
      </c>
      <c r="S53">
        <f t="shared" si="5"/>
        <v>1.4350000000000001E-3</v>
      </c>
      <c r="T53">
        <f t="shared" si="6"/>
        <v>8.5650000000000006E-4</v>
      </c>
      <c r="U53">
        <f t="shared" si="7"/>
        <v>8.1037488</v>
      </c>
      <c r="V53">
        <f t="shared" si="8"/>
        <v>-1468.1037487999999</v>
      </c>
      <c r="W53">
        <f>W52+V53</f>
        <v>9535.2124755699933</v>
      </c>
      <c r="Y53" s="27"/>
      <c r="Z53" s="21">
        <f>SUM(Z2:Z52)</f>
        <v>59107.499999999985</v>
      </c>
      <c r="AA53" s="21">
        <f>SUM(AA2:AA52)</f>
        <v>42</v>
      </c>
      <c r="AB53" s="21">
        <f>SUM(AB2:AB52)</f>
        <v>115603.5</v>
      </c>
      <c r="AC53" s="21">
        <f>SUM(AC2:AC52)</f>
        <v>9</v>
      </c>
      <c r="AD53" s="21">
        <f>SUM(AD2:AD52)</f>
        <v>-56496.000000000007</v>
      </c>
      <c r="AE53" s="21">
        <f>MAX(AE1:AE52)</f>
        <v>9</v>
      </c>
      <c r="AF53" s="21">
        <f>MAX(AF1:AF52)</f>
        <v>2</v>
      </c>
    </row>
    <row r="54" spans="1:32" x14ac:dyDescent="0.25">
      <c r="A54">
        <f t="shared" si="16"/>
        <v>14.1</v>
      </c>
      <c r="B54" s="1">
        <f t="shared" si="17"/>
        <v>44687</v>
      </c>
      <c r="C54" s="4">
        <f t="shared" si="18"/>
        <v>44693</v>
      </c>
      <c r="D54">
        <f>INDEX(Nifty!$A$1:$K$251,MATCH('Iron Condor (Hedge)'!B54,Nifty!$A$1:$A$251),Nifty!$L$253)</f>
        <v>16700</v>
      </c>
      <c r="E54" t="str">
        <f t="shared" ref="E54:F54" si="32">E50</f>
        <v>CE</v>
      </c>
      <c r="F54" t="str">
        <f t="shared" si="32"/>
        <v>SELL</v>
      </c>
      <c r="G54" s="10">
        <v>61.5</v>
      </c>
      <c r="I54" s="10">
        <v>0.05</v>
      </c>
      <c r="J54" s="10">
        <f t="shared" si="0"/>
        <v>3072.5</v>
      </c>
      <c r="L54" s="12">
        <f t="shared" si="13"/>
        <v>15273.999999999993</v>
      </c>
      <c r="N54">
        <v>20</v>
      </c>
      <c r="O54">
        <f t="shared" si="1"/>
        <v>40</v>
      </c>
      <c r="P54">
        <f t="shared" si="2"/>
        <v>1.5375000000000001</v>
      </c>
      <c r="Q54">
        <f t="shared" si="3"/>
        <v>1.6310749999999998</v>
      </c>
      <c r="R54">
        <f t="shared" si="4"/>
        <v>7.4941474500000007</v>
      </c>
      <c r="S54">
        <f t="shared" si="5"/>
        <v>3.0774999999999995E-3</v>
      </c>
      <c r="T54">
        <f t="shared" si="6"/>
        <v>1.5E-6</v>
      </c>
      <c r="U54">
        <f t="shared" si="7"/>
        <v>10.66580145</v>
      </c>
      <c r="V54">
        <f t="shared" si="8"/>
        <v>3021.8341985500001</v>
      </c>
      <c r="W54">
        <f>W53+V54</f>
        <v>12557.046674119993</v>
      </c>
    </row>
    <row r="55" spans="1:32" x14ac:dyDescent="0.25">
      <c r="A55">
        <f t="shared" si="16"/>
        <v>14.2</v>
      </c>
      <c r="B55" s="1">
        <f t="shared" si="17"/>
        <v>44687</v>
      </c>
      <c r="C55" s="4">
        <f t="shared" si="18"/>
        <v>44693</v>
      </c>
      <c r="D55">
        <f>INDEX(Nifty!$A$2:$K$252,MATCH('Iron Condor (Hedge)'!B55,Nifty!$A$2:$A$252),Nifty!$L$254)</f>
        <v>16150</v>
      </c>
      <c r="E55" t="str">
        <f t="shared" ref="E55:F55" si="33">E51</f>
        <v>PE</v>
      </c>
      <c r="F55" t="str">
        <f t="shared" si="33"/>
        <v>SELL</v>
      </c>
      <c r="G55" s="10">
        <v>88.05</v>
      </c>
      <c r="I55" s="10">
        <v>344.6</v>
      </c>
      <c r="J55" s="10">
        <f t="shared" si="0"/>
        <v>-12827.5</v>
      </c>
      <c r="L55" s="12">
        <f t="shared" si="13"/>
        <v>2446.4999999999927</v>
      </c>
      <c r="N55">
        <v>20</v>
      </c>
      <c r="O55">
        <f t="shared" si="1"/>
        <v>40</v>
      </c>
      <c r="P55">
        <f t="shared" si="2"/>
        <v>2.2012499999999999</v>
      </c>
      <c r="Q55">
        <f t="shared" si="3"/>
        <v>11.465225</v>
      </c>
      <c r="R55">
        <f t="shared" si="4"/>
        <v>9.2676343499999998</v>
      </c>
      <c r="S55">
        <f t="shared" si="5"/>
        <v>2.1632500000000002E-2</v>
      </c>
      <c r="T55">
        <f t="shared" si="6"/>
        <v>1.0338000000000002E-2</v>
      </c>
      <c r="U55">
        <f t="shared" si="7"/>
        <v>22.96607985</v>
      </c>
      <c r="V55">
        <f t="shared" si="8"/>
        <v>-12890.466079850001</v>
      </c>
      <c r="W55">
        <f>W54+V55</f>
        <v>-333.41940573000829</v>
      </c>
    </row>
    <row r="56" spans="1:32" x14ac:dyDescent="0.25">
      <c r="A56">
        <f t="shared" si="16"/>
        <v>14.3</v>
      </c>
      <c r="B56" s="1">
        <f t="shared" si="17"/>
        <v>44687</v>
      </c>
      <c r="C56" s="4">
        <f t="shared" si="18"/>
        <v>44693</v>
      </c>
      <c r="D56">
        <f>INDEX(Nifty!$A$3:$K$253,MATCH('Iron Condor (Hedge)'!B56,Nifty!$A$3:$A$253),Nifty!$L$255)</f>
        <v>16950</v>
      </c>
      <c r="E56" t="str">
        <f t="shared" ref="E56:F56" si="34">E52</f>
        <v>CE</v>
      </c>
      <c r="F56" t="str">
        <f t="shared" si="34"/>
        <v>BUY</v>
      </c>
      <c r="G56" s="10">
        <v>18.02</v>
      </c>
      <c r="I56" s="10">
        <v>0.1</v>
      </c>
      <c r="J56" s="10">
        <f t="shared" si="0"/>
        <v>-895.99999999999989</v>
      </c>
      <c r="L56" s="12">
        <f t="shared" si="13"/>
        <v>1550.4999999999927</v>
      </c>
      <c r="N56">
        <v>20</v>
      </c>
      <c r="O56">
        <f t="shared" si="1"/>
        <v>40</v>
      </c>
      <c r="P56">
        <f t="shared" si="2"/>
        <v>2.5000000000000001E-3</v>
      </c>
      <c r="Q56">
        <f t="shared" si="3"/>
        <v>0.48018</v>
      </c>
      <c r="R56">
        <f t="shared" si="4"/>
        <v>7.286595479999999</v>
      </c>
      <c r="S56">
        <f t="shared" si="5"/>
        <v>9.0600000000000001E-4</v>
      </c>
      <c r="T56">
        <f t="shared" si="6"/>
        <v>5.4060000000000002E-4</v>
      </c>
      <c r="U56">
        <f t="shared" si="7"/>
        <v>7.7707220799999988</v>
      </c>
      <c r="V56">
        <f t="shared" si="8"/>
        <v>-943.77072207999993</v>
      </c>
      <c r="W56">
        <f>W55+V56</f>
        <v>-1277.1901278100081</v>
      </c>
    </row>
    <row r="57" spans="1:32" x14ac:dyDescent="0.25">
      <c r="A57" s="6">
        <f t="shared" si="16"/>
        <v>14.4</v>
      </c>
      <c r="B57" s="7">
        <f t="shared" si="17"/>
        <v>44687</v>
      </c>
      <c r="C57" s="8">
        <f t="shared" si="18"/>
        <v>44693</v>
      </c>
      <c r="D57" s="6">
        <f>INDEX(Nifty!$A$4:$K$254,MATCH('Iron Condor (Hedge)'!B57,Nifty!$A$4:$A$254),Nifty!$L$256)</f>
        <v>15900</v>
      </c>
      <c r="E57" s="6" t="str">
        <f t="shared" ref="E57:F57" si="35">E53</f>
        <v>PE</v>
      </c>
      <c r="F57" s="6" t="str">
        <f t="shared" si="35"/>
        <v>BUY</v>
      </c>
      <c r="G57" s="6">
        <v>42.45</v>
      </c>
      <c r="H57" s="6">
        <f>G54+G55-G56-G57</f>
        <v>89.08</v>
      </c>
      <c r="I57" s="6">
        <v>94.05</v>
      </c>
      <c r="J57" s="6">
        <f t="shared" si="0"/>
        <v>2579.9999999999995</v>
      </c>
      <c r="K57" s="6">
        <f>SUM(J54:J57)</f>
        <v>-8071</v>
      </c>
      <c r="L57" s="12">
        <f t="shared" si="13"/>
        <v>4130.4999999999927</v>
      </c>
      <c r="M57">
        <f>IF(K57+M53&lt;0,K57+M53,0)</f>
        <v>-12838.5</v>
      </c>
      <c r="N57">
        <v>20</v>
      </c>
      <c r="O57">
        <f t="shared" si="1"/>
        <v>40</v>
      </c>
      <c r="P57">
        <f t="shared" si="2"/>
        <v>2.3512499999999998</v>
      </c>
      <c r="Q57">
        <f t="shared" si="3"/>
        <v>3.6172499999999999</v>
      </c>
      <c r="R57">
        <f t="shared" si="4"/>
        <v>7.8523334999999994</v>
      </c>
      <c r="S57">
        <f t="shared" si="5"/>
        <v>6.8249999999999995E-3</v>
      </c>
      <c r="T57">
        <f t="shared" si="6"/>
        <v>1.2735000000000001E-3</v>
      </c>
      <c r="U57">
        <f t="shared" si="7"/>
        <v>13.828931999999998</v>
      </c>
      <c r="V57">
        <f t="shared" si="8"/>
        <v>2526.1710679999997</v>
      </c>
      <c r="W57">
        <f>W56+V57</f>
        <v>1248.9809401899915</v>
      </c>
    </row>
    <row r="58" spans="1:32" x14ac:dyDescent="0.25">
      <c r="A58">
        <f t="shared" si="16"/>
        <v>15.1</v>
      </c>
      <c r="B58" s="1">
        <f t="shared" si="17"/>
        <v>44694</v>
      </c>
      <c r="C58" s="4">
        <f t="shared" si="18"/>
        <v>44700</v>
      </c>
      <c r="D58">
        <f>INDEX(Nifty!$A$1:$K$251,MATCH('Iron Condor (Hedge)'!B58,Nifty!$A$1:$A$251),Nifty!$L$253)</f>
        <v>16050</v>
      </c>
      <c r="E58" t="str">
        <f t="shared" ref="E58:F58" si="36">E54</f>
        <v>CE</v>
      </c>
      <c r="F58" t="str">
        <f t="shared" si="36"/>
        <v>SELL</v>
      </c>
      <c r="G58" s="10">
        <v>64.75</v>
      </c>
      <c r="I58" s="10">
        <v>0.1</v>
      </c>
      <c r="J58" s="10">
        <f t="shared" si="0"/>
        <v>3232.5000000000005</v>
      </c>
      <c r="L58" s="12">
        <f t="shared" si="13"/>
        <v>7362.9999999999927</v>
      </c>
      <c r="N58">
        <v>20</v>
      </c>
      <c r="O58">
        <f t="shared" si="1"/>
        <v>40</v>
      </c>
      <c r="P58">
        <f t="shared" si="2"/>
        <v>1.6187500000000001</v>
      </c>
      <c r="Q58">
        <f t="shared" si="3"/>
        <v>1.7185249999999996</v>
      </c>
      <c r="R58">
        <f t="shared" si="4"/>
        <v>7.5099181499999998</v>
      </c>
      <c r="S58">
        <f t="shared" si="5"/>
        <v>3.2424999999999997E-3</v>
      </c>
      <c r="T58">
        <f t="shared" si="6"/>
        <v>3.0000000000000001E-6</v>
      </c>
      <c r="U58">
        <f t="shared" si="7"/>
        <v>10.850438649999999</v>
      </c>
      <c r="V58">
        <f t="shared" si="8"/>
        <v>3181.6495613500006</v>
      </c>
      <c r="W58">
        <f>W57+V58</f>
        <v>4430.6305015399921</v>
      </c>
    </row>
    <row r="59" spans="1:32" x14ac:dyDescent="0.25">
      <c r="A59">
        <f t="shared" si="16"/>
        <v>15.2</v>
      </c>
      <c r="B59" s="1">
        <f t="shared" si="17"/>
        <v>44694</v>
      </c>
      <c r="C59" s="4">
        <f t="shared" si="18"/>
        <v>44700</v>
      </c>
      <c r="D59">
        <f>INDEX(Nifty!$A$2:$K$252,MATCH('Iron Condor (Hedge)'!B59,Nifty!$A$2:$A$252),Nifty!$L$254)</f>
        <v>15500</v>
      </c>
      <c r="E59" t="str">
        <f t="shared" ref="E59:F59" si="37">E55</f>
        <v>PE</v>
      </c>
      <c r="F59" t="str">
        <f t="shared" si="37"/>
        <v>SELL</v>
      </c>
      <c r="G59" s="10">
        <v>86.05</v>
      </c>
      <c r="I59" s="10">
        <v>0.05</v>
      </c>
      <c r="J59" s="10">
        <f t="shared" si="0"/>
        <v>4300</v>
      </c>
      <c r="L59" s="12">
        <f t="shared" si="13"/>
        <v>11662.999999999993</v>
      </c>
      <c r="N59">
        <v>20</v>
      </c>
      <c r="O59">
        <f t="shared" si="1"/>
        <v>40</v>
      </c>
      <c r="P59">
        <f t="shared" si="2"/>
        <v>2.1512500000000001</v>
      </c>
      <c r="Q59">
        <f t="shared" si="3"/>
        <v>2.28165</v>
      </c>
      <c r="R59">
        <f t="shared" si="4"/>
        <v>7.6114718999999997</v>
      </c>
      <c r="S59">
        <f t="shared" si="5"/>
        <v>4.3049999999999998E-3</v>
      </c>
      <c r="T59">
        <f t="shared" si="6"/>
        <v>1.5E-6</v>
      </c>
      <c r="U59">
        <f t="shared" si="7"/>
        <v>12.0486784</v>
      </c>
      <c r="V59">
        <f t="shared" si="8"/>
        <v>4247.9513215999996</v>
      </c>
      <c r="W59">
        <f>W58+V59</f>
        <v>8678.5818231399917</v>
      </c>
      <c r="Z59" t="s">
        <v>23</v>
      </c>
      <c r="AA59">
        <f>-MIN(M2:M205)*AE60</f>
        <v>25677</v>
      </c>
      <c r="AB59" s="18">
        <f>AA59/AA70</f>
        <v>0.25677</v>
      </c>
      <c r="AD59" t="s">
        <v>39</v>
      </c>
      <c r="AE59">
        <v>50000</v>
      </c>
    </row>
    <row r="60" spans="1:32" x14ac:dyDescent="0.25">
      <c r="A60">
        <f t="shared" si="16"/>
        <v>15.3</v>
      </c>
      <c r="B60" s="1">
        <f t="shared" si="17"/>
        <v>44694</v>
      </c>
      <c r="C60" s="4">
        <f t="shared" si="18"/>
        <v>44700</v>
      </c>
      <c r="D60">
        <f>INDEX(Nifty!$A$3:$K$253,MATCH('Iron Condor (Hedge)'!B60,Nifty!$A$3:$A$253),Nifty!$L$255)</f>
        <v>16300</v>
      </c>
      <c r="E60" t="str">
        <f t="shared" ref="E60:F60" si="38">E56</f>
        <v>CE</v>
      </c>
      <c r="F60" t="str">
        <f t="shared" si="38"/>
        <v>BUY</v>
      </c>
      <c r="G60" s="10">
        <v>21.1</v>
      </c>
      <c r="I60" s="10">
        <v>0.15</v>
      </c>
      <c r="J60" s="10">
        <f t="shared" si="0"/>
        <v>-1047.5000000000002</v>
      </c>
      <c r="L60" s="12">
        <f t="shared" si="13"/>
        <v>10615.499999999993</v>
      </c>
      <c r="N60">
        <v>20</v>
      </c>
      <c r="O60">
        <f t="shared" si="1"/>
        <v>40</v>
      </c>
      <c r="P60">
        <f t="shared" si="2"/>
        <v>3.7499999999999999E-3</v>
      </c>
      <c r="Q60">
        <f t="shared" si="3"/>
        <v>0.56312499999999999</v>
      </c>
      <c r="R60">
        <f t="shared" si="4"/>
        <v>7.3015537500000001</v>
      </c>
      <c r="S60">
        <f t="shared" si="5"/>
        <v>1.0624999999999999E-3</v>
      </c>
      <c r="T60">
        <f t="shared" si="6"/>
        <v>6.330000000000001E-4</v>
      </c>
      <c r="U60">
        <f t="shared" si="7"/>
        <v>7.870124249999999</v>
      </c>
      <c r="V60">
        <f t="shared" si="8"/>
        <v>-1095.3701242500001</v>
      </c>
      <c r="W60">
        <f>W59+V60</f>
        <v>7583.2116988899916</v>
      </c>
      <c r="Z60" t="s">
        <v>24</v>
      </c>
      <c r="AA60">
        <f>L206*AE60</f>
        <v>118215</v>
      </c>
      <c r="AB60" s="17">
        <f>AA60/AA70</f>
        <v>1.18215</v>
      </c>
      <c r="AD60" t="s">
        <v>57</v>
      </c>
      <c r="AE60">
        <v>2</v>
      </c>
    </row>
    <row r="61" spans="1:32" x14ac:dyDescent="0.25">
      <c r="A61" s="6">
        <f t="shared" si="16"/>
        <v>15.4</v>
      </c>
      <c r="B61" s="7">
        <f t="shared" si="17"/>
        <v>44694</v>
      </c>
      <c r="C61" s="8">
        <f t="shared" si="18"/>
        <v>44700</v>
      </c>
      <c r="D61" s="6">
        <f>INDEX(Nifty!$A$4:$K$254,MATCH('Iron Condor (Hedge)'!B61,Nifty!$A$4:$A$254),Nifty!$L$256)</f>
        <v>15250</v>
      </c>
      <c r="E61" s="6" t="str">
        <f t="shared" ref="E61:F61" si="39">E57</f>
        <v>PE</v>
      </c>
      <c r="F61" s="6" t="str">
        <f t="shared" si="39"/>
        <v>BUY</v>
      </c>
      <c r="G61" s="6">
        <v>39.549999999999997</v>
      </c>
      <c r="H61" s="6">
        <f>G58+G59-G60-G61</f>
        <v>90.15000000000002</v>
      </c>
      <c r="I61" s="6">
        <v>0.05</v>
      </c>
      <c r="J61" s="6">
        <f t="shared" si="0"/>
        <v>-1975</v>
      </c>
      <c r="K61" s="6">
        <f>SUM(J58:J61)</f>
        <v>4510</v>
      </c>
      <c r="L61" s="12">
        <f t="shared" si="13"/>
        <v>8640.4999999999927</v>
      </c>
      <c r="M61">
        <f>IF(K61+M57&lt;0,K61+M57,0)</f>
        <v>-8328.5</v>
      </c>
      <c r="N61">
        <v>20</v>
      </c>
      <c r="O61">
        <f t="shared" si="1"/>
        <v>40</v>
      </c>
      <c r="P61">
        <f t="shared" si="2"/>
        <v>1.25E-3</v>
      </c>
      <c r="Q61">
        <f t="shared" si="3"/>
        <v>1.0493999999999999</v>
      </c>
      <c r="R61">
        <f t="shared" si="4"/>
        <v>7.3892483999999996</v>
      </c>
      <c r="S61">
        <f t="shared" si="5"/>
        <v>1.9799999999999996E-3</v>
      </c>
      <c r="T61">
        <f t="shared" si="6"/>
        <v>1.1864999999999998E-3</v>
      </c>
      <c r="U61">
        <f t="shared" si="7"/>
        <v>8.4430648999999978</v>
      </c>
      <c r="V61">
        <f t="shared" si="8"/>
        <v>-2023.4430649000001</v>
      </c>
      <c r="W61">
        <f>W60+V61</f>
        <v>5559.7686339899919</v>
      </c>
      <c r="Z61" s="2" t="s">
        <v>25</v>
      </c>
      <c r="AA61" s="2">
        <f>AA60/AA59</f>
        <v>4.6039256922537684</v>
      </c>
    </row>
    <row r="62" spans="1:32" x14ac:dyDescent="0.25">
      <c r="A62">
        <f t="shared" si="16"/>
        <v>16.100000000000001</v>
      </c>
      <c r="B62" s="1">
        <f t="shared" si="17"/>
        <v>44701</v>
      </c>
      <c r="C62" s="4">
        <f t="shared" si="18"/>
        <v>44707</v>
      </c>
      <c r="D62">
        <f>INDEX(Nifty!$A$1:$K$251,MATCH('Iron Condor (Hedge)'!B62,Nifty!$A$1:$A$251),Nifty!$L$253)</f>
        <v>16550</v>
      </c>
      <c r="E62" t="str">
        <f t="shared" ref="E62:F62" si="40">E58</f>
        <v>CE</v>
      </c>
      <c r="F62" t="str">
        <f t="shared" si="40"/>
        <v>SELL</v>
      </c>
      <c r="G62" s="10">
        <v>57.95</v>
      </c>
      <c r="I62" s="10">
        <v>0.05</v>
      </c>
      <c r="J62" s="10">
        <f t="shared" si="0"/>
        <v>2895.0000000000005</v>
      </c>
      <c r="L62" s="12">
        <f t="shared" si="13"/>
        <v>11535.499999999993</v>
      </c>
      <c r="N62">
        <v>20</v>
      </c>
      <c r="O62">
        <f t="shared" si="1"/>
        <v>40</v>
      </c>
      <c r="P62">
        <f t="shared" si="2"/>
        <v>1.44875</v>
      </c>
      <c r="Q62">
        <f t="shared" si="3"/>
        <v>1.5369999999999999</v>
      </c>
      <c r="R62">
        <f t="shared" si="4"/>
        <v>7.4771819999999991</v>
      </c>
      <c r="S62">
        <f t="shared" si="5"/>
        <v>2.8999999999999998E-3</v>
      </c>
      <c r="T62">
        <f t="shared" si="6"/>
        <v>1.5E-6</v>
      </c>
      <c r="U62">
        <f t="shared" si="7"/>
        <v>10.465833499999999</v>
      </c>
      <c r="V62">
        <f t="shared" si="8"/>
        <v>2844.5341665000005</v>
      </c>
      <c r="W62">
        <f>W61+V62</f>
        <v>8404.3028004899934</v>
      </c>
    </row>
    <row r="63" spans="1:32" x14ac:dyDescent="0.25">
      <c r="A63">
        <f t="shared" si="16"/>
        <v>16.2</v>
      </c>
      <c r="B63" s="1">
        <f t="shared" si="17"/>
        <v>44701</v>
      </c>
      <c r="C63" s="4">
        <f t="shared" si="18"/>
        <v>44707</v>
      </c>
      <c r="D63">
        <f>INDEX(Nifty!$A$2:$K$252,MATCH('Iron Condor (Hedge)'!B63,Nifty!$A$2:$A$252),Nifty!$L$254)</f>
        <v>16000</v>
      </c>
      <c r="E63" t="str">
        <f t="shared" ref="E63:F63" si="41">E59</f>
        <v>PE</v>
      </c>
      <c r="F63" t="str">
        <f t="shared" si="41"/>
        <v>SELL</v>
      </c>
      <c r="G63" s="10">
        <v>89.4</v>
      </c>
      <c r="I63" s="10">
        <v>0.1</v>
      </c>
      <c r="J63" s="10">
        <f t="shared" si="0"/>
        <v>4465.0000000000009</v>
      </c>
      <c r="L63" s="12">
        <f t="shared" si="13"/>
        <v>16000.499999999993</v>
      </c>
      <c r="N63">
        <v>20</v>
      </c>
      <c r="O63">
        <f t="shared" si="1"/>
        <v>40</v>
      </c>
      <c r="P63">
        <f t="shared" si="2"/>
        <v>2.2349999999999999</v>
      </c>
      <c r="Q63">
        <f t="shared" si="3"/>
        <v>2.37175</v>
      </c>
      <c r="R63">
        <f t="shared" si="4"/>
        <v>7.6277204999999997</v>
      </c>
      <c r="S63">
        <f t="shared" si="5"/>
        <v>4.4749999999999998E-3</v>
      </c>
      <c r="T63">
        <f t="shared" si="6"/>
        <v>3.0000000000000001E-6</v>
      </c>
      <c r="U63">
        <f t="shared" si="7"/>
        <v>12.238948499999999</v>
      </c>
      <c r="V63">
        <f t="shared" si="8"/>
        <v>4412.7610515000006</v>
      </c>
      <c r="W63">
        <f>W62+V63</f>
        <v>12817.063851989995</v>
      </c>
      <c r="Z63" t="s">
        <v>34</v>
      </c>
      <c r="AA63">
        <f>AB53/AA53</f>
        <v>2752.4642857142858</v>
      </c>
    </row>
    <row r="64" spans="1:32" x14ac:dyDescent="0.25">
      <c r="A64">
        <f t="shared" si="16"/>
        <v>16.3</v>
      </c>
      <c r="B64" s="1">
        <f t="shared" si="17"/>
        <v>44701</v>
      </c>
      <c r="C64" s="4">
        <f t="shared" si="18"/>
        <v>44707</v>
      </c>
      <c r="D64">
        <f>INDEX(Nifty!$A$3:$K$253,MATCH('Iron Condor (Hedge)'!B64,Nifty!$A$3:$A$253),Nifty!$L$255)</f>
        <v>16800</v>
      </c>
      <c r="E64" t="str">
        <f t="shared" ref="E64:F64" si="42">E60</f>
        <v>CE</v>
      </c>
      <c r="F64" t="str">
        <f t="shared" si="42"/>
        <v>BUY</v>
      </c>
      <c r="G64" s="10">
        <v>16.399999999999999</v>
      </c>
      <c r="I64" s="10">
        <v>0.05</v>
      </c>
      <c r="J64" s="10">
        <f t="shared" si="0"/>
        <v>-817.49999999999989</v>
      </c>
      <c r="L64" s="12">
        <f t="shared" si="13"/>
        <v>15182.999999999993</v>
      </c>
      <c r="N64">
        <v>20</v>
      </c>
      <c r="O64">
        <f t="shared" si="1"/>
        <v>40</v>
      </c>
      <c r="P64">
        <f t="shared" si="2"/>
        <v>1.25E-3</v>
      </c>
      <c r="Q64">
        <f t="shared" si="3"/>
        <v>0.43592500000000001</v>
      </c>
      <c r="R64">
        <f t="shared" si="4"/>
        <v>7.2786145499999986</v>
      </c>
      <c r="S64">
        <f t="shared" si="5"/>
        <v>8.2249999999999999E-4</v>
      </c>
      <c r="T64">
        <f t="shared" si="6"/>
        <v>4.9199999999999992E-4</v>
      </c>
      <c r="U64">
        <f t="shared" si="7"/>
        <v>7.7171040499999988</v>
      </c>
      <c r="V64">
        <f t="shared" si="8"/>
        <v>-865.21710404999988</v>
      </c>
      <c r="W64">
        <f>W63+V64</f>
        <v>11951.846747939995</v>
      </c>
      <c r="Z64" t="s">
        <v>35</v>
      </c>
      <c r="AA64">
        <f>-(AD53/AC53)</f>
        <v>6277.3333333333339</v>
      </c>
    </row>
    <row r="65" spans="1:28" x14ac:dyDescent="0.25">
      <c r="A65" s="6">
        <f t="shared" si="16"/>
        <v>16.399999999999999</v>
      </c>
      <c r="B65" s="7">
        <f t="shared" si="17"/>
        <v>44701</v>
      </c>
      <c r="C65" s="8">
        <f t="shared" si="18"/>
        <v>44707</v>
      </c>
      <c r="D65" s="6">
        <f>INDEX(Nifty!$A$4:$K$254,MATCH('Iron Condor (Hedge)'!B65,Nifty!$A$4:$A$254),Nifty!$L$256)</f>
        <v>15750</v>
      </c>
      <c r="E65" s="6" t="str">
        <f t="shared" ref="E65:F65" si="43">E61</f>
        <v>PE</v>
      </c>
      <c r="F65" s="6" t="str">
        <f t="shared" si="43"/>
        <v>BUY</v>
      </c>
      <c r="G65" s="6">
        <v>44.35</v>
      </c>
      <c r="H65" s="6">
        <f>G62+G63-G64-G65</f>
        <v>86.600000000000023</v>
      </c>
      <c r="I65" s="6">
        <v>0.1</v>
      </c>
      <c r="J65" s="6">
        <f t="shared" si="0"/>
        <v>-2212.5</v>
      </c>
      <c r="K65" s="6">
        <f>SUM(J62:J65)</f>
        <v>4330.0000000000018</v>
      </c>
      <c r="L65" s="12">
        <f t="shared" si="13"/>
        <v>12970.499999999993</v>
      </c>
      <c r="M65">
        <f>IF(K65+M61&lt;0,K65+M61,0)</f>
        <v>-3998.4999999999982</v>
      </c>
      <c r="N65">
        <v>20</v>
      </c>
      <c r="O65">
        <f t="shared" si="1"/>
        <v>40</v>
      </c>
      <c r="P65">
        <f t="shared" si="2"/>
        <v>2.5000000000000001E-3</v>
      </c>
      <c r="Q65">
        <f t="shared" si="3"/>
        <v>1.1779249999999999</v>
      </c>
      <c r="R65">
        <f t="shared" si="4"/>
        <v>7.4124265500000002</v>
      </c>
      <c r="S65">
        <f t="shared" si="5"/>
        <v>2.2225000000000001E-3</v>
      </c>
      <c r="T65">
        <f t="shared" si="6"/>
        <v>1.3305000000000001E-3</v>
      </c>
      <c r="U65">
        <f t="shared" si="7"/>
        <v>8.5964045500000008</v>
      </c>
      <c r="V65">
        <f t="shared" si="8"/>
        <v>-2261.09640455</v>
      </c>
      <c r="W65">
        <f>W64+V65</f>
        <v>9690.7503433899947</v>
      </c>
      <c r="Z65" t="s">
        <v>36</v>
      </c>
      <c r="AA65">
        <f>AA63/AA64</f>
        <v>0.43847668102925108</v>
      </c>
    </row>
    <row r="66" spans="1:28" x14ac:dyDescent="0.25">
      <c r="A66">
        <f t="shared" si="16"/>
        <v>17.100000000000001</v>
      </c>
      <c r="B66" s="1">
        <f t="shared" si="17"/>
        <v>44708</v>
      </c>
      <c r="C66" s="4">
        <f t="shared" si="18"/>
        <v>44714</v>
      </c>
      <c r="D66">
        <f>INDEX(Nifty!$A$1:$K$251,MATCH('Iron Condor (Hedge)'!B66,Nifty!$A$1:$A$251),Nifty!$L$253)</f>
        <v>16650</v>
      </c>
      <c r="E66" t="str">
        <f t="shared" ref="E66:F66" si="44">E62</f>
        <v>CE</v>
      </c>
      <c r="F66" t="str">
        <f t="shared" si="44"/>
        <v>SELL</v>
      </c>
      <c r="G66" s="10">
        <v>42.55</v>
      </c>
      <c r="I66" s="10">
        <v>0.75</v>
      </c>
      <c r="J66" s="10">
        <f t="shared" si="0"/>
        <v>2090</v>
      </c>
      <c r="L66" s="12">
        <f t="shared" si="13"/>
        <v>15060.499999999993</v>
      </c>
      <c r="N66">
        <v>20</v>
      </c>
      <c r="O66">
        <f t="shared" si="1"/>
        <v>40</v>
      </c>
      <c r="P66">
        <f t="shared" si="2"/>
        <v>1.06375</v>
      </c>
      <c r="Q66">
        <f t="shared" si="3"/>
        <v>1.1474499999999999</v>
      </c>
      <c r="R66">
        <f t="shared" si="4"/>
        <v>7.4069306999999993</v>
      </c>
      <c r="S66">
        <f t="shared" si="5"/>
        <v>2.1649999999999998E-3</v>
      </c>
      <c r="T66">
        <f t="shared" si="6"/>
        <v>2.2500000000000001E-5</v>
      </c>
      <c r="U66">
        <f t="shared" si="7"/>
        <v>9.620318199999998</v>
      </c>
      <c r="V66">
        <f t="shared" si="8"/>
        <v>2040.3796818000001</v>
      </c>
      <c r="W66">
        <f>W65+V66</f>
        <v>11731.130025189996</v>
      </c>
    </row>
    <row r="67" spans="1:28" x14ac:dyDescent="0.25">
      <c r="A67">
        <f t="shared" si="16"/>
        <v>17.2</v>
      </c>
      <c r="B67" s="1">
        <f t="shared" si="17"/>
        <v>44708</v>
      </c>
      <c r="C67" s="4">
        <f t="shared" si="18"/>
        <v>44714</v>
      </c>
      <c r="D67">
        <f>INDEX(Nifty!$A$2:$K$252,MATCH('Iron Condor (Hedge)'!B67,Nifty!$A$2:$A$252),Nifty!$L$254)</f>
        <v>16100</v>
      </c>
      <c r="E67" t="str">
        <f t="shared" ref="E67:F67" si="45">E63</f>
        <v>PE</v>
      </c>
      <c r="F67" t="str">
        <f t="shared" si="45"/>
        <v>SELL</v>
      </c>
      <c r="G67" s="10">
        <v>85.55</v>
      </c>
      <c r="I67" s="10">
        <v>0.1</v>
      </c>
      <c r="J67" s="10">
        <f t="shared" si="0"/>
        <v>4272.5</v>
      </c>
      <c r="L67" s="12">
        <f t="shared" si="13"/>
        <v>19332.999999999993</v>
      </c>
      <c r="N67">
        <v>20</v>
      </c>
      <c r="O67">
        <f t="shared" ref="O67:O130" si="46">N67*2</f>
        <v>40</v>
      </c>
      <c r="P67">
        <f t="shared" ref="P67:P130" si="47">IF(F67="SELL",G67*50*0.05%,I67*50*0.05%)</f>
        <v>2.1387499999999999</v>
      </c>
      <c r="Q67">
        <f t="shared" ref="Q67:Q130" si="48">(G67+I67)*50*0.053%</f>
        <v>2.2697249999999998</v>
      </c>
      <c r="R67">
        <f t="shared" ref="R67:R130" si="49">(O67+S67+Q67)*18%</f>
        <v>7.6093213500000001</v>
      </c>
      <c r="S67">
        <f t="shared" ref="S67:S130" si="50">(10/10000000)*(G67+I67)*50</f>
        <v>4.282499999999999E-3</v>
      </c>
      <c r="T67">
        <f t="shared" ref="T67:T130" si="51">IF(F67="SELL",I67*0.003%,G67*0.003%)</f>
        <v>3.0000000000000001E-6</v>
      </c>
      <c r="U67">
        <f t="shared" ref="U67:U130" si="52">SUM(P67:T67)</f>
        <v>12.022081849999999</v>
      </c>
      <c r="V67">
        <f t="shared" ref="V67:V130" si="53">J67-O67-U67</f>
        <v>4220.4779181499998</v>
      </c>
      <c r="W67">
        <f>W66+V67</f>
        <v>15951.607943339995</v>
      </c>
      <c r="Z67" t="s">
        <v>37</v>
      </c>
      <c r="AA67">
        <f>Y52*4*2</f>
        <v>408</v>
      </c>
    </row>
    <row r="68" spans="1:28" x14ac:dyDescent="0.25">
      <c r="A68">
        <f t="shared" si="16"/>
        <v>17.3</v>
      </c>
      <c r="B68" s="1">
        <f t="shared" si="17"/>
        <v>44708</v>
      </c>
      <c r="C68" s="4">
        <f t="shared" si="18"/>
        <v>44714</v>
      </c>
      <c r="D68">
        <f>INDEX(Nifty!$A$3:$K$253,MATCH('Iron Condor (Hedge)'!B68,Nifty!$A$3:$A$253),Nifty!$L$255)</f>
        <v>16900</v>
      </c>
      <c r="E68" t="str">
        <f t="shared" ref="E68:F68" si="54">E64</f>
        <v>CE</v>
      </c>
      <c r="F68" t="str">
        <f t="shared" si="54"/>
        <v>BUY</v>
      </c>
      <c r="G68" s="10">
        <v>9.6999999999999993</v>
      </c>
      <c r="I68" s="10">
        <v>0.05</v>
      </c>
      <c r="J68" s="10">
        <f t="shared" si="0"/>
        <v>-482.49999999999994</v>
      </c>
      <c r="L68" s="12">
        <f t="shared" ref="L68:L131" si="55">J68+L67</f>
        <v>18850.499999999993</v>
      </c>
      <c r="N68">
        <v>20</v>
      </c>
      <c r="O68">
        <f t="shared" si="46"/>
        <v>40</v>
      </c>
      <c r="P68">
        <f t="shared" si="47"/>
        <v>1.25E-3</v>
      </c>
      <c r="Q68">
        <f t="shared" si="48"/>
        <v>0.25837499999999997</v>
      </c>
      <c r="R68">
        <f t="shared" si="49"/>
        <v>7.2465952499999995</v>
      </c>
      <c r="S68">
        <f t="shared" si="50"/>
        <v>4.8749999999999998E-4</v>
      </c>
      <c r="T68">
        <f t="shared" si="51"/>
        <v>2.9099999999999997E-4</v>
      </c>
      <c r="U68">
        <f t="shared" si="52"/>
        <v>7.5069987499999993</v>
      </c>
      <c r="V68">
        <f t="shared" si="53"/>
        <v>-530.00699874999998</v>
      </c>
      <c r="W68">
        <f>W67+V68</f>
        <v>15421.600944589996</v>
      </c>
    </row>
    <row r="69" spans="1:28" x14ac:dyDescent="0.25">
      <c r="A69" s="6">
        <f t="shared" si="16"/>
        <v>17.399999999999999</v>
      </c>
      <c r="B69" s="7">
        <f t="shared" si="17"/>
        <v>44708</v>
      </c>
      <c r="C69" s="8">
        <f t="shared" si="18"/>
        <v>44714</v>
      </c>
      <c r="D69" s="6">
        <f>INDEX(Nifty!$A$4:$K$254,MATCH('Iron Condor (Hedge)'!B69,Nifty!$A$4:$A$254),Nifty!$L$256)</f>
        <v>15850</v>
      </c>
      <c r="E69" s="6" t="str">
        <f t="shared" ref="E69:F69" si="56">E65</f>
        <v>PE</v>
      </c>
      <c r="F69" s="6" t="str">
        <f t="shared" si="56"/>
        <v>BUY</v>
      </c>
      <c r="G69" s="6">
        <v>37.35</v>
      </c>
      <c r="H69" s="6">
        <f>G66+G67-G68-G69</f>
        <v>81.049999999999983</v>
      </c>
      <c r="I69" s="6">
        <v>0.05</v>
      </c>
      <c r="J69" s="6">
        <f t="shared" si="0"/>
        <v>-1865.0000000000002</v>
      </c>
      <c r="K69" s="6">
        <f>SUM(J66:J69)</f>
        <v>4015</v>
      </c>
      <c r="L69" s="12">
        <f t="shared" si="55"/>
        <v>16985.499999999993</v>
      </c>
      <c r="M69">
        <f>IF(K69+M65&lt;0,K69+M65,0)</f>
        <v>0</v>
      </c>
      <c r="N69">
        <v>20</v>
      </c>
      <c r="O69">
        <f t="shared" si="46"/>
        <v>40</v>
      </c>
      <c r="P69">
        <f t="shared" si="47"/>
        <v>1.25E-3</v>
      </c>
      <c r="Q69">
        <f t="shared" si="48"/>
        <v>0.99109999999999998</v>
      </c>
      <c r="R69">
        <f t="shared" si="49"/>
        <v>7.3787345999999996</v>
      </c>
      <c r="S69">
        <f t="shared" si="50"/>
        <v>1.8699999999999997E-3</v>
      </c>
      <c r="T69">
        <f t="shared" si="51"/>
        <v>1.1205E-3</v>
      </c>
      <c r="U69">
        <f t="shared" si="52"/>
        <v>8.3740751000000007</v>
      </c>
      <c r="V69">
        <f t="shared" si="53"/>
        <v>-1913.3740751000003</v>
      </c>
      <c r="W69">
        <f>W68+V69</f>
        <v>13508.226869489996</v>
      </c>
      <c r="Z69" t="s">
        <v>38</v>
      </c>
      <c r="AA69">
        <f>AA67*20</f>
        <v>8160</v>
      </c>
    </row>
    <row r="70" spans="1:28" x14ac:dyDescent="0.25">
      <c r="A70">
        <f t="shared" si="16"/>
        <v>18.100000000000001</v>
      </c>
      <c r="B70" s="1">
        <f t="shared" si="17"/>
        <v>44715</v>
      </c>
      <c r="C70" s="4">
        <f t="shared" si="18"/>
        <v>44721</v>
      </c>
      <c r="D70">
        <f>INDEX(Nifty!$A$1:$K$251,MATCH('Iron Condor (Hedge)'!B70,Nifty!$A$1:$A$251),Nifty!$L$253)</f>
        <v>16850</v>
      </c>
      <c r="E70" t="str">
        <f t="shared" ref="E70:F70" si="57">E66</f>
        <v>CE</v>
      </c>
      <c r="F70" t="str">
        <f t="shared" si="57"/>
        <v>SELL</v>
      </c>
      <c r="G70" s="10">
        <v>58.95</v>
      </c>
      <c r="I70" s="10">
        <v>0.1</v>
      </c>
      <c r="J70" s="10">
        <f t="shared" si="0"/>
        <v>2942.5</v>
      </c>
      <c r="L70" s="12">
        <f t="shared" si="55"/>
        <v>19927.999999999993</v>
      </c>
      <c r="N70">
        <v>20</v>
      </c>
      <c r="O70">
        <f t="shared" si="46"/>
        <v>40</v>
      </c>
      <c r="P70">
        <f t="shared" si="47"/>
        <v>1.4737500000000001</v>
      </c>
      <c r="Q70">
        <f t="shared" si="48"/>
        <v>1.5648249999999999</v>
      </c>
      <c r="R70">
        <f t="shared" si="49"/>
        <v>7.4821999499999992</v>
      </c>
      <c r="S70">
        <f t="shared" si="50"/>
        <v>2.9524999999999998E-3</v>
      </c>
      <c r="T70">
        <f t="shared" si="51"/>
        <v>3.0000000000000001E-6</v>
      </c>
      <c r="U70">
        <f t="shared" si="52"/>
        <v>10.523730449999999</v>
      </c>
      <c r="V70">
        <f t="shared" si="53"/>
        <v>2891.9762695499999</v>
      </c>
      <c r="W70">
        <f>W69+V70</f>
        <v>16400.203139039997</v>
      </c>
      <c r="Z70" s="2" t="s">
        <v>39</v>
      </c>
      <c r="AA70" s="2">
        <f>AE59*AE60</f>
        <v>100000</v>
      </c>
    </row>
    <row r="71" spans="1:28" x14ac:dyDescent="0.25">
      <c r="A71">
        <f t="shared" ref="A71:A134" si="58">A67+1</f>
        <v>18.2</v>
      </c>
      <c r="B71" s="1">
        <f t="shared" ref="B71:C86" si="59">B67+7</f>
        <v>44715</v>
      </c>
      <c r="C71" s="4">
        <f t="shared" si="59"/>
        <v>44721</v>
      </c>
      <c r="D71">
        <f>INDEX(Nifty!$A$2:$K$252,MATCH('Iron Condor (Hedge)'!B71,Nifty!$A$2:$A$252),Nifty!$L$254)</f>
        <v>16300</v>
      </c>
      <c r="E71" t="str">
        <f t="shared" ref="E71:F71" si="60">E67</f>
        <v>PE</v>
      </c>
      <c r="F71" t="str">
        <f t="shared" si="60"/>
        <v>SELL</v>
      </c>
      <c r="G71" s="10">
        <v>54.5</v>
      </c>
      <c r="I71" s="10">
        <v>0.15</v>
      </c>
      <c r="J71" s="10">
        <f t="shared" si="0"/>
        <v>2717.5</v>
      </c>
      <c r="L71" s="12">
        <f t="shared" si="55"/>
        <v>22645.499999999993</v>
      </c>
      <c r="N71">
        <v>20</v>
      </c>
      <c r="O71">
        <f t="shared" si="46"/>
        <v>40</v>
      </c>
      <c r="P71">
        <f t="shared" si="47"/>
        <v>1.3625</v>
      </c>
      <c r="Q71">
        <f t="shared" si="48"/>
        <v>1.4482249999999999</v>
      </c>
      <c r="R71">
        <f t="shared" si="49"/>
        <v>7.46117235</v>
      </c>
      <c r="S71">
        <f t="shared" si="50"/>
        <v>2.7324999999999997E-3</v>
      </c>
      <c r="T71">
        <f t="shared" si="51"/>
        <v>4.5000000000000001E-6</v>
      </c>
      <c r="U71">
        <f t="shared" si="52"/>
        <v>10.274634349999999</v>
      </c>
      <c r="V71">
        <f t="shared" si="53"/>
        <v>2667.2253656500002</v>
      </c>
      <c r="W71">
        <f>W70+V71</f>
        <v>19067.428504689997</v>
      </c>
      <c r="Z71" t="s">
        <v>40</v>
      </c>
      <c r="AA71" s="18">
        <f>AA69/AA70</f>
        <v>8.1600000000000006E-2</v>
      </c>
    </row>
    <row r="72" spans="1:28" x14ac:dyDescent="0.25">
      <c r="A72">
        <f t="shared" si="58"/>
        <v>18.3</v>
      </c>
      <c r="B72" s="1">
        <f t="shared" si="59"/>
        <v>44715</v>
      </c>
      <c r="C72" s="4">
        <f t="shared" si="59"/>
        <v>44721</v>
      </c>
      <c r="D72">
        <f>INDEX(Nifty!$A$3:$K$253,MATCH('Iron Condor (Hedge)'!B72,Nifty!$A$3:$A$253),Nifty!$L$255)</f>
        <v>17100</v>
      </c>
      <c r="E72" t="str">
        <f t="shared" ref="E72:F72" si="61">E68</f>
        <v>CE</v>
      </c>
      <c r="F72" t="str">
        <f t="shared" si="61"/>
        <v>BUY</v>
      </c>
      <c r="G72" s="10">
        <v>15.95</v>
      </c>
      <c r="I72" s="10">
        <v>0.1</v>
      </c>
      <c r="J72" s="10">
        <f t="shared" si="0"/>
        <v>-792.5</v>
      </c>
      <c r="L72" s="12">
        <f t="shared" si="55"/>
        <v>21852.999999999993</v>
      </c>
      <c r="N72">
        <v>20</v>
      </c>
      <c r="O72">
        <f t="shared" si="46"/>
        <v>40</v>
      </c>
      <c r="P72">
        <f t="shared" si="47"/>
        <v>2.5000000000000001E-3</v>
      </c>
      <c r="Q72">
        <f t="shared" si="48"/>
        <v>0.42532500000000001</v>
      </c>
      <c r="R72">
        <f t="shared" si="49"/>
        <v>7.2767029499999998</v>
      </c>
      <c r="S72">
        <f t="shared" si="50"/>
        <v>8.0250000000000004E-4</v>
      </c>
      <c r="T72">
        <f t="shared" si="51"/>
        <v>4.7849999999999998E-4</v>
      </c>
      <c r="U72">
        <f t="shared" si="52"/>
        <v>7.7058089499999998</v>
      </c>
      <c r="V72">
        <f t="shared" si="53"/>
        <v>-840.20580895000001</v>
      </c>
      <c r="W72">
        <f>W71+V72</f>
        <v>18227.222695739998</v>
      </c>
    </row>
    <row r="73" spans="1:28" x14ac:dyDescent="0.25">
      <c r="A73" s="6">
        <f t="shared" si="58"/>
        <v>18.399999999999999</v>
      </c>
      <c r="B73" s="7">
        <f t="shared" si="59"/>
        <v>44715</v>
      </c>
      <c r="C73" s="8">
        <f t="shared" si="59"/>
        <v>44721</v>
      </c>
      <c r="D73" s="6">
        <f>INDEX(Nifty!$A$4:$K$254,MATCH('Iron Condor (Hedge)'!B73,Nifty!$A$4:$A$254),Nifty!$L$256)</f>
        <v>16050</v>
      </c>
      <c r="E73" s="6" t="str">
        <f t="shared" ref="E73:F73" si="62">E69</f>
        <v>PE</v>
      </c>
      <c r="F73" s="6" t="str">
        <f t="shared" si="62"/>
        <v>BUY</v>
      </c>
      <c r="G73" s="6">
        <v>20.6</v>
      </c>
      <c r="H73" s="6">
        <f>G70+G71-G72-G73</f>
        <v>76.900000000000006</v>
      </c>
      <c r="I73" s="6">
        <v>0.15</v>
      </c>
      <c r="J73" s="6">
        <f t="shared" si="0"/>
        <v>-1022.5000000000001</v>
      </c>
      <c r="K73" s="6">
        <f>SUM(J70:J73)</f>
        <v>3845</v>
      </c>
      <c r="L73" s="12">
        <f t="shared" si="55"/>
        <v>20830.499999999993</v>
      </c>
      <c r="M73">
        <f>IF(K73+M69&lt;0,K73+M69,0)</f>
        <v>0</v>
      </c>
      <c r="N73">
        <v>20</v>
      </c>
      <c r="O73">
        <f t="shared" si="46"/>
        <v>40</v>
      </c>
      <c r="P73">
        <f t="shared" si="47"/>
        <v>3.7499999999999999E-3</v>
      </c>
      <c r="Q73">
        <f t="shared" si="48"/>
        <v>0.549875</v>
      </c>
      <c r="R73">
        <f t="shared" si="49"/>
        <v>7.2991642500000005</v>
      </c>
      <c r="S73">
        <f t="shared" si="50"/>
        <v>1.0375E-3</v>
      </c>
      <c r="T73">
        <f t="shared" si="51"/>
        <v>6.1800000000000006E-4</v>
      </c>
      <c r="U73">
        <f t="shared" si="52"/>
        <v>7.8544447500000008</v>
      </c>
      <c r="V73">
        <f t="shared" si="53"/>
        <v>-1070.3544447500001</v>
      </c>
      <c r="W73">
        <f>W72+V73</f>
        <v>17156.868250989999</v>
      </c>
      <c r="Z73" t="s">
        <v>41</v>
      </c>
      <c r="AA73" s="19">
        <v>0.05</v>
      </c>
    </row>
    <row r="74" spans="1:28" x14ac:dyDescent="0.25">
      <c r="A74">
        <f t="shared" si="58"/>
        <v>19.100000000000001</v>
      </c>
      <c r="B74" s="1">
        <f t="shared" si="59"/>
        <v>44722</v>
      </c>
      <c r="C74" s="4">
        <f t="shared" si="59"/>
        <v>44728</v>
      </c>
      <c r="D74">
        <f>INDEX(Nifty!$A$1:$K$251,MATCH('Iron Condor (Hedge)'!B74,Nifty!$A$1:$A$251),Nifty!$L$253)</f>
        <v>16500</v>
      </c>
      <c r="E74" t="str">
        <f t="shared" ref="E74:F74" si="63">E70</f>
        <v>CE</v>
      </c>
      <c r="F74" t="str">
        <f t="shared" si="63"/>
        <v>SELL</v>
      </c>
      <c r="G74" s="10">
        <v>50.8</v>
      </c>
      <c r="I74" s="10">
        <v>0.1</v>
      </c>
      <c r="J74" s="10">
        <f t="shared" si="0"/>
        <v>2535</v>
      </c>
      <c r="L74" s="12">
        <f t="shared" si="55"/>
        <v>23365.499999999993</v>
      </c>
      <c r="N74">
        <v>20</v>
      </c>
      <c r="O74">
        <f t="shared" si="46"/>
        <v>40</v>
      </c>
      <c r="P74">
        <f t="shared" si="47"/>
        <v>1.27</v>
      </c>
      <c r="Q74">
        <f t="shared" si="48"/>
        <v>1.3488499999999999</v>
      </c>
      <c r="R74">
        <f t="shared" si="49"/>
        <v>7.4432510999999995</v>
      </c>
      <c r="S74">
        <f t="shared" si="50"/>
        <v>2.545E-3</v>
      </c>
      <c r="T74">
        <f t="shared" si="51"/>
        <v>3.0000000000000001E-6</v>
      </c>
      <c r="U74">
        <f t="shared" si="52"/>
        <v>10.064649099999999</v>
      </c>
      <c r="V74">
        <f t="shared" si="53"/>
        <v>2484.9353508999998</v>
      </c>
      <c r="W74">
        <f>W73+V74</f>
        <v>19641.803601889998</v>
      </c>
      <c r="Z74" t="s">
        <v>42</v>
      </c>
      <c r="AA74">
        <f>AA70</f>
        <v>100000</v>
      </c>
    </row>
    <row r="75" spans="1:28" x14ac:dyDescent="0.25">
      <c r="A75">
        <f t="shared" si="58"/>
        <v>19.2</v>
      </c>
      <c r="B75" s="1">
        <f t="shared" si="59"/>
        <v>44722</v>
      </c>
      <c r="C75" s="4">
        <f t="shared" si="59"/>
        <v>44728</v>
      </c>
      <c r="D75">
        <f>INDEX(Nifty!$A$2:$K$252,MATCH('Iron Condor (Hedge)'!B75,Nifty!$A$2:$A$252),Nifty!$L$254)</f>
        <v>15950</v>
      </c>
      <c r="E75" t="str">
        <f t="shared" ref="E75:F75" si="64">E71</f>
        <v>PE</v>
      </c>
      <c r="F75" t="str">
        <f t="shared" si="64"/>
        <v>SELL</v>
      </c>
      <c r="G75" s="10">
        <v>55.65</v>
      </c>
      <c r="I75" s="10">
        <v>581.95000000000005</v>
      </c>
      <c r="J75" s="10">
        <f t="shared" si="0"/>
        <v>-26315.000000000004</v>
      </c>
      <c r="L75" s="12">
        <f t="shared" si="55"/>
        <v>-2949.5000000000109</v>
      </c>
      <c r="N75">
        <v>20</v>
      </c>
      <c r="O75">
        <f t="shared" si="46"/>
        <v>40</v>
      </c>
      <c r="P75">
        <f t="shared" si="47"/>
        <v>1.3912500000000001</v>
      </c>
      <c r="Q75">
        <f t="shared" si="48"/>
        <v>16.8964</v>
      </c>
      <c r="R75">
        <f t="shared" si="49"/>
        <v>10.247090399999999</v>
      </c>
      <c r="S75">
        <f t="shared" si="50"/>
        <v>3.1879999999999999E-2</v>
      </c>
      <c r="T75">
        <f t="shared" si="51"/>
        <v>1.7458500000000002E-2</v>
      </c>
      <c r="U75">
        <f t="shared" si="52"/>
        <v>28.584078899999998</v>
      </c>
      <c r="V75">
        <f t="shared" si="53"/>
        <v>-26383.584078900003</v>
      </c>
      <c r="W75">
        <f>W74+V75</f>
        <v>-6741.7804770100047</v>
      </c>
      <c r="Z75" t="s">
        <v>43</v>
      </c>
      <c r="AA75">
        <f>AA74*AA73</f>
        <v>5000</v>
      </c>
    </row>
    <row r="76" spans="1:28" x14ac:dyDescent="0.25">
      <c r="A76">
        <f t="shared" si="58"/>
        <v>19.3</v>
      </c>
      <c r="B76" s="1">
        <f t="shared" si="59"/>
        <v>44722</v>
      </c>
      <c r="C76" s="4">
        <f t="shared" si="59"/>
        <v>44728</v>
      </c>
      <c r="D76">
        <f>INDEX(Nifty!$A$3:$K$253,MATCH('Iron Condor (Hedge)'!B76,Nifty!$A$3:$A$253),Nifty!$L$255)</f>
        <v>16750</v>
      </c>
      <c r="E76" t="str">
        <f t="shared" ref="E76:F76" si="65">E72</f>
        <v>CE</v>
      </c>
      <c r="F76" t="str">
        <f t="shared" si="65"/>
        <v>BUY</v>
      </c>
      <c r="G76" s="10">
        <v>13.45</v>
      </c>
      <c r="I76" s="10">
        <v>0.05</v>
      </c>
      <c r="J76" s="10">
        <f t="shared" si="0"/>
        <v>-669.99999999999989</v>
      </c>
      <c r="L76" s="12">
        <f t="shared" si="55"/>
        <v>-3619.5000000000109</v>
      </c>
      <c r="N76">
        <v>20</v>
      </c>
      <c r="O76">
        <f t="shared" si="46"/>
        <v>40</v>
      </c>
      <c r="P76">
        <f t="shared" si="47"/>
        <v>1.25E-3</v>
      </c>
      <c r="Q76">
        <f t="shared" si="48"/>
        <v>0.35775000000000001</v>
      </c>
      <c r="R76">
        <f t="shared" si="49"/>
        <v>7.2645165</v>
      </c>
      <c r="S76">
        <f t="shared" si="50"/>
        <v>6.7499999999999993E-4</v>
      </c>
      <c r="T76">
        <f t="shared" si="51"/>
        <v>4.035E-4</v>
      </c>
      <c r="U76">
        <f t="shared" si="52"/>
        <v>7.6245950000000002</v>
      </c>
      <c r="V76">
        <f t="shared" si="53"/>
        <v>-717.62459499999989</v>
      </c>
      <c r="W76">
        <f>W75+V76</f>
        <v>-7459.4050720100049</v>
      </c>
    </row>
    <row r="77" spans="1:28" x14ac:dyDescent="0.25">
      <c r="A77" s="6">
        <f t="shared" si="58"/>
        <v>19.399999999999999</v>
      </c>
      <c r="B77" s="7">
        <f t="shared" si="59"/>
        <v>44722</v>
      </c>
      <c r="C77" s="8">
        <f t="shared" si="59"/>
        <v>44728</v>
      </c>
      <c r="D77" s="6">
        <f>INDEX(Nifty!$A$4:$K$254,MATCH('Iron Condor (Hedge)'!B77,Nifty!$A$4:$A$254),Nifty!$L$256)</f>
        <v>15700</v>
      </c>
      <c r="E77" s="6" t="str">
        <f t="shared" ref="E77:F77" si="66">E73</f>
        <v>PE</v>
      </c>
      <c r="F77" s="6" t="str">
        <f t="shared" si="66"/>
        <v>BUY</v>
      </c>
      <c r="G77" s="6">
        <v>19.600000000000001</v>
      </c>
      <c r="H77" s="6">
        <f>G74+G75-G76-G77</f>
        <v>73.399999999999977</v>
      </c>
      <c r="I77" s="6">
        <v>335</v>
      </c>
      <c r="J77" s="6">
        <f t="shared" si="0"/>
        <v>15769.999999999998</v>
      </c>
      <c r="K77" s="6">
        <f>SUM(J74:J77)</f>
        <v>-8680.0000000000055</v>
      </c>
      <c r="L77" s="12">
        <f t="shared" si="55"/>
        <v>12150.499999999987</v>
      </c>
      <c r="M77">
        <f>IF(K77+M73&lt;0,K77+M73,0)</f>
        <v>-8680.0000000000055</v>
      </c>
      <c r="N77">
        <v>20</v>
      </c>
      <c r="O77">
        <f t="shared" si="46"/>
        <v>40</v>
      </c>
      <c r="P77">
        <f t="shared" si="47"/>
        <v>8.375</v>
      </c>
      <c r="Q77">
        <f t="shared" si="48"/>
        <v>9.3969000000000005</v>
      </c>
      <c r="R77">
        <f t="shared" si="49"/>
        <v>8.8946334</v>
      </c>
      <c r="S77">
        <f t="shared" si="50"/>
        <v>1.7729999999999999E-2</v>
      </c>
      <c r="T77">
        <f t="shared" si="51"/>
        <v>5.8800000000000009E-4</v>
      </c>
      <c r="U77">
        <f t="shared" si="52"/>
        <v>26.684851400000003</v>
      </c>
      <c r="V77">
        <f t="shared" si="53"/>
        <v>15703.315148599999</v>
      </c>
      <c r="W77">
        <f>W76+V77</f>
        <v>8243.910076589993</v>
      </c>
      <c r="Z77" t="s">
        <v>44</v>
      </c>
      <c r="AA77">
        <f>U206</f>
        <v>1986.9158844699996</v>
      </c>
      <c r="AB77">
        <f>AA77*2</f>
        <v>3973.8317689399992</v>
      </c>
    </row>
    <row r="78" spans="1:28" x14ac:dyDescent="0.25">
      <c r="A78">
        <f t="shared" si="58"/>
        <v>20.100000000000001</v>
      </c>
      <c r="B78" s="1">
        <f t="shared" si="59"/>
        <v>44729</v>
      </c>
      <c r="C78" s="4">
        <f t="shared" si="59"/>
        <v>44735</v>
      </c>
      <c r="D78">
        <f>INDEX(Nifty!$A$1:$K$251,MATCH('Iron Condor (Hedge)'!B78,Nifty!$A$1:$A$251),Nifty!$L$253)</f>
        <v>15550</v>
      </c>
      <c r="E78" t="str">
        <f t="shared" ref="E78:F78" si="67">E74</f>
        <v>CE</v>
      </c>
      <c r="F78" t="str">
        <f t="shared" si="67"/>
        <v>SELL</v>
      </c>
      <c r="G78" s="10">
        <v>75.05</v>
      </c>
      <c r="I78" s="10">
        <v>10.15</v>
      </c>
      <c r="J78" s="10">
        <f t="shared" si="0"/>
        <v>3244.9999999999995</v>
      </c>
      <c r="L78" s="12">
        <f t="shared" si="55"/>
        <v>15395.499999999987</v>
      </c>
      <c r="N78">
        <v>20</v>
      </c>
      <c r="O78">
        <f t="shared" si="46"/>
        <v>40</v>
      </c>
      <c r="P78">
        <f t="shared" si="47"/>
        <v>1.87625</v>
      </c>
      <c r="Q78">
        <f t="shared" si="48"/>
        <v>2.2578</v>
      </c>
      <c r="R78">
        <f t="shared" si="49"/>
        <v>7.6071708000000005</v>
      </c>
      <c r="S78">
        <f t="shared" si="50"/>
        <v>4.2599999999999999E-3</v>
      </c>
      <c r="T78">
        <f t="shared" si="51"/>
        <v>3.0450000000000003E-4</v>
      </c>
      <c r="U78">
        <f t="shared" si="52"/>
        <v>11.745785300000001</v>
      </c>
      <c r="V78">
        <f t="shared" si="53"/>
        <v>3193.2542146999995</v>
      </c>
      <c r="W78">
        <f>W77+V78</f>
        <v>11437.164291289992</v>
      </c>
      <c r="Z78" t="s">
        <v>42</v>
      </c>
      <c r="AA78">
        <v>50000</v>
      </c>
      <c r="AB78">
        <v>100000</v>
      </c>
    </row>
    <row r="79" spans="1:28" x14ac:dyDescent="0.25">
      <c r="A79">
        <f t="shared" si="58"/>
        <v>20.2</v>
      </c>
      <c r="B79" s="1">
        <f t="shared" si="59"/>
        <v>44729</v>
      </c>
      <c r="C79" s="4">
        <f t="shared" si="59"/>
        <v>44735</v>
      </c>
      <c r="D79">
        <f>INDEX(Nifty!$A$2:$K$252,MATCH('Iron Condor (Hedge)'!B79,Nifty!$A$2:$A$252),Nifty!$L$254)</f>
        <v>15000</v>
      </c>
      <c r="E79" t="str">
        <f t="shared" ref="E79:F79" si="68">E75</f>
        <v>PE</v>
      </c>
      <c r="F79" t="str">
        <f t="shared" si="68"/>
        <v>SELL</v>
      </c>
      <c r="G79" s="10">
        <v>97.04</v>
      </c>
      <c r="I79" s="10">
        <v>0.1</v>
      </c>
      <c r="J79" s="10">
        <f t="shared" si="0"/>
        <v>4847.0000000000009</v>
      </c>
      <c r="L79" s="12">
        <f t="shared" si="55"/>
        <v>20242.499999999989</v>
      </c>
      <c r="N79">
        <v>20</v>
      </c>
      <c r="O79">
        <f t="shared" si="46"/>
        <v>40</v>
      </c>
      <c r="P79">
        <f t="shared" si="47"/>
        <v>2.4260000000000002</v>
      </c>
      <c r="Q79">
        <f t="shared" si="48"/>
        <v>2.5742099999999999</v>
      </c>
      <c r="R79">
        <f t="shared" si="49"/>
        <v>7.6642320599999998</v>
      </c>
      <c r="S79">
        <f t="shared" si="50"/>
        <v>4.8569999999999993E-3</v>
      </c>
      <c r="T79">
        <f t="shared" si="51"/>
        <v>3.0000000000000001E-6</v>
      </c>
      <c r="U79">
        <f t="shared" si="52"/>
        <v>12.669302059999998</v>
      </c>
      <c r="V79">
        <f t="shared" si="53"/>
        <v>4794.3306979400013</v>
      </c>
      <c r="W79">
        <f>W78+V79</f>
        <v>16231.494989229992</v>
      </c>
      <c r="Z79" t="s">
        <v>52</v>
      </c>
      <c r="AA79" s="18">
        <f>AA77/AA78</f>
        <v>3.9738317689399991E-2</v>
      </c>
      <c r="AB79" s="18">
        <f>AB77/AB78</f>
        <v>3.9738317689399991E-2</v>
      </c>
    </row>
    <row r="80" spans="1:28" x14ac:dyDescent="0.25">
      <c r="A80">
        <f t="shared" si="58"/>
        <v>20.3</v>
      </c>
      <c r="B80" s="1">
        <f t="shared" si="59"/>
        <v>44729</v>
      </c>
      <c r="C80" s="4">
        <f t="shared" si="59"/>
        <v>44735</v>
      </c>
      <c r="D80">
        <f>INDEX(Nifty!$A$3:$K$253,MATCH('Iron Condor (Hedge)'!B80,Nifty!$A$3:$A$253),Nifty!$L$255)</f>
        <v>15800</v>
      </c>
      <c r="E80" t="str">
        <f t="shared" ref="E80:F80" si="69">E76</f>
        <v>CE</v>
      </c>
      <c r="F80" t="str">
        <f t="shared" si="69"/>
        <v>BUY</v>
      </c>
      <c r="G80" s="10">
        <v>22.45</v>
      </c>
      <c r="I80" s="10">
        <v>0.05</v>
      </c>
      <c r="J80" s="10">
        <f t="shared" si="0"/>
        <v>-1120</v>
      </c>
      <c r="L80" s="12">
        <f t="shared" si="55"/>
        <v>19122.499999999989</v>
      </c>
      <c r="N80">
        <v>20</v>
      </c>
      <c r="O80">
        <f t="shared" si="46"/>
        <v>40</v>
      </c>
      <c r="P80">
        <f t="shared" si="47"/>
        <v>1.25E-3</v>
      </c>
      <c r="Q80">
        <f t="shared" si="48"/>
        <v>0.59624999999999995</v>
      </c>
      <c r="R80">
        <f t="shared" si="49"/>
        <v>7.3075275</v>
      </c>
      <c r="S80">
        <f t="shared" si="50"/>
        <v>1.1249999999999999E-3</v>
      </c>
      <c r="T80">
        <f t="shared" si="51"/>
        <v>6.7349999999999995E-4</v>
      </c>
      <c r="U80">
        <f t="shared" si="52"/>
        <v>7.9068260000000006</v>
      </c>
      <c r="V80">
        <f t="shared" si="53"/>
        <v>-1167.9068259999999</v>
      </c>
      <c r="W80">
        <f>W79+V80</f>
        <v>15063.588163229992</v>
      </c>
    </row>
    <row r="81" spans="1:27" x14ac:dyDescent="0.25">
      <c r="A81" s="6">
        <f t="shared" si="58"/>
        <v>20.399999999999999</v>
      </c>
      <c r="B81" s="7">
        <f t="shared" si="59"/>
        <v>44729</v>
      </c>
      <c r="C81" s="8">
        <f t="shared" si="59"/>
        <v>44735</v>
      </c>
      <c r="D81" s="6">
        <f>INDEX(Nifty!$A$4:$K$254,MATCH('Iron Condor (Hedge)'!B81,Nifty!$A$4:$A$254),Nifty!$L$256)</f>
        <v>14750</v>
      </c>
      <c r="E81" s="6" t="str">
        <f t="shared" ref="E81:F81" si="70">E77</f>
        <v>PE</v>
      </c>
      <c r="F81" s="6" t="str">
        <f t="shared" si="70"/>
        <v>BUY</v>
      </c>
      <c r="G81" s="6">
        <v>51.8</v>
      </c>
      <c r="H81" s="6">
        <f>G78+G79-G80-G81</f>
        <v>97.840000000000018</v>
      </c>
      <c r="I81" s="6">
        <v>0.05</v>
      </c>
      <c r="J81" s="6">
        <f t="shared" si="0"/>
        <v>-2587.5</v>
      </c>
      <c r="K81" s="6">
        <f>SUM(J78:J81)</f>
        <v>4384.5</v>
      </c>
      <c r="L81" s="12">
        <f t="shared" si="55"/>
        <v>16534.999999999989</v>
      </c>
      <c r="M81">
        <f>IF(K81+M77&lt;0,K81+M77,0)</f>
        <v>-4295.5000000000055</v>
      </c>
      <c r="N81">
        <v>20</v>
      </c>
      <c r="O81">
        <f t="shared" si="46"/>
        <v>40</v>
      </c>
      <c r="P81">
        <f t="shared" si="47"/>
        <v>1.25E-3</v>
      </c>
      <c r="Q81">
        <f t="shared" si="48"/>
        <v>1.3740249999999996</v>
      </c>
      <c r="R81">
        <f t="shared" si="49"/>
        <v>7.4477911499999987</v>
      </c>
      <c r="S81">
        <f t="shared" si="50"/>
        <v>2.5924999999999998E-3</v>
      </c>
      <c r="T81">
        <f t="shared" si="51"/>
        <v>1.554E-3</v>
      </c>
      <c r="U81">
        <f t="shared" si="52"/>
        <v>8.8272126499999999</v>
      </c>
      <c r="V81">
        <f t="shared" si="53"/>
        <v>-2636.3272126500001</v>
      </c>
      <c r="W81">
        <f>W80+V81</f>
        <v>12427.260950579992</v>
      </c>
      <c r="Z81" s="2" t="s">
        <v>53</v>
      </c>
      <c r="AA81" s="17">
        <f>IF(AE60=1,AB59+AA71+AA73+AA79,AB59+AA71+AA73+AB79)</f>
        <v>0.4281083176894</v>
      </c>
    </row>
    <row r="82" spans="1:27" x14ac:dyDescent="0.25">
      <c r="A82">
        <f t="shared" si="58"/>
        <v>21.1</v>
      </c>
      <c r="B82" s="1">
        <f t="shared" si="59"/>
        <v>44736</v>
      </c>
      <c r="C82" s="4">
        <f t="shared" si="59"/>
        <v>44742</v>
      </c>
      <c r="D82">
        <f>INDEX(Nifty!$A$1:$K$251,MATCH('Iron Condor (Hedge)'!B82,Nifty!$A$1:$A$251),Nifty!$L$253)</f>
        <v>15950</v>
      </c>
      <c r="E82" t="str">
        <f t="shared" ref="E82:F82" si="71">E78</f>
        <v>CE</v>
      </c>
      <c r="F82" t="str">
        <f t="shared" si="71"/>
        <v>SELL</v>
      </c>
      <c r="G82" s="10">
        <v>124.35</v>
      </c>
      <c r="I82" s="10">
        <v>0.05</v>
      </c>
      <c r="J82" s="10">
        <f t="shared" si="0"/>
        <v>6215</v>
      </c>
      <c r="L82" s="12">
        <f t="shared" si="55"/>
        <v>22749.999999999989</v>
      </c>
      <c r="N82">
        <v>20</v>
      </c>
      <c r="O82">
        <f t="shared" si="46"/>
        <v>40</v>
      </c>
      <c r="P82">
        <f t="shared" si="47"/>
        <v>3.1087500000000001</v>
      </c>
      <c r="Q82">
        <f t="shared" si="48"/>
        <v>3.2965999999999998</v>
      </c>
      <c r="R82">
        <f t="shared" si="49"/>
        <v>7.7945075999999993</v>
      </c>
      <c r="S82">
        <f t="shared" si="50"/>
        <v>6.2199999999999998E-3</v>
      </c>
      <c r="T82">
        <f t="shared" si="51"/>
        <v>1.5E-6</v>
      </c>
      <c r="U82">
        <f t="shared" si="52"/>
        <v>14.2060791</v>
      </c>
      <c r="V82">
        <f t="shared" si="53"/>
        <v>6160.7939208999996</v>
      </c>
      <c r="W82">
        <f>W81+V82</f>
        <v>18588.054871479992</v>
      </c>
      <c r="Z82" s="2" t="s">
        <v>54</v>
      </c>
      <c r="AA82" s="17">
        <f>IF(AE60=1,AB60-AA71-AA73-AA79,AB60-AA71-AA73-AB79)</f>
        <v>1.0108116823106001</v>
      </c>
    </row>
    <row r="83" spans="1:27" x14ac:dyDescent="0.25">
      <c r="A83">
        <f t="shared" si="58"/>
        <v>21.2</v>
      </c>
      <c r="B83" s="1">
        <f t="shared" si="59"/>
        <v>44736</v>
      </c>
      <c r="C83" s="4">
        <f t="shared" si="59"/>
        <v>44742</v>
      </c>
      <c r="D83">
        <f>INDEX(Nifty!$A$2:$K$252,MATCH('Iron Condor (Hedge)'!B83,Nifty!$A$2:$A$252),Nifty!$L$254)</f>
        <v>15400</v>
      </c>
      <c r="E83" t="str">
        <f t="shared" ref="E83:F83" si="72">E79</f>
        <v>PE</v>
      </c>
      <c r="F83" t="str">
        <f t="shared" si="72"/>
        <v>SELL</v>
      </c>
      <c r="G83" s="10">
        <v>114.3</v>
      </c>
      <c r="I83" s="10">
        <v>0.05</v>
      </c>
      <c r="J83" s="10">
        <f t="shared" si="0"/>
        <v>5712.5</v>
      </c>
      <c r="L83" s="12">
        <f t="shared" si="55"/>
        <v>28462.499999999989</v>
      </c>
      <c r="N83">
        <v>20</v>
      </c>
      <c r="O83">
        <f t="shared" si="46"/>
        <v>40</v>
      </c>
      <c r="P83">
        <f t="shared" si="47"/>
        <v>2.8574999999999999</v>
      </c>
      <c r="Q83">
        <f t="shared" si="48"/>
        <v>3.0302750000000001</v>
      </c>
      <c r="R83">
        <f t="shared" si="49"/>
        <v>7.7464786500000011</v>
      </c>
      <c r="S83">
        <f t="shared" si="50"/>
        <v>5.7174999999999995E-3</v>
      </c>
      <c r="T83">
        <f t="shared" si="51"/>
        <v>1.5E-6</v>
      </c>
      <c r="U83">
        <f t="shared" si="52"/>
        <v>13.639972650000001</v>
      </c>
      <c r="V83">
        <f t="shared" si="53"/>
        <v>5658.8600273499997</v>
      </c>
      <c r="W83">
        <f>W82+V83</f>
        <v>24246.914898829993</v>
      </c>
      <c r="AA83" s="20">
        <f>AA82/AA81</f>
        <v>2.3611119909236651</v>
      </c>
    </row>
    <row r="84" spans="1:27" x14ac:dyDescent="0.25">
      <c r="A84">
        <f t="shared" si="58"/>
        <v>21.3</v>
      </c>
      <c r="B84" s="1">
        <f t="shared" si="59"/>
        <v>44736</v>
      </c>
      <c r="C84" s="4">
        <f t="shared" si="59"/>
        <v>44742</v>
      </c>
      <c r="D84">
        <f>INDEX(Nifty!$A$3:$K$253,MATCH('Iron Condor (Hedge)'!B84,Nifty!$A$3:$A$253),Nifty!$L$255)</f>
        <v>16200</v>
      </c>
      <c r="E84" t="str">
        <f t="shared" ref="E84:F84" si="73">E80</f>
        <v>CE</v>
      </c>
      <c r="F84" t="str">
        <f t="shared" si="73"/>
        <v>BUY</v>
      </c>
      <c r="G84" s="10">
        <v>53.8</v>
      </c>
      <c r="I84" s="10">
        <v>0.05</v>
      </c>
      <c r="J84" s="10">
        <f t="shared" si="0"/>
        <v>-2687.5</v>
      </c>
      <c r="L84" s="12">
        <f t="shared" si="55"/>
        <v>25774.999999999989</v>
      </c>
      <c r="N84">
        <v>20</v>
      </c>
      <c r="O84">
        <f t="shared" si="46"/>
        <v>40</v>
      </c>
      <c r="P84">
        <f t="shared" si="47"/>
        <v>1.25E-3</v>
      </c>
      <c r="Q84">
        <f t="shared" si="48"/>
        <v>1.4270249999999998</v>
      </c>
      <c r="R84">
        <f t="shared" si="49"/>
        <v>7.4573491499999998</v>
      </c>
      <c r="S84">
        <f t="shared" si="50"/>
        <v>2.6924999999999996E-3</v>
      </c>
      <c r="T84">
        <f t="shared" si="51"/>
        <v>1.614E-3</v>
      </c>
      <c r="U84">
        <f t="shared" si="52"/>
        <v>8.8899306500000002</v>
      </c>
      <c r="V84">
        <f t="shared" si="53"/>
        <v>-2736.3899306500002</v>
      </c>
      <c r="W84">
        <f>W83+V84</f>
        <v>21510.524968179994</v>
      </c>
    </row>
    <row r="85" spans="1:27" x14ac:dyDescent="0.25">
      <c r="A85" s="6">
        <f t="shared" si="58"/>
        <v>21.4</v>
      </c>
      <c r="B85" s="7">
        <f t="shared" si="59"/>
        <v>44736</v>
      </c>
      <c r="C85" s="8">
        <f t="shared" si="59"/>
        <v>44742</v>
      </c>
      <c r="D85" s="6">
        <f>INDEX(Nifty!$A$4:$K$254,MATCH('Iron Condor (Hedge)'!B85,Nifty!$A$4:$A$254),Nifty!$L$256)</f>
        <v>15150</v>
      </c>
      <c r="E85" s="6" t="str">
        <f t="shared" ref="E85:F85" si="74">E81</f>
        <v>PE</v>
      </c>
      <c r="F85" s="6" t="str">
        <f t="shared" si="74"/>
        <v>BUY</v>
      </c>
      <c r="G85" s="6">
        <v>64.5</v>
      </c>
      <c r="H85" s="6">
        <f>G82+G83-G84-G85</f>
        <v>120.34999999999997</v>
      </c>
      <c r="I85" s="6">
        <v>0.1</v>
      </c>
      <c r="J85" s="6">
        <f t="shared" si="0"/>
        <v>-3220.0000000000005</v>
      </c>
      <c r="K85" s="6">
        <f>SUM(J82:J85)</f>
        <v>6020</v>
      </c>
      <c r="L85" s="12">
        <f t="shared" si="55"/>
        <v>22554.999999999989</v>
      </c>
      <c r="M85">
        <f>IF(K85+M81&lt;0,K85+M81,0)</f>
        <v>0</v>
      </c>
      <c r="N85">
        <v>20</v>
      </c>
      <c r="O85">
        <f t="shared" si="46"/>
        <v>40</v>
      </c>
      <c r="P85">
        <f t="shared" si="47"/>
        <v>2.5000000000000001E-3</v>
      </c>
      <c r="Q85">
        <f t="shared" si="48"/>
        <v>1.7118999999999998</v>
      </c>
      <c r="R85">
        <f t="shared" si="49"/>
        <v>7.5087234</v>
      </c>
      <c r="S85">
        <f t="shared" si="50"/>
        <v>3.2299999999999998E-3</v>
      </c>
      <c r="T85">
        <f t="shared" si="51"/>
        <v>1.9350000000000001E-3</v>
      </c>
      <c r="U85">
        <f t="shared" si="52"/>
        <v>9.2282884000000003</v>
      </c>
      <c r="V85">
        <f t="shared" si="53"/>
        <v>-3269.2282884000006</v>
      </c>
      <c r="W85">
        <f>W84+V85</f>
        <v>18241.296679779993</v>
      </c>
    </row>
    <row r="86" spans="1:27" x14ac:dyDescent="0.25">
      <c r="A86">
        <f t="shared" si="58"/>
        <v>22.1</v>
      </c>
      <c r="B86" s="1">
        <f t="shared" si="59"/>
        <v>44743</v>
      </c>
      <c r="C86" s="4">
        <f t="shared" si="59"/>
        <v>44749</v>
      </c>
      <c r="D86">
        <f>INDEX(Nifty!$A$1:$K$251,MATCH('Iron Condor (Hedge)'!B86,Nifty!$A$1:$A$251),Nifty!$L$253)</f>
        <v>16050</v>
      </c>
      <c r="E86" t="str">
        <f t="shared" ref="E86:F86" si="75">E82</f>
        <v>CE</v>
      </c>
      <c r="F86" t="str">
        <f t="shared" si="75"/>
        <v>SELL</v>
      </c>
      <c r="G86" s="10">
        <v>42.35</v>
      </c>
      <c r="I86" s="10">
        <v>0.05</v>
      </c>
      <c r="J86" s="10">
        <f t="shared" si="0"/>
        <v>2115</v>
      </c>
      <c r="L86" s="12">
        <f t="shared" si="55"/>
        <v>24669.999999999989</v>
      </c>
      <c r="N86">
        <v>20</v>
      </c>
      <c r="O86">
        <f t="shared" si="46"/>
        <v>40</v>
      </c>
      <c r="P86">
        <f t="shared" si="47"/>
        <v>1.0587500000000001</v>
      </c>
      <c r="Q86">
        <f t="shared" si="48"/>
        <v>1.1235999999999999</v>
      </c>
      <c r="R86">
        <f t="shared" si="49"/>
        <v>7.4026296</v>
      </c>
      <c r="S86">
        <f t="shared" si="50"/>
        <v>2.1199999999999995E-3</v>
      </c>
      <c r="T86">
        <f t="shared" si="51"/>
        <v>1.5E-6</v>
      </c>
      <c r="U86">
        <f t="shared" si="52"/>
        <v>9.5871010999999999</v>
      </c>
      <c r="V86">
        <f t="shared" si="53"/>
        <v>2065.4128989000001</v>
      </c>
      <c r="W86">
        <f>W85+V86</f>
        <v>20306.709578679991</v>
      </c>
    </row>
    <row r="87" spans="1:27" x14ac:dyDescent="0.25">
      <c r="A87">
        <f t="shared" si="58"/>
        <v>22.2</v>
      </c>
      <c r="B87" s="1">
        <f t="shared" ref="B87:C102" si="76">B83+7</f>
        <v>44743</v>
      </c>
      <c r="C87" s="4">
        <f t="shared" si="76"/>
        <v>44749</v>
      </c>
      <c r="D87">
        <f>INDEX(Nifty!$A$2:$K$252,MATCH('Iron Condor (Hedge)'!B87,Nifty!$A$2:$A$252),Nifty!$L$254)</f>
        <v>15500</v>
      </c>
      <c r="E87" t="str">
        <f t="shared" ref="E87:F87" si="77">E83</f>
        <v>PE</v>
      </c>
      <c r="F87" t="str">
        <f t="shared" si="77"/>
        <v>SELL</v>
      </c>
      <c r="G87" s="10">
        <v>68.099999999999994</v>
      </c>
      <c r="I87" s="10">
        <v>0.05</v>
      </c>
      <c r="J87" s="10">
        <f t="shared" si="0"/>
        <v>3402.5</v>
      </c>
      <c r="L87" s="12">
        <f t="shared" si="55"/>
        <v>28072.499999999989</v>
      </c>
      <c r="N87">
        <v>20</v>
      </c>
      <c r="O87">
        <f t="shared" si="46"/>
        <v>40</v>
      </c>
      <c r="P87">
        <f t="shared" si="47"/>
        <v>1.7024999999999999</v>
      </c>
      <c r="Q87">
        <f t="shared" si="48"/>
        <v>1.8059749999999997</v>
      </c>
      <c r="R87">
        <f t="shared" si="49"/>
        <v>7.525688849999999</v>
      </c>
      <c r="S87">
        <f t="shared" si="50"/>
        <v>3.4074999999999995E-3</v>
      </c>
      <c r="T87">
        <f t="shared" si="51"/>
        <v>1.5E-6</v>
      </c>
      <c r="U87">
        <f t="shared" si="52"/>
        <v>11.037572849999998</v>
      </c>
      <c r="V87">
        <f t="shared" si="53"/>
        <v>3351.4624271500002</v>
      </c>
      <c r="W87">
        <f>W86+V87</f>
        <v>23658.172005829991</v>
      </c>
    </row>
    <row r="88" spans="1:27" x14ac:dyDescent="0.25">
      <c r="A88">
        <f t="shared" si="58"/>
        <v>22.3</v>
      </c>
      <c r="B88" s="1">
        <f t="shared" si="76"/>
        <v>44743</v>
      </c>
      <c r="C88" s="4">
        <f t="shared" si="76"/>
        <v>44749</v>
      </c>
      <c r="D88">
        <f>INDEX(Nifty!$A$3:$K$253,MATCH('Iron Condor (Hedge)'!B88,Nifty!$A$3:$A$253),Nifty!$L$255)</f>
        <v>16300</v>
      </c>
      <c r="E88" t="str">
        <f t="shared" ref="E88:F88" si="78">E84</f>
        <v>CE</v>
      </c>
      <c r="F88" t="str">
        <f t="shared" si="78"/>
        <v>BUY</v>
      </c>
      <c r="G88" s="10">
        <v>8.9</v>
      </c>
      <c r="I88" s="10">
        <v>0.1</v>
      </c>
      <c r="J88" s="10">
        <f t="shared" si="0"/>
        <v>-440.00000000000006</v>
      </c>
      <c r="L88" s="12">
        <f t="shared" si="55"/>
        <v>27632.499999999989</v>
      </c>
      <c r="N88">
        <v>20</v>
      </c>
      <c r="O88">
        <f t="shared" si="46"/>
        <v>40</v>
      </c>
      <c r="P88">
        <f t="shared" si="47"/>
        <v>2.5000000000000001E-3</v>
      </c>
      <c r="Q88">
        <f t="shared" si="48"/>
        <v>0.23849999999999999</v>
      </c>
      <c r="R88">
        <f t="shared" si="49"/>
        <v>7.2430110000000001</v>
      </c>
      <c r="S88">
        <f t="shared" si="50"/>
        <v>4.4999999999999999E-4</v>
      </c>
      <c r="T88">
        <f t="shared" si="51"/>
        <v>2.6700000000000004E-4</v>
      </c>
      <c r="U88">
        <f t="shared" si="52"/>
        <v>7.4847279999999996</v>
      </c>
      <c r="V88">
        <f t="shared" si="53"/>
        <v>-487.48472800000008</v>
      </c>
      <c r="W88">
        <f>W87+V88</f>
        <v>23170.687277829991</v>
      </c>
    </row>
    <row r="89" spans="1:27" x14ac:dyDescent="0.25">
      <c r="A89" s="6">
        <f t="shared" si="58"/>
        <v>22.4</v>
      </c>
      <c r="B89" s="7">
        <f t="shared" si="76"/>
        <v>44743</v>
      </c>
      <c r="C89" s="8">
        <f t="shared" si="76"/>
        <v>44749</v>
      </c>
      <c r="D89" s="6">
        <f>INDEX(Nifty!$A$4:$K$254,MATCH('Iron Condor (Hedge)'!B89,Nifty!$A$4:$A$254),Nifty!$L$256)</f>
        <v>15250</v>
      </c>
      <c r="E89" s="6" t="str">
        <f t="shared" ref="E89:F89" si="79">E85</f>
        <v>PE</v>
      </c>
      <c r="F89" s="6" t="str">
        <f t="shared" si="79"/>
        <v>BUY</v>
      </c>
      <c r="G89" s="6">
        <v>27.25</v>
      </c>
      <c r="H89" s="6">
        <f>G86+G87-G88-G89</f>
        <v>74.299999999999983</v>
      </c>
      <c r="I89" s="6">
        <v>0.05</v>
      </c>
      <c r="J89" s="6">
        <f t="shared" si="0"/>
        <v>-1360</v>
      </c>
      <c r="K89" s="6">
        <f>SUM(J86:J89)</f>
        <v>3717.5</v>
      </c>
      <c r="L89" s="12">
        <f t="shared" si="55"/>
        <v>26272.499999999989</v>
      </c>
      <c r="M89">
        <f>IF(K89+M85&lt;0,K89+M85,0)</f>
        <v>0</v>
      </c>
      <c r="N89">
        <v>20</v>
      </c>
      <c r="O89">
        <f t="shared" si="46"/>
        <v>40</v>
      </c>
      <c r="P89">
        <f t="shared" si="47"/>
        <v>1.25E-3</v>
      </c>
      <c r="Q89">
        <f t="shared" si="48"/>
        <v>0.72344999999999993</v>
      </c>
      <c r="R89">
        <f t="shared" si="49"/>
        <v>7.3304666999999997</v>
      </c>
      <c r="S89">
        <f t="shared" si="50"/>
        <v>1.3649999999999999E-3</v>
      </c>
      <c r="T89">
        <f t="shared" si="51"/>
        <v>8.1749999999999998E-4</v>
      </c>
      <c r="U89">
        <f t="shared" si="52"/>
        <v>8.0573491999999991</v>
      </c>
      <c r="V89">
        <f t="shared" si="53"/>
        <v>-1408.0573492000001</v>
      </c>
      <c r="W89">
        <f>W88+V89</f>
        <v>21762.629928629991</v>
      </c>
    </row>
    <row r="90" spans="1:27" x14ac:dyDescent="0.25">
      <c r="A90">
        <f t="shared" si="58"/>
        <v>23.1</v>
      </c>
      <c r="B90" s="1">
        <f t="shared" si="76"/>
        <v>44750</v>
      </c>
      <c r="C90" s="4">
        <f t="shared" si="76"/>
        <v>44756</v>
      </c>
      <c r="D90">
        <f>INDEX(Nifty!$A$1:$K$251,MATCH('Iron Condor (Hedge)'!B90,Nifty!$A$1:$A$251),Nifty!$L$253)</f>
        <v>16500</v>
      </c>
      <c r="E90" t="str">
        <f t="shared" ref="E90:F90" si="80">E86</f>
        <v>CE</v>
      </c>
      <c r="F90" t="str">
        <f t="shared" si="80"/>
        <v>SELL</v>
      </c>
      <c r="G90" s="10">
        <v>30.65</v>
      </c>
      <c r="I90" s="10">
        <v>0.05</v>
      </c>
      <c r="J90" s="10">
        <f t="shared" si="0"/>
        <v>1530</v>
      </c>
      <c r="L90" s="12">
        <f t="shared" si="55"/>
        <v>27802.499999999989</v>
      </c>
      <c r="N90">
        <v>20</v>
      </c>
      <c r="O90">
        <f t="shared" si="46"/>
        <v>40</v>
      </c>
      <c r="P90">
        <f t="shared" si="47"/>
        <v>0.76624999999999999</v>
      </c>
      <c r="Q90">
        <f t="shared" si="48"/>
        <v>0.81355</v>
      </c>
      <c r="R90">
        <f t="shared" si="49"/>
        <v>7.3467152999999987</v>
      </c>
      <c r="S90">
        <f t="shared" si="50"/>
        <v>1.5350000000000001E-3</v>
      </c>
      <c r="T90">
        <f t="shared" si="51"/>
        <v>1.5E-6</v>
      </c>
      <c r="U90">
        <f t="shared" si="52"/>
        <v>8.9280517999999987</v>
      </c>
      <c r="V90">
        <f t="shared" si="53"/>
        <v>1481.0719482</v>
      </c>
      <c r="W90">
        <f>W89+V90</f>
        <v>23243.701876829989</v>
      </c>
    </row>
    <row r="91" spans="1:27" x14ac:dyDescent="0.25">
      <c r="A91">
        <f t="shared" si="58"/>
        <v>23.2</v>
      </c>
      <c r="B91" s="1">
        <f t="shared" si="76"/>
        <v>44750</v>
      </c>
      <c r="C91" s="4">
        <f t="shared" si="76"/>
        <v>44756</v>
      </c>
      <c r="D91">
        <f>INDEX(Nifty!$A$2:$K$252,MATCH('Iron Condor (Hedge)'!B91,Nifty!$A$2:$A$252),Nifty!$L$254)</f>
        <v>15950</v>
      </c>
      <c r="E91" t="str">
        <f t="shared" ref="E91:F91" si="81">E87</f>
        <v>PE</v>
      </c>
      <c r="F91" t="str">
        <f t="shared" si="81"/>
        <v>SELL</v>
      </c>
      <c r="G91" s="10">
        <v>46.5</v>
      </c>
      <c r="I91" s="10">
        <v>13.65</v>
      </c>
      <c r="J91" s="10">
        <f t="shared" si="0"/>
        <v>1642.5</v>
      </c>
      <c r="L91" s="12">
        <f t="shared" si="55"/>
        <v>29444.999999999989</v>
      </c>
      <c r="N91">
        <v>20</v>
      </c>
      <c r="O91">
        <f t="shared" si="46"/>
        <v>40</v>
      </c>
      <c r="P91">
        <f t="shared" si="47"/>
        <v>1.1625000000000001</v>
      </c>
      <c r="Q91">
        <f t="shared" si="48"/>
        <v>1.5939749999999999</v>
      </c>
      <c r="R91">
        <f t="shared" si="49"/>
        <v>7.4874568500000001</v>
      </c>
      <c r="S91">
        <f t="shared" si="50"/>
        <v>3.0074999999999998E-3</v>
      </c>
      <c r="T91">
        <f t="shared" si="51"/>
        <v>4.0950000000000003E-4</v>
      </c>
      <c r="U91">
        <f t="shared" si="52"/>
        <v>10.24734885</v>
      </c>
      <c r="V91">
        <f t="shared" si="53"/>
        <v>1592.25265115</v>
      </c>
      <c r="W91">
        <f>W90+V91</f>
        <v>24835.95452797999</v>
      </c>
    </row>
    <row r="92" spans="1:27" x14ac:dyDescent="0.25">
      <c r="A92">
        <f t="shared" si="58"/>
        <v>23.3</v>
      </c>
      <c r="B92" s="1">
        <f t="shared" si="76"/>
        <v>44750</v>
      </c>
      <c r="C92" s="4">
        <f t="shared" si="76"/>
        <v>44756</v>
      </c>
      <c r="D92">
        <f>INDEX(Nifty!$A$3:$K$253,MATCH('Iron Condor (Hedge)'!B92,Nifty!$A$3:$A$253),Nifty!$L$255)</f>
        <v>16750</v>
      </c>
      <c r="E92" t="str">
        <f t="shared" ref="E92:F92" si="82">E88</f>
        <v>CE</v>
      </c>
      <c r="F92" t="str">
        <f t="shared" si="82"/>
        <v>BUY</v>
      </c>
      <c r="G92" s="10">
        <v>4.5999999999999996</v>
      </c>
      <c r="I92" s="10">
        <v>0.05</v>
      </c>
      <c r="J92" s="10">
        <f t="shared" si="0"/>
        <v>-227.5</v>
      </c>
      <c r="L92" s="12">
        <f t="shared" si="55"/>
        <v>29217.499999999989</v>
      </c>
      <c r="N92">
        <v>20</v>
      </c>
      <c r="O92">
        <f t="shared" si="46"/>
        <v>40</v>
      </c>
      <c r="P92">
        <f t="shared" si="47"/>
        <v>1.25E-3</v>
      </c>
      <c r="Q92">
        <f t="shared" si="48"/>
        <v>0.12322499999999999</v>
      </c>
      <c r="R92">
        <f t="shared" si="49"/>
        <v>7.22222235</v>
      </c>
      <c r="S92">
        <f t="shared" si="50"/>
        <v>2.3249999999999999E-4</v>
      </c>
      <c r="T92">
        <f t="shared" si="51"/>
        <v>1.3799999999999999E-4</v>
      </c>
      <c r="U92">
        <f t="shared" si="52"/>
        <v>7.3470678500000002</v>
      </c>
      <c r="V92">
        <f t="shared" si="53"/>
        <v>-274.84706784999997</v>
      </c>
      <c r="W92">
        <f>W91+V92</f>
        <v>24561.107460129988</v>
      </c>
    </row>
    <row r="93" spans="1:27" x14ac:dyDescent="0.25">
      <c r="A93" s="6">
        <f t="shared" si="58"/>
        <v>23.4</v>
      </c>
      <c r="B93" s="7">
        <f t="shared" si="76"/>
        <v>44750</v>
      </c>
      <c r="C93" s="8">
        <f t="shared" si="76"/>
        <v>44756</v>
      </c>
      <c r="D93" s="6">
        <f>INDEX(Nifty!$A$4:$K$254,MATCH('Iron Condor (Hedge)'!B93,Nifty!$A$4:$A$254),Nifty!$L$256)</f>
        <v>15700</v>
      </c>
      <c r="E93" s="6" t="str">
        <f t="shared" ref="E93:F93" si="83">E89</f>
        <v>PE</v>
      </c>
      <c r="F93" s="6" t="str">
        <f t="shared" si="83"/>
        <v>BUY</v>
      </c>
      <c r="G93" s="6">
        <v>16.649999999999999</v>
      </c>
      <c r="H93" s="6">
        <f>G90+G91-G92-G93</f>
        <v>55.900000000000013</v>
      </c>
      <c r="I93" s="6">
        <v>0.05</v>
      </c>
      <c r="J93" s="6">
        <f t="shared" si="0"/>
        <v>-829.99999999999989</v>
      </c>
      <c r="K93" s="6">
        <f>SUM(J90:J93)</f>
        <v>2115</v>
      </c>
      <c r="L93" s="12">
        <f t="shared" si="55"/>
        <v>28387.499999999989</v>
      </c>
      <c r="M93">
        <f>IF(K93+M89&lt;0,K93+M89,0)</f>
        <v>0</v>
      </c>
      <c r="N93">
        <v>20</v>
      </c>
      <c r="O93">
        <f t="shared" si="46"/>
        <v>40</v>
      </c>
      <c r="P93">
        <f t="shared" si="47"/>
        <v>1.25E-3</v>
      </c>
      <c r="Q93">
        <f t="shared" si="48"/>
        <v>0.44255</v>
      </c>
      <c r="R93">
        <f t="shared" si="49"/>
        <v>7.2798092999999993</v>
      </c>
      <c r="S93">
        <f t="shared" si="50"/>
        <v>8.3500000000000002E-4</v>
      </c>
      <c r="T93">
        <f t="shared" si="51"/>
        <v>4.9949999999999994E-4</v>
      </c>
      <c r="U93">
        <f t="shared" si="52"/>
        <v>7.7249438000000001</v>
      </c>
      <c r="V93">
        <f t="shared" si="53"/>
        <v>-877.72494379999989</v>
      </c>
      <c r="W93">
        <f>W92+V93</f>
        <v>23683.382516329988</v>
      </c>
    </row>
    <row r="94" spans="1:27" x14ac:dyDescent="0.25">
      <c r="A94">
        <f t="shared" si="58"/>
        <v>24.1</v>
      </c>
      <c r="B94" s="1">
        <f t="shared" si="76"/>
        <v>44757</v>
      </c>
      <c r="C94" s="4">
        <f t="shared" si="76"/>
        <v>44763</v>
      </c>
      <c r="D94">
        <f>INDEX(Nifty!$A$1:$K$251,MATCH('Iron Condor (Hedge)'!B94,Nifty!$A$1:$A$251),Nifty!$L$253)</f>
        <v>16300</v>
      </c>
      <c r="E94" t="str">
        <f t="shared" ref="E94:F94" si="84">E90</f>
        <v>CE</v>
      </c>
      <c r="F94" t="str">
        <f t="shared" si="84"/>
        <v>SELL</v>
      </c>
      <c r="G94" s="10">
        <v>32.65</v>
      </c>
      <c r="I94" s="10">
        <v>302.39999999999998</v>
      </c>
      <c r="J94" s="10">
        <f t="shared" si="0"/>
        <v>-13487.5</v>
      </c>
      <c r="L94" s="12">
        <f t="shared" si="55"/>
        <v>14899.999999999989</v>
      </c>
      <c r="N94">
        <v>20</v>
      </c>
      <c r="O94">
        <f t="shared" si="46"/>
        <v>40</v>
      </c>
      <c r="P94">
        <f t="shared" si="47"/>
        <v>0.81625000000000003</v>
      </c>
      <c r="Q94">
        <f t="shared" si="48"/>
        <v>8.8788249999999973</v>
      </c>
      <c r="R94">
        <f t="shared" si="49"/>
        <v>8.8012039499999997</v>
      </c>
      <c r="S94">
        <f t="shared" si="50"/>
        <v>1.6752499999999997E-2</v>
      </c>
      <c r="T94">
        <f t="shared" si="51"/>
        <v>9.0720000000000002E-3</v>
      </c>
      <c r="U94">
        <f t="shared" si="52"/>
        <v>18.522103449999996</v>
      </c>
      <c r="V94">
        <f t="shared" si="53"/>
        <v>-13546.022103449999</v>
      </c>
      <c r="W94">
        <f>W93+V94</f>
        <v>10137.360412879989</v>
      </c>
    </row>
    <row r="95" spans="1:27" x14ac:dyDescent="0.25">
      <c r="A95">
        <f t="shared" si="58"/>
        <v>24.2</v>
      </c>
      <c r="B95" s="1">
        <f t="shared" si="76"/>
        <v>44757</v>
      </c>
      <c r="C95" s="4">
        <f t="shared" si="76"/>
        <v>44763</v>
      </c>
      <c r="D95">
        <f>INDEX(Nifty!$A$2:$K$252,MATCH('Iron Condor (Hedge)'!B95,Nifty!$A$2:$A$252),Nifty!$L$254)</f>
        <v>15750</v>
      </c>
      <c r="E95" t="str">
        <f t="shared" ref="E95:F95" si="85">E91</f>
        <v>PE</v>
      </c>
      <c r="F95" t="str">
        <f t="shared" si="85"/>
        <v>SELL</v>
      </c>
      <c r="G95" s="10">
        <v>30.8</v>
      </c>
      <c r="I95" s="10">
        <v>0.05</v>
      </c>
      <c r="J95" s="10">
        <f t="shared" si="0"/>
        <v>1537.5</v>
      </c>
      <c r="L95" s="12">
        <f t="shared" si="55"/>
        <v>16437.499999999989</v>
      </c>
      <c r="N95">
        <v>20</v>
      </c>
      <c r="O95">
        <f t="shared" si="46"/>
        <v>40</v>
      </c>
      <c r="P95">
        <f t="shared" si="47"/>
        <v>0.77</v>
      </c>
      <c r="Q95">
        <f t="shared" si="48"/>
        <v>0.81752499999999995</v>
      </c>
      <c r="R95">
        <f t="shared" si="49"/>
        <v>7.3474321500000004</v>
      </c>
      <c r="S95">
        <f t="shared" si="50"/>
        <v>1.5424999999999998E-3</v>
      </c>
      <c r="T95">
        <f t="shared" si="51"/>
        <v>1.5E-6</v>
      </c>
      <c r="U95">
        <f t="shared" si="52"/>
        <v>8.9365011499999998</v>
      </c>
      <c r="V95">
        <f t="shared" si="53"/>
        <v>1488.5634988500001</v>
      </c>
      <c r="W95">
        <f>W94+V95</f>
        <v>11625.923911729989</v>
      </c>
    </row>
    <row r="96" spans="1:27" x14ac:dyDescent="0.25">
      <c r="A96">
        <f t="shared" si="58"/>
        <v>24.3</v>
      </c>
      <c r="B96" s="1">
        <f t="shared" si="76"/>
        <v>44757</v>
      </c>
      <c r="C96" s="4">
        <f t="shared" si="76"/>
        <v>44763</v>
      </c>
      <c r="D96">
        <f>INDEX(Nifty!$A$3:$K$253,MATCH('Iron Condor (Hedge)'!B96,Nifty!$A$3:$A$253),Nifty!$L$255)</f>
        <v>16550</v>
      </c>
      <c r="E96" t="str">
        <f t="shared" ref="E96:F96" si="86">E92</f>
        <v>CE</v>
      </c>
      <c r="F96" t="str">
        <f t="shared" si="86"/>
        <v>BUY</v>
      </c>
      <c r="G96" s="10">
        <v>5.35</v>
      </c>
      <c r="I96" s="10">
        <v>52</v>
      </c>
      <c r="J96" s="10">
        <f t="shared" si="0"/>
        <v>2332.5</v>
      </c>
      <c r="L96" s="12">
        <f t="shared" si="55"/>
        <v>18769.999999999989</v>
      </c>
      <c r="N96">
        <v>20</v>
      </c>
      <c r="O96">
        <f t="shared" si="46"/>
        <v>40</v>
      </c>
      <c r="P96">
        <f t="shared" si="47"/>
        <v>1.3</v>
      </c>
      <c r="Q96">
        <f t="shared" si="48"/>
        <v>1.5197749999999999</v>
      </c>
      <c r="R96">
        <f t="shared" si="49"/>
        <v>7.4740756500000005</v>
      </c>
      <c r="S96">
        <f t="shared" si="50"/>
        <v>2.8674999999999998E-3</v>
      </c>
      <c r="T96">
        <f t="shared" si="51"/>
        <v>1.605E-4</v>
      </c>
      <c r="U96">
        <f t="shared" si="52"/>
        <v>10.29687865</v>
      </c>
      <c r="V96">
        <f t="shared" si="53"/>
        <v>2282.2031213499999</v>
      </c>
      <c r="W96">
        <f>W95+V96</f>
        <v>13908.127033079989</v>
      </c>
    </row>
    <row r="97" spans="1:23" x14ac:dyDescent="0.25">
      <c r="A97" s="6">
        <f t="shared" si="58"/>
        <v>24.4</v>
      </c>
      <c r="B97" s="7">
        <f t="shared" si="76"/>
        <v>44757</v>
      </c>
      <c r="C97" s="8">
        <f t="shared" si="76"/>
        <v>44763</v>
      </c>
      <c r="D97" s="6">
        <f>INDEX(Nifty!$A$4:$K$254,MATCH('Iron Condor (Hedge)'!B97,Nifty!$A$4:$A$254),Nifty!$L$256)</f>
        <v>15500</v>
      </c>
      <c r="E97" s="6" t="str">
        <f t="shared" ref="E97:F97" si="87">E93</f>
        <v>PE</v>
      </c>
      <c r="F97" s="6" t="str">
        <f t="shared" si="87"/>
        <v>BUY</v>
      </c>
      <c r="G97" s="6">
        <v>9.8000000000000007</v>
      </c>
      <c r="H97" s="6">
        <f>G94+G95-G96-G97</f>
        <v>48.3</v>
      </c>
      <c r="I97" s="6">
        <v>0.05</v>
      </c>
      <c r="J97" s="6">
        <f t="shared" si="0"/>
        <v>-487.5</v>
      </c>
      <c r="K97" s="6">
        <f>SUM(J94:J97)</f>
        <v>-10105</v>
      </c>
      <c r="L97" s="12">
        <f t="shared" si="55"/>
        <v>18282.499999999989</v>
      </c>
      <c r="M97">
        <f>IF(K97+M93&lt;0,K97+M93,0)</f>
        <v>-10105</v>
      </c>
      <c r="N97">
        <v>20</v>
      </c>
      <c r="O97">
        <f t="shared" si="46"/>
        <v>40</v>
      </c>
      <c r="P97">
        <f t="shared" si="47"/>
        <v>1.25E-3</v>
      </c>
      <c r="Q97">
        <f t="shared" si="48"/>
        <v>0.26102500000000001</v>
      </c>
      <c r="R97">
        <f t="shared" si="49"/>
        <v>7.2470731499999994</v>
      </c>
      <c r="S97">
        <f t="shared" si="50"/>
        <v>4.9249999999999999E-4</v>
      </c>
      <c r="T97">
        <f t="shared" si="51"/>
        <v>2.9400000000000004E-4</v>
      </c>
      <c r="U97">
        <f t="shared" si="52"/>
        <v>7.5101346499999995</v>
      </c>
      <c r="V97">
        <f t="shared" si="53"/>
        <v>-535.01013465000005</v>
      </c>
      <c r="W97">
        <f>W96+V97</f>
        <v>13373.116898429989</v>
      </c>
    </row>
    <row r="98" spans="1:23" x14ac:dyDescent="0.25">
      <c r="A98">
        <f t="shared" si="58"/>
        <v>25.1</v>
      </c>
      <c r="B98" s="1">
        <f t="shared" si="76"/>
        <v>44764</v>
      </c>
      <c r="C98" s="4">
        <f t="shared" si="76"/>
        <v>44770</v>
      </c>
      <c r="D98">
        <f>INDEX(Nifty!$A$1:$K$251,MATCH('Iron Condor (Hedge)'!B98,Nifty!$A$1:$A$251),Nifty!$L$253)</f>
        <v>17000</v>
      </c>
      <c r="E98" t="str">
        <f t="shared" ref="E98:F98" si="88">E94</f>
        <v>CE</v>
      </c>
      <c r="F98" t="str">
        <f t="shared" si="88"/>
        <v>SELL</v>
      </c>
      <c r="G98" s="10">
        <v>29.05</v>
      </c>
      <c r="I98" s="10">
        <v>0.1</v>
      </c>
      <c r="J98" s="10">
        <f t="shared" si="0"/>
        <v>1447.5</v>
      </c>
      <c r="L98" s="12">
        <f t="shared" si="55"/>
        <v>19729.999999999989</v>
      </c>
      <c r="N98">
        <v>20</v>
      </c>
      <c r="O98">
        <f t="shared" si="46"/>
        <v>40</v>
      </c>
      <c r="P98">
        <f t="shared" si="47"/>
        <v>0.72625000000000006</v>
      </c>
      <c r="Q98">
        <f t="shared" si="48"/>
        <v>0.77247500000000002</v>
      </c>
      <c r="R98">
        <f t="shared" si="49"/>
        <v>7.33930785</v>
      </c>
      <c r="S98">
        <f t="shared" si="50"/>
        <v>1.4575E-3</v>
      </c>
      <c r="T98">
        <f t="shared" si="51"/>
        <v>3.0000000000000001E-6</v>
      </c>
      <c r="U98">
        <f t="shared" si="52"/>
        <v>8.8394933499999997</v>
      </c>
      <c r="V98">
        <f t="shared" si="53"/>
        <v>1398.6605066499999</v>
      </c>
      <c r="W98">
        <f>W97+V98</f>
        <v>14771.777405079989</v>
      </c>
    </row>
    <row r="99" spans="1:23" x14ac:dyDescent="0.25">
      <c r="A99">
        <f t="shared" si="58"/>
        <v>25.2</v>
      </c>
      <c r="B99" s="1">
        <f t="shared" si="76"/>
        <v>44764</v>
      </c>
      <c r="C99" s="4">
        <f t="shared" si="76"/>
        <v>44770</v>
      </c>
      <c r="D99">
        <f>INDEX(Nifty!$A$2:$K$252,MATCH('Iron Condor (Hedge)'!B99,Nifty!$A$2:$A$252),Nifty!$L$254)</f>
        <v>16450</v>
      </c>
      <c r="E99" t="str">
        <f t="shared" ref="E99:F99" si="89">E95</f>
        <v>PE</v>
      </c>
      <c r="F99" t="str">
        <f t="shared" si="89"/>
        <v>SELL</v>
      </c>
      <c r="G99" s="10">
        <v>39.700000000000003</v>
      </c>
      <c r="I99" s="10">
        <v>0.05</v>
      </c>
      <c r="J99" s="10">
        <f t="shared" si="0"/>
        <v>1982.5000000000002</v>
      </c>
      <c r="L99" s="12">
        <f t="shared" si="55"/>
        <v>21712.499999999989</v>
      </c>
      <c r="N99">
        <v>20</v>
      </c>
      <c r="O99">
        <f t="shared" si="46"/>
        <v>40</v>
      </c>
      <c r="P99">
        <f t="shared" si="47"/>
        <v>0.99250000000000016</v>
      </c>
      <c r="Q99">
        <f t="shared" si="48"/>
        <v>1.053375</v>
      </c>
      <c r="R99">
        <f t="shared" si="49"/>
        <v>7.3899652499999995</v>
      </c>
      <c r="S99">
        <f t="shared" si="50"/>
        <v>1.9874999999999997E-3</v>
      </c>
      <c r="T99">
        <f t="shared" si="51"/>
        <v>1.5E-6</v>
      </c>
      <c r="U99">
        <f t="shared" si="52"/>
        <v>9.4378292500000001</v>
      </c>
      <c r="V99">
        <f t="shared" si="53"/>
        <v>1933.0621707500002</v>
      </c>
      <c r="W99">
        <f>W98+V99</f>
        <v>16704.839575829988</v>
      </c>
    </row>
    <row r="100" spans="1:23" x14ac:dyDescent="0.25">
      <c r="A100">
        <f t="shared" si="58"/>
        <v>25.3</v>
      </c>
      <c r="B100" s="1">
        <f t="shared" si="76"/>
        <v>44764</v>
      </c>
      <c r="C100" s="4">
        <f t="shared" si="76"/>
        <v>44770</v>
      </c>
      <c r="D100">
        <f>INDEX(Nifty!$A$3:$K$253,MATCH('Iron Condor (Hedge)'!B100,Nifty!$A$3:$A$253),Nifty!$L$255)</f>
        <v>17250</v>
      </c>
      <c r="E100" t="str">
        <f t="shared" ref="E100:F100" si="90">E96</f>
        <v>CE</v>
      </c>
      <c r="F100" t="str">
        <f t="shared" si="90"/>
        <v>BUY</v>
      </c>
      <c r="G100" s="10">
        <v>4.6500000000000004</v>
      </c>
      <c r="I100" s="10">
        <v>0.05</v>
      </c>
      <c r="J100" s="10">
        <f t="shared" si="0"/>
        <v>-230.00000000000003</v>
      </c>
      <c r="L100" s="12">
        <f t="shared" si="55"/>
        <v>21482.499999999989</v>
      </c>
      <c r="N100">
        <v>20</v>
      </c>
      <c r="O100">
        <f t="shared" si="46"/>
        <v>40</v>
      </c>
      <c r="P100">
        <f t="shared" si="47"/>
        <v>1.25E-3</v>
      </c>
      <c r="Q100">
        <f t="shared" si="48"/>
        <v>0.12454999999999999</v>
      </c>
      <c r="R100">
        <f t="shared" si="49"/>
        <v>7.2224613</v>
      </c>
      <c r="S100">
        <f t="shared" si="50"/>
        <v>2.3499999999999999E-4</v>
      </c>
      <c r="T100">
        <f t="shared" si="51"/>
        <v>1.395E-4</v>
      </c>
      <c r="U100">
        <f t="shared" si="52"/>
        <v>7.3486358000000003</v>
      </c>
      <c r="V100">
        <f t="shared" si="53"/>
        <v>-277.34863580000001</v>
      </c>
      <c r="W100">
        <f>W99+V100</f>
        <v>16427.490940029988</v>
      </c>
    </row>
    <row r="101" spans="1:23" x14ac:dyDescent="0.25">
      <c r="A101" s="6">
        <f t="shared" si="58"/>
        <v>25.4</v>
      </c>
      <c r="B101" s="7">
        <f t="shared" si="76"/>
        <v>44764</v>
      </c>
      <c r="C101" s="8">
        <f t="shared" si="76"/>
        <v>44770</v>
      </c>
      <c r="D101" s="6">
        <f>INDEX(Nifty!$A$4:$K$254,MATCH('Iron Condor (Hedge)'!B101,Nifty!$A$4:$A$254),Nifty!$L$256)</f>
        <v>16200</v>
      </c>
      <c r="E101" s="6" t="str">
        <f t="shared" ref="E101:F101" si="91">E97</f>
        <v>PE</v>
      </c>
      <c r="F101" s="6" t="str">
        <f t="shared" si="91"/>
        <v>BUY</v>
      </c>
      <c r="G101" s="6">
        <v>13.7</v>
      </c>
      <c r="H101" s="6">
        <f>G98+G99-G100-G101</f>
        <v>50.399999999999991</v>
      </c>
      <c r="I101" s="6">
        <v>0.05</v>
      </c>
      <c r="J101" s="6">
        <f t="shared" si="0"/>
        <v>-682.49999999999989</v>
      </c>
      <c r="K101" s="6">
        <f>SUM(J98:J101)</f>
        <v>2517.5</v>
      </c>
      <c r="L101" s="12">
        <f t="shared" si="55"/>
        <v>20799.999999999989</v>
      </c>
      <c r="M101">
        <f>IF(K101+M97&lt;0,K101+M97,0)</f>
        <v>-7587.5</v>
      </c>
      <c r="N101">
        <v>20</v>
      </c>
      <c r="O101">
        <f t="shared" si="46"/>
        <v>40</v>
      </c>
      <c r="P101">
        <f t="shared" si="47"/>
        <v>1.25E-3</v>
      </c>
      <c r="Q101">
        <f t="shared" si="48"/>
        <v>0.364375</v>
      </c>
      <c r="R101">
        <f t="shared" si="49"/>
        <v>7.2657112499999998</v>
      </c>
      <c r="S101">
        <f t="shared" si="50"/>
        <v>6.8749999999999996E-4</v>
      </c>
      <c r="T101">
        <f t="shared" si="51"/>
        <v>4.1100000000000002E-4</v>
      </c>
      <c r="U101">
        <f t="shared" si="52"/>
        <v>7.6324347499999989</v>
      </c>
      <c r="V101">
        <f t="shared" si="53"/>
        <v>-730.1324347499999</v>
      </c>
      <c r="W101">
        <f>W100+V101</f>
        <v>15697.358505279988</v>
      </c>
    </row>
    <row r="102" spans="1:23" x14ac:dyDescent="0.25">
      <c r="A102">
        <f t="shared" si="58"/>
        <v>26.1</v>
      </c>
      <c r="B102" s="1">
        <f t="shared" si="76"/>
        <v>44771</v>
      </c>
      <c r="C102" s="4">
        <f t="shared" si="76"/>
        <v>44777</v>
      </c>
      <c r="D102">
        <f>INDEX(Nifty!$A$1:$K$251,MATCH('Iron Condor (Hedge)'!B102,Nifty!$A$1:$A$251),Nifty!$L$253)</f>
        <v>17450</v>
      </c>
      <c r="E102" t="str">
        <f t="shared" ref="E102:F102" si="92">E98</f>
        <v>CE</v>
      </c>
      <c r="F102" t="str">
        <f t="shared" si="92"/>
        <v>SELL</v>
      </c>
      <c r="G102" s="10">
        <v>29.3</v>
      </c>
      <c r="I102" s="10">
        <v>0.2</v>
      </c>
      <c r="J102" s="10">
        <f t="shared" si="0"/>
        <v>1455</v>
      </c>
      <c r="L102" s="12">
        <f t="shared" si="55"/>
        <v>22254.999999999989</v>
      </c>
      <c r="N102">
        <v>20</v>
      </c>
      <c r="O102">
        <f t="shared" si="46"/>
        <v>40</v>
      </c>
      <c r="P102">
        <f t="shared" si="47"/>
        <v>0.73250000000000004</v>
      </c>
      <c r="Q102">
        <f t="shared" si="48"/>
        <v>0.78174999999999994</v>
      </c>
      <c r="R102">
        <f t="shared" si="49"/>
        <v>7.3409804999999997</v>
      </c>
      <c r="S102">
        <f t="shared" si="50"/>
        <v>1.475E-3</v>
      </c>
      <c r="T102">
        <f t="shared" si="51"/>
        <v>6.0000000000000002E-6</v>
      </c>
      <c r="U102">
        <f t="shared" si="52"/>
        <v>8.8567114999999994</v>
      </c>
      <c r="V102">
        <f t="shared" si="53"/>
        <v>1406.1432884999999</v>
      </c>
      <c r="W102">
        <f>W101+V102</f>
        <v>17103.501793779989</v>
      </c>
    </row>
    <row r="103" spans="1:23" x14ac:dyDescent="0.25">
      <c r="A103">
        <f t="shared" si="58"/>
        <v>26.2</v>
      </c>
      <c r="B103" s="1">
        <f t="shared" ref="B103:C118" si="93">B99+7</f>
        <v>44771</v>
      </c>
      <c r="C103" s="4">
        <f t="shared" si="93"/>
        <v>44777</v>
      </c>
      <c r="D103">
        <f>INDEX(Nifty!$A$2:$K$252,MATCH('Iron Condor (Hedge)'!B103,Nifty!$A$2:$A$252),Nifty!$L$254)</f>
        <v>16900</v>
      </c>
      <c r="E103" t="str">
        <f t="shared" ref="E103:F103" si="94">E99</f>
        <v>PE</v>
      </c>
      <c r="F103" t="str">
        <f t="shared" si="94"/>
        <v>SELL</v>
      </c>
      <c r="G103" s="10">
        <v>38.5</v>
      </c>
      <c r="I103" s="10">
        <v>0.1</v>
      </c>
      <c r="J103" s="10">
        <f t="shared" si="0"/>
        <v>1920</v>
      </c>
      <c r="L103" s="12">
        <f t="shared" si="55"/>
        <v>24174.999999999989</v>
      </c>
      <c r="N103">
        <v>20</v>
      </c>
      <c r="O103">
        <f t="shared" si="46"/>
        <v>40</v>
      </c>
      <c r="P103">
        <f t="shared" si="47"/>
        <v>0.96250000000000002</v>
      </c>
      <c r="Q103">
        <f t="shared" si="48"/>
        <v>1.0228999999999999</v>
      </c>
      <c r="R103">
        <f t="shared" si="49"/>
        <v>7.3844694000000004</v>
      </c>
      <c r="S103">
        <f t="shared" si="50"/>
        <v>1.9299999999999999E-3</v>
      </c>
      <c r="T103">
        <f t="shared" si="51"/>
        <v>3.0000000000000001E-6</v>
      </c>
      <c r="U103">
        <f t="shared" si="52"/>
        <v>9.3718024</v>
      </c>
      <c r="V103">
        <f t="shared" si="53"/>
        <v>1870.6281976</v>
      </c>
      <c r="W103">
        <f>W102+V103</f>
        <v>18974.129991379988</v>
      </c>
    </row>
    <row r="104" spans="1:23" x14ac:dyDescent="0.25">
      <c r="A104">
        <f t="shared" si="58"/>
        <v>26.3</v>
      </c>
      <c r="B104" s="1">
        <f t="shared" si="93"/>
        <v>44771</v>
      </c>
      <c r="C104" s="4">
        <f t="shared" si="93"/>
        <v>44777</v>
      </c>
      <c r="D104">
        <f>INDEX(Nifty!$A$3:$K$253,MATCH('Iron Condor (Hedge)'!B104,Nifty!$A$3:$A$253),Nifty!$L$255)</f>
        <v>17700</v>
      </c>
      <c r="E104" t="str">
        <f t="shared" ref="E104:F104" si="95">E100</f>
        <v>CE</v>
      </c>
      <c r="F104" t="str">
        <f t="shared" si="95"/>
        <v>BUY</v>
      </c>
      <c r="G104" s="10">
        <v>4.9000000000000004</v>
      </c>
      <c r="I104" s="10">
        <v>0.1</v>
      </c>
      <c r="J104" s="10">
        <f t="shared" si="0"/>
        <v>-240.00000000000003</v>
      </c>
      <c r="L104" s="12">
        <f t="shared" si="55"/>
        <v>23934.999999999989</v>
      </c>
      <c r="N104">
        <v>20</v>
      </c>
      <c r="O104">
        <f t="shared" si="46"/>
        <v>40</v>
      </c>
      <c r="P104">
        <f t="shared" si="47"/>
        <v>2.5000000000000001E-3</v>
      </c>
      <c r="Q104">
        <f t="shared" si="48"/>
        <v>0.13250000000000001</v>
      </c>
      <c r="R104">
        <f t="shared" si="49"/>
        <v>7.2238949999999997</v>
      </c>
      <c r="S104">
        <f t="shared" si="50"/>
        <v>2.5000000000000001E-4</v>
      </c>
      <c r="T104">
        <f t="shared" si="51"/>
        <v>1.4700000000000002E-4</v>
      </c>
      <c r="U104">
        <f t="shared" si="52"/>
        <v>7.3592919999999999</v>
      </c>
      <c r="V104">
        <f t="shared" si="53"/>
        <v>-287.35929199999998</v>
      </c>
      <c r="W104">
        <f>W103+V104</f>
        <v>18686.770699379987</v>
      </c>
    </row>
    <row r="105" spans="1:23" x14ac:dyDescent="0.25">
      <c r="A105" s="6">
        <f t="shared" si="58"/>
        <v>26.4</v>
      </c>
      <c r="B105" s="7">
        <f t="shared" si="93"/>
        <v>44771</v>
      </c>
      <c r="C105" s="8">
        <f t="shared" si="93"/>
        <v>44777</v>
      </c>
      <c r="D105" s="6">
        <f>INDEX(Nifty!$A$4:$K$254,MATCH('Iron Condor (Hedge)'!B105,Nifty!$A$4:$A$254),Nifty!$L$256)</f>
        <v>16650</v>
      </c>
      <c r="E105" s="6" t="str">
        <f t="shared" ref="E105:F105" si="96">E101</f>
        <v>PE</v>
      </c>
      <c r="F105" s="6" t="str">
        <f t="shared" si="96"/>
        <v>BUY</v>
      </c>
      <c r="G105" s="6">
        <v>13.6</v>
      </c>
      <c r="H105" s="6">
        <f>G102+G103-G104-G105</f>
        <v>49.3</v>
      </c>
      <c r="I105" s="6">
        <v>0.05</v>
      </c>
      <c r="J105" s="6">
        <f t="shared" si="0"/>
        <v>-677.5</v>
      </c>
      <c r="K105" s="6">
        <f>SUM(J102:J105)</f>
        <v>2457.5</v>
      </c>
      <c r="L105" s="12">
        <f t="shared" si="55"/>
        <v>23257.499999999989</v>
      </c>
      <c r="M105">
        <f>IF(K105+M101&lt;0,K105+M101,0)</f>
        <v>-5130</v>
      </c>
      <c r="N105">
        <v>20</v>
      </c>
      <c r="O105">
        <f t="shared" si="46"/>
        <v>40</v>
      </c>
      <c r="P105">
        <f t="shared" si="47"/>
        <v>1.25E-3</v>
      </c>
      <c r="Q105">
        <f t="shared" si="48"/>
        <v>0.36172499999999996</v>
      </c>
      <c r="R105">
        <f t="shared" si="49"/>
        <v>7.2652333499999999</v>
      </c>
      <c r="S105">
        <f t="shared" si="50"/>
        <v>6.8249999999999995E-4</v>
      </c>
      <c r="T105">
        <f t="shared" si="51"/>
        <v>4.08E-4</v>
      </c>
      <c r="U105">
        <f t="shared" si="52"/>
        <v>7.6292988499999996</v>
      </c>
      <c r="V105">
        <f t="shared" si="53"/>
        <v>-725.12929885000005</v>
      </c>
      <c r="W105">
        <f>W104+V105</f>
        <v>17961.641400529988</v>
      </c>
    </row>
    <row r="106" spans="1:23" x14ac:dyDescent="0.25">
      <c r="A106">
        <f t="shared" si="58"/>
        <v>27.1</v>
      </c>
      <c r="B106" s="1">
        <f t="shared" si="93"/>
        <v>44778</v>
      </c>
      <c r="C106" s="4">
        <f t="shared" si="93"/>
        <v>44784</v>
      </c>
      <c r="D106">
        <f>INDEX(Nifty!$A$1:$K$251,MATCH('Iron Condor (Hedge)'!B106,Nifty!$A$1:$A$251),Nifty!$L$253)</f>
        <v>17650</v>
      </c>
      <c r="E106" t="str">
        <f t="shared" ref="E106:F106" si="97">E102</f>
        <v>CE</v>
      </c>
      <c r="F106" t="str">
        <f t="shared" si="97"/>
        <v>SELL</v>
      </c>
      <c r="G106" s="10">
        <v>41.15</v>
      </c>
      <c r="I106" s="10">
        <v>9.4</v>
      </c>
      <c r="J106" s="10">
        <f t="shared" si="0"/>
        <v>1587.5</v>
      </c>
      <c r="L106" s="12">
        <f t="shared" si="55"/>
        <v>24844.999999999989</v>
      </c>
      <c r="N106">
        <v>20</v>
      </c>
      <c r="O106">
        <f t="shared" si="46"/>
        <v>40</v>
      </c>
      <c r="P106">
        <f t="shared" si="47"/>
        <v>1.0287500000000001</v>
      </c>
      <c r="Q106">
        <f t="shared" si="48"/>
        <v>1.339575</v>
      </c>
      <c r="R106">
        <f t="shared" si="49"/>
        <v>7.4415784499999988</v>
      </c>
      <c r="S106">
        <f t="shared" si="50"/>
        <v>2.5274999999999998E-3</v>
      </c>
      <c r="T106">
        <f t="shared" si="51"/>
        <v>2.8200000000000002E-4</v>
      </c>
      <c r="U106">
        <f t="shared" si="52"/>
        <v>9.8127129499999981</v>
      </c>
      <c r="V106">
        <f t="shared" si="53"/>
        <v>1537.6872870499999</v>
      </c>
      <c r="W106">
        <f>W105+V106</f>
        <v>19499.328687579989</v>
      </c>
    </row>
    <row r="107" spans="1:23" x14ac:dyDescent="0.25">
      <c r="A107">
        <f t="shared" si="58"/>
        <v>27.2</v>
      </c>
      <c r="B107" s="1">
        <f t="shared" si="93"/>
        <v>44778</v>
      </c>
      <c r="C107" s="4">
        <f t="shared" si="93"/>
        <v>44784</v>
      </c>
      <c r="D107">
        <f>INDEX(Nifty!$A$2:$K$252,MATCH('Iron Condor (Hedge)'!B107,Nifty!$A$2:$A$252),Nifty!$L$254)</f>
        <v>17100</v>
      </c>
      <c r="E107" t="str">
        <f t="shared" ref="E107:F107" si="98">E103</f>
        <v>PE</v>
      </c>
      <c r="F107" t="str">
        <f t="shared" si="98"/>
        <v>SELL</v>
      </c>
      <c r="G107" s="10">
        <v>47.1</v>
      </c>
      <c r="I107" s="10">
        <v>0.05</v>
      </c>
      <c r="J107" s="10">
        <f t="shared" si="0"/>
        <v>2352.5</v>
      </c>
      <c r="L107" s="12">
        <f t="shared" si="55"/>
        <v>27197.499999999989</v>
      </c>
      <c r="N107">
        <v>20</v>
      </c>
      <c r="O107">
        <f t="shared" si="46"/>
        <v>40</v>
      </c>
      <c r="P107">
        <f t="shared" si="47"/>
        <v>1.1775</v>
      </c>
      <c r="Q107">
        <f t="shared" si="48"/>
        <v>1.2494749999999999</v>
      </c>
      <c r="R107">
        <f t="shared" si="49"/>
        <v>7.4253298499999998</v>
      </c>
      <c r="S107">
        <f t="shared" si="50"/>
        <v>2.3574999999999998E-3</v>
      </c>
      <c r="T107">
        <f t="shared" si="51"/>
        <v>1.5E-6</v>
      </c>
      <c r="U107">
        <f t="shared" si="52"/>
        <v>9.8546638499999997</v>
      </c>
      <c r="V107">
        <f t="shared" si="53"/>
        <v>2302.6453361499998</v>
      </c>
      <c r="W107">
        <f>W106+V107</f>
        <v>21801.974023729988</v>
      </c>
    </row>
    <row r="108" spans="1:23" x14ac:dyDescent="0.25">
      <c r="A108">
        <f t="shared" si="58"/>
        <v>27.3</v>
      </c>
      <c r="B108" s="1">
        <f t="shared" si="93"/>
        <v>44778</v>
      </c>
      <c r="C108" s="4">
        <f t="shared" si="93"/>
        <v>44784</v>
      </c>
      <c r="D108">
        <f>INDEX(Nifty!$A$3:$K$253,MATCH('Iron Condor (Hedge)'!B108,Nifty!$A$3:$A$253),Nifty!$L$255)</f>
        <v>17900</v>
      </c>
      <c r="E108" t="str">
        <f t="shared" ref="E108:F108" si="99">E104</f>
        <v>CE</v>
      </c>
      <c r="F108" t="str">
        <f t="shared" si="99"/>
        <v>BUY</v>
      </c>
      <c r="G108" s="10">
        <v>8.6999999999999993</v>
      </c>
      <c r="I108" s="10">
        <v>0.1</v>
      </c>
      <c r="J108" s="10">
        <f t="shared" si="0"/>
        <v>-430</v>
      </c>
      <c r="L108" s="12">
        <f t="shared" si="55"/>
        <v>26767.499999999989</v>
      </c>
      <c r="N108">
        <v>20</v>
      </c>
      <c r="O108">
        <f t="shared" si="46"/>
        <v>40</v>
      </c>
      <c r="P108">
        <f t="shared" si="47"/>
        <v>2.5000000000000001E-3</v>
      </c>
      <c r="Q108">
        <f t="shared" si="48"/>
        <v>0.23319999999999996</v>
      </c>
      <c r="R108">
        <f t="shared" si="49"/>
        <v>7.2420551999999985</v>
      </c>
      <c r="S108">
        <f t="shared" si="50"/>
        <v>4.3999999999999996E-4</v>
      </c>
      <c r="T108">
        <f t="shared" si="51"/>
        <v>2.61E-4</v>
      </c>
      <c r="U108">
        <f t="shared" si="52"/>
        <v>7.4784561999999983</v>
      </c>
      <c r="V108">
        <f t="shared" si="53"/>
        <v>-477.47845619999998</v>
      </c>
      <c r="W108">
        <f>W107+V108</f>
        <v>21324.49556752999</v>
      </c>
    </row>
    <row r="109" spans="1:23" x14ac:dyDescent="0.25">
      <c r="A109" s="6">
        <f t="shared" si="58"/>
        <v>27.4</v>
      </c>
      <c r="B109" s="7">
        <f t="shared" si="93"/>
        <v>44778</v>
      </c>
      <c r="C109" s="8">
        <f t="shared" si="93"/>
        <v>44784</v>
      </c>
      <c r="D109" s="6">
        <f>INDEX(Nifty!$A$4:$K$254,MATCH('Iron Condor (Hedge)'!B109,Nifty!$A$4:$A$254),Nifty!$L$256)</f>
        <v>16850</v>
      </c>
      <c r="E109" s="6" t="str">
        <f t="shared" ref="E109:F109" si="100">E105</f>
        <v>PE</v>
      </c>
      <c r="F109" s="6" t="str">
        <f t="shared" si="100"/>
        <v>BUY</v>
      </c>
      <c r="G109" s="6">
        <v>17.399999999999999</v>
      </c>
      <c r="H109" s="6">
        <f>G106+G107-G108-G109</f>
        <v>62.15</v>
      </c>
      <c r="I109" s="6">
        <v>0.05</v>
      </c>
      <c r="J109" s="6">
        <f t="shared" si="0"/>
        <v>-867.49999999999989</v>
      </c>
      <c r="K109" s="6">
        <f>SUM(J106:J109)</f>
        <v>2642.5</v>
      </c>
      <c r="L109" s="12">
        <f t="shared" si="55"/>
        <v>25899.999999999989</v>
      </c>
      <c r="M109">
        <f>IF(K109+M105&lt;0,K109+M105,0)</f>
        <v>-2487.5</v>
      </c>
      <c r="N109">
        <v>20</v>
      </c>
      <c r="O109">
        <f t="shared" si="46"/>
        <v>40</v>
      </c>
      <c r="P109">
        <f t="shared" si="47"/>
        <v>1.25E-3</v>
      </c>
      <c r="Q109">
        <f t="shared" si="48"/>
        <v>0.46242499999999997</v>
      </c>
      <c r="R109">
        <f t="shared" si="49"/>
        <v>7.2833935500000004</v>
      </c>
      <c r="S109">
        <f t="shared" si="50"/>
        <v>8.724999999999999E-4</v>
      </c>
      <c r="T109">
        <f t="shared" si="51"/>
        <v>5.22E-4</v>
      </c>
      <c r="U109">
        <f t="shared" si="52"/>
        <v>7.7484630500000007</v>
      </c>
      <c r="V109">
        <f t="shared" si="53"/>
        <v>-915.24846304999994</v>
      </c>
      <c r="W109">
        <f>W108+V109</f>
        <v>20409.24710447999</v>
      </c>
    </row>
    <row r="110" spans="1:23" x14ac:dyDescent="0.25">
      <c r="A110">
        <f t="shared" si="58"/>
        <v>28.1</v>
      </c>
      <c r="B110" s="1">
        <f t="shared" si="93"/>
        <v>44785</v>
      </c>
      <c r="C110" s="4">
        <f t="shared" si="93"/>
        <v>44791</v>
      </c>
      <c r="D110">
        <f>INDEX(Nifty!$A$1:$K$251,MATCH('Iron Condor (Hedge)'!B110,Nifty!$A$1:$A$251),Nifty!$L$253)</f>
        <v>17950</v>
      </c>
      <c r="E110" t="str">
        <f t="shared" ref="E110:F110" si="101">E106</f>
        <v>CE</v>
      </c>
      <c r="F110" t="str">
        <f t="shared" si="101"/>
        <v>SELL</v>
      </c>
      <c r="G110" s="10">
        <v>20.95</v>
      </c>
      <c r="I110" s="10">
        <v>8.1999999999999993</v>
      </c>
      <c r="J110" s="10">
        <f t="shared" si="0"/>
        <v>637.5</v>
      </c>
      <c r="L110" s="12">
        <f t="shared" si="55"/>
        <v>26537.499999999989</v>
      </c>
      <c r="N110">
        <v>20</v>
      </c>
      <c r="O110">
        <f t="shared" si="46"/>
        <v>40</v>
      </c>
      <c r="P110">
        <f t="shared" si="47"/>
        <v>0.52375000000000005</v>
      </c>
      <c r="Q110">
        <f t="shared" si="48"/>
        <v>0.77247500000000002</v>
      </c>
      <c r="R110">
        <f t="shared" si="49"/>
        <v>7.33930785</v>
      </c>
      <c r="S110">
        <f t="shared" si="50"/>
        <v>1.4574999999999998E-3</v>
      </c>
      <c r="T110">
        <f t="shared" si="51"/>
        <v>2.4599999999999996E-4</v>
      </c>
      <c r="U110">
        <f t="shared" si="52"/>
        <v>8.637236350000002</v>
      </c>
      <c r="V110">
        <f t="shared" si="53"/>
        <v>588.86276365000003</v>
      </c>
      <c r="W110">
        <f>W109+V110</f>
        <v>20998.109868129988</v>
      </c>
    </row>
    <row r="111" spans="1:23" x14ac:dyDescent="0.25">
      <c r="A111">
        <f t="shared" si="58"/>
        <v>28.2</v>
      </c>
      <c r="B111" s="1">
        <f t="shared" si="93"/>
        <v>44785</v>
      </c>
      <c r="C111" s="4">
        <f t="shared" si="93"/>
        <v>44791</v>
      </c>
      <c r="D111">
        <f>INDEX(Nifty!$A$2:$K$252,MATCH('Iron Condor (Hedge)'!B111,Nifty!$A$2:$A$252),Nifty!$L$254)</f>
        <v>17400</v>
      </c>
      <c r="E111" t="str">
        <f t="shared" ref="E111:F111" si="102">E107</f>
        <v>PE</v>
      </c>
      <c r="F111" t="str">
        <f t="shared" si="102"/>
        <v>SELL</v>
      </c>
      <c r="G111" s="10">
        <v>27.15</v>
      </c>
      <c r="I111" s="10">
        <v>0.1</v>
      </c>
      <c r="J111" s="10">
        <f t="shared" si="0"/>
        <v>1352.4999999999998</v>
      </c>
      <c r="L111" s="12">
        <f t="shared" si="55"/>
        <v>27889.999999999989</v>
      </c>
      <c r="N111">
        <v>20</v>
      </c>
      <c r="O111">
        <f t="shared" si="46"/>
        <v>40</v>
      </c>
      <c r="P111">
        <f t="shared" si="47"/>
        <v>0.67874999999999996</v>
      </c>
      <c r="Q111">
        <f t="shared" si="48"/>
        <v>0.72212500000000002</v>
      </c>
      <c r="R111">
        <f t="shared" si="49"/>
        <v>7.3302277499999988</v>
      </c>
      <c r="S111">
        <f t="shared" si="50"/>
        <v>1.3625E-3</v>
      </c>
      <c r="T111">
        <f t="shared" si="51"/>
        <v>3.0000000000000001E-6</v>
      </c>
      <c r="U111">
        <f t="shared" si="52"/>
        <v>8.7324682499999984</v>
      </c>
      <c r="V111">
        <f t="shared" si="53"/>
        <v>1303.7675317499998</v>
      </c>
      <c r="W111">
        <f>W110+V111</f>
        <v>22301.877399879988</v>
      </c>
    </row>
    <row r="112" spans="1:23" x14ac:dyDescent="0.25">
      <c r="A112">
        <f t="shared" si="58"/>
        <v>28.3</v>
      </c>
      <c r="B112" s="1">
        <f t="shared" si="93"/>
        <v>44785</v>
      </c>
      <c r="C112" s="4">
        <f t="shared" si="93"/>
        <v>44791</v>
      </c>
      <c r="D112">
        <f>INDEX(Nifty!$A$3:$K$253,MATCH('Iron Condor (Hedge)'!B112,Nifty!$A$3:$A$253),Nifty!$L$255)</f>
        <v>18200</v>
      </c>
      <c r="E112" t="str">
        <f t="shared" ref="E112:F112" si="103">E108</f>
        <v>CE</v>
      </c>
      <c r="F112" t="str">
        <f t="shared" si="103"/>
        <v>BUY</v>
      </c>
      <c r="G112" s="10">
        <v>3.3</v>
      </c>
      <c r="I112" s="10">
        <v>0.05</v>
      </c>
      <c r="J112" s="10">
        <f t="shared" si="0"/>
        <v>-162.5</v>
      </c>
      <c r="L112" s="12">
        <f t="shared" si="55"/>
        <v>27727.499999999989</v>
      </c>
      <c r="N112">
        <v>20</v>
      </c>
      <c r="O112">
        <f t="shared" si="46"/>
        <v>40</v>
      </c>
      <c r="P112">
        <f t="shared" si="47"/>
        <v>1.25E-3</v>
      </c>
      <c r="Q112">
        <f t="shared" si="48"/>
        <v>8.8774999999999979E-2</v>
      </c>
      <c r="R112">
        <f t="shared" si="49"/>
        <v>7.2160096500000002</v>
      </c>
      <c r="S112">
        <f t="shared" si="50"/>
        <v>1.6749999999999998E-4</v>
      </c>
      <c r="T112">
        <f t="shared" si="51"/>
        <v>9.8999999999999994E-5</v>
      </c>
      <c r="U112">
        <f t="shared" si="52"/>
        <v>7.3063011499999995</v>
      </c>
      <c r="V112">
        <f t="shared" si="53"/>
        <v>-209.80630115</v>
      </c>
      <c r="W112">
        <f>W111+V112</f>
        <v>22092.071098729986</v>
      </c>
    </row>
    <row r="113" spans="1:23" x14ac:dyDescent="0.25">
      <c r="A113" s="6">
        <f t="shared" si="58"/>
        <v>28.4</v>
      </c>
      <c r="B113" s="7">
        <f t="shared" si="93"/>
        <v>44785</v>
      </c>
      <c r="C113" s="8">
        <f t="shared" si="93"/>
        <v>44791</v>
      </c>
      <c r="D113" s="6">
        <f>INDEX(Nifty!$A$4:$K$254,MATCH('Iron Condor (Hedge)'!B113,Nifty!$A$4:$A$254),Nifty!$L$256)</f>
        <v>17150</v>
      </c>
      <c r="E113" s="6" t="str">
        <f t="shared" ref="E113:F113" si="104">E109</f>
        <v>PE</v>
      </c>
      <c r="F113" s="6" t="str">
        <f t="shared" si="104"/>
        <v>BUY</v>
      </c>
      <c r="G113" s="6">
        <v>8.6999999999999993</v>
      </c>
      <c r="H113" s="6">
        <f>G110+G111-G112-G113</f>
        <v>36.099999999999994</v>
      </c>
      <c r="I113" s="6">
        <v>0.05</v>
      </c>
      <c r="J113" s="6">
        <f t="shared" si="0"/>
        <v>-432.49999999999994</v>
      </c>
      <c r="K113" s="6">
        <f>SUM(J110:J113)</f>
        <v>1394.9999999999998</v>
      </c>
      <c r="L113" s="12">
        <f t="shared" si="55"/>
        <v>27294.999999999989</v>
      </c>
      <c r="M113">
        <f>IF(K113+M109&lt;0,K113+M109,0)</f>
        <v>-1092.5000000000002</v>
      </c>
      <c r="N113">
        <v>20</v>
      </c>
      <c r="O113">
        <f t="shared" si="46"/>
        <v>40</v>
      </c>
      <c r="P113">
        <f t="shared" si="47"/>
        <v>1.25E-3</v>
      </c>
      <c r="Q113">
        <f t="shared" si="48"/>
        <v>0.231875</v>
      </c>
      <c r="R113">
        <f t="shared" si="49"/>
        <v>7.2418162499999994</v>
      </c>
      <c r="S113">
        <f t="shared" si="50"/>
        <v>4.3749999999999995E-4</v>
      </c>
      <c r="T113">
        <f t="shared" si="51"/>
        <v>2.61E-4</v>
      </c>
      <c r="U113">
        <f t="shared" si="52"/>
        <v>7.47563975</v>
      </c>
      <c r="V113">
        <f t="shared" si="53"/>
        <v>-479.97563974999997</v>
      </c>
      <c r="W113">
        <f>W112+V113</f>
        <v>21612.095458979988</v>
      </c>
    </row>
    <row r="114" spans="1:23" x14ac:dyDescent="0.25">
      <c r="A114">
        <f t="shared" si="58"/>
        <v>29.1</v>
      </c>
      <c r="B114" s="1">
        <f t="shared" si="93"/>
        <v>44792</v>
      </c>
      <c r="C114" s="4">
        <f t="shared" si="93"/>
        <v>44798</v>
      </c>
      <c r="D114">
        <f>INDEX(Nifty!$A$1:$K$251,MATCH('Iron Condor (Hedge)'!B114,Nifty!$A$1:$A$251),Nifty!$L$253)</f>
        <v>18050</v>
      </c>
      <c r="E114" t="str">
        <f t="shared" ref="E114:F114" si="105">E110</f>
        <v>CE</v>
      </c>
      <c r="F114" t="str">
        <f t="shared" si="105"/>
        <v>SELL</v>
      </c>
      <c r="G114" s="10">
        <v>34.549999999999997</v>
      </c>
      <c r="I114" s="10">
        <v>0.1</v>
      </c>
      <c r="J114" s="10">
        <f t="shared" si="0"/>
        <v>1722.4999999999998</v>
      </c>
      <c r="L114" s="12">
        <f t="shared" si="55"/>
        <v>29017.499999999989</v>
      </c>
      <c r="N114">
        <v>20</v>
      </c>
      <c r="O114">
        <f t="shared" si="46"/>
        <v>40</v>
      </c>
      <c r="P114">
        <f t="shared" si="47"/>
        <v>0.86374999999999991</v>
      </c>
      <c r="Q114">
        <f t="shared" si="48"/>
        <v>0.91822499999999996</v>
      </c>
      <c r="R114">
        <f t="shared" si="49"/>
        <v>7.36559235</v>
      </c>
      <c r="S114">
        <f t="shared" si="50"/>
        <v>1.7324999999999997E-3</v>
      </c>
      <c r="T114">
        <f t="shared" si="51"/>
        <v>3.0000000000000001E-6</v>
      </c>
      <c r="U114">
        <f t="shared" si="52"/>
        <v>9.149302849999998</v>
      </c>
      <c r="V114">
        <f t="shared" si="53"/>
        <v>1673.3506971499999</v>
      </c>
      <c r="W114">
        <f>W113+V114</f>
        <v>23285.446156129987</v>
      </c>
    </row>
    <row r="115" spans="1:23" x14ac:dyDescent="0.25">
      <c r="A115">
        <f t="shared" si="58"/>
        <v>29.2</v>
      </c>
      <c r="B115" s="1">
        <f t="shared" si="93"/>
        <v>44792</v>
      </c>
      <c r="C115" s="4">
        <f t="shared" si="93"/>
        <v>44798</v>
      </c>
      <c r="D115">
        <f>INDEX(Nifty!$A$2:$K$252,MATCH('Iron Condor (Hedge)'!B115,Nifty!$A$2:$A$252),Nifty!$L$254)</f>
        <v>17500</v>
      </c>
      <c r="E115" t="str">
        <f t="shared" ref="E115:F115" si="106">E111</f>
        <v>PE</v>
      </c>
      <c r="F115" t="str">
        <f t="shared" si="106"/>
        <v>SELL</v>
      </c>
      <c r="G115" s="10">
        <v>42.5</v>
      </c>
      <c r="I115" s="10">
        <v>7.15</v>
      </c>
      <c r="J115" s="10">
        <f t="shared" si="0"/>
        <v>1767.5</v>
      </c>
      <c r="L115" s="12">
        <f t="shared" si="55"/>
        <v>30784.999999999989</v>
      </c>
      <c r="N115">
        <v>20</v>
      </c>
      <c r="O115">
        <f t="shared" si="46"/>
        <v>40</v>
      </c>
      <c r="P115">
        <f t="shared" si="47"/>
        <v>1.0625</v>
      </c>
      <c r="Q115">
        <f t="shared" si="48"/>
        <v>1.315725</v>
      </c>
      <c r="R115">
        <f t="shared" si="49"/>
        <v>7.4372773499999996</v>
      </c>
      <c r="S115">
        <f t="shared" si="50"/>
        <v>2.4824999999999999E-3</v>
      </c>
      <c r="T115">
        <f t="shared" si="51"/>
        <v>2.1450000000000001E-4</v>
      </c>
      <c r="U115">
        <f t="shared" si="52"/>
        <v>9.8181993499999987</v>
      </c>
      <c r="V115">
        <f t="shared" si="53"/>
        <v>1717.68180065</v>
      </c>
      <c r="W115">
        <f>W114+V115</f>
        <v>25003.127956779987</v>
      </c>
    </row>
    <row r="116" spans="1:23" x14ac:dyDescent="0.25">
      <c r="A116">
        <f t="shared" si="58"/>
        <v>29.3</v>
      </c>
      <c r="B116" s="1">
        <f t="shared" si="93"/>
        <v>44792</v>
      </c>
      <c r="C116" s="4">
        <f t="shared" si="93"/>
        <v>44798</v>
      </c>
      <c r="D116">
        <f>INDEX(Nifty!$A$3:$K$253,MATCH('Iron Condor (Hedge)'!B116,Nifty!$A$3:$A$253),Nifty!$L$255)</f>
        <v>18300</v>
      </c>
      <c r="E116" t="str">
        <f t="shared" ref="E116:F116" si="107">E112</f>
        <v>CE</v>
      </c>
      <c r="F116" t="str">
        <f t="shared" si="107"/>
        <v>BUY</v>
      </c>
      <c r="G116" s="10">
        <v>8.65</v>
      </c>
      <c r="I116" s="10">
        <v>0.05</v>
      </c>
      <c r="J116" s="10">
        <f t="shared" si="0"/>
        <v>-430</v>
      </c>
      <c r="L116" s="12">
        <f t="shared" si="55"/>
        <v>30354.999999999989</v>
      </c>
      <c r="N116">
        <v>20</v>
      </c>
      <c r="O116">
        <f t="shared" si="46"/>
        <v>40</v>
      </c>
      <c r="P116">
        <f t="shared" si="47"/>
        <v>1.25E-3</v>
      </c>
      <c r="Q116">
        <f t="shared" si="48"/>
        <v>0.23055000000000003</v>
      </c>
      <c r="R116">
        <f t="shared" si="49"/>
        <v>7.2415773000000003</v>
      </c>
      <c r="S116">
        <f t="shared" si="50"/>
        <v>4.3500000000000006E-4</v>
      </c>
      <c r="T116">
        <f t="shared" si="51"/>
        <v>2.5950000000000002E-4</v>
      </c>
      <c r="U116">
        <f t="shared" si="52"/>
        <v>7.4740718000000008</v>
      </c>
      <c r="V116">
        <f t="shared" si="53"/>
        <v>-477.47407179999999</v>
      </c>
      <c r="W116">
        <f>W115+V116</f>
        <v>24525.653884979987</v>
      </c>
    </row>
    <row r="117" spans="1:23" x14ac:dyDescent="0.25">
      <c r="A117" s="6">
        <f t="shared" si="58"/>
        <v>29.4</v>
      </c>
      <c r="B117" s="7">
        <f t="shared" si="93"/>
        <v>44792</v>
      </c>
      <c r="C117" s="8">
        <f t="shared" si="93"/>
        <v>44798</v>
      </c>
      <c r="D117" s="6">
        <f>INDEX(Nifty!$A$4:$K$254,MATCH('Iron Condor (Hedge)'!B117,Nifty!$A$4:$A$254),Nifty!$L$256)</f>
        <v>17250</v>
      </c>
      <c r="E117" s="6" t="str">
        <f t="shared" ref="E117:F117" si="108">E113</f>
        <v>PE</v>
      </c>
      <c r="F117" s="6" t="str">
        <f t="shared" si="108"/>
        <v>BUY</v>
      </c>
      <c r="G117" s="6">
        <v>15.15</v>
      </c>
      <c r="H117" s="6">
        <f>G114+G115-G116-G117</f>
        <v>53.249999999999993</v>
      </c>
      <c r="I117" s="6">
        <v>0.25</v>
      </c>
      <c r="J117" s="6">
        <f t="shared" si="0"/>
        <v>-745</v>
      </c>
      <c r="K117" s="6">
        <f>SUM(J114:J117)</f>
        <v>2315</v>
      </c>
      <c r="L117" s="12">
        <f t="shared" si="55"/>
        <v>29609.999999999989</v>
      </c>
      <c r="M117">
        <f>IF(K117+M113&lt;0,K117+M113,0)</f>
        <v>0</v>
      </c>
      <c r="N117">
        <v>20</v>
      </c>
      <c r="O117">
        <f t="shared" si="46"/>
        <v>40</v>
      </c>
      <c r="P117">
        <f t="shared" si="47"/>
        <v>6.2500000000000003E-3</v>
      </c>
      <c r="Q117">
        <f t="shared" si="48"/>
        <v>0.40809999999999996</v>
      </c>
      <c r="R117">
        <f t="shared" si="49"/>
        <v>7.2735965999999994</v>
      </c>
      <c r="S117">
        <f t="shared" si="50"/>
        <v>7.6999999999999996E-4</v>
      </c>
      <c r="T117">
        <f t="shared" si="51"/>
        <v>4.5450000000000004E-4</v>
      </c>
      <c r="U117">
        <f t="shared" si="52"/>
        <v>7.6891710999999994</v>
      </c>
      <c r="V117">
        <f t="shared" si="53"/>
        <v>-792.68917109999995</v>
      </c>
      <c r="W117">
        <f>W116+V117</f>
        <v>23732.964713879988</v>
      </c>
    </row>
    <row r="118" spans="1:23" x14ac:dyDescent="0.25">
      <c r="A118">
        <f t="shared" si="58"/>
        <v>30.1</v>
      </c>
      <c r="B118" s="1">
        <f t="shared" si="93"/>
        <v>44799</v>
      </c>
      <c r="C118" s="4">
        <f t="shared" si="93"/>
        <v>44805</v>
      </c>
      <c r="D118">
        <f>INDEX(Nifty!$A$1:$K$251,MATCH('Iron Condor (Hedge)'!B118,Nifty!$A$1:$A$251),Nifty!$L$253)</f>
        <v>17850</v>
      </c>
      <c r="E118" t="str">
        <f t="shared" ref="E118:F118" si="109">E114</f>
        <v>CE</v>
      </c>
      <c r="F118" t="str">
        <f t="shared" si="109"/>
        <v>SELL</v>
      </c>
      <c r="G118" s="10">
        <v>40.549999999999997</v>
      </c>
      <c r="I118" s="10">
        <v>0.1</v>
      </c>
      <c r="J118" s="10">
        <f t="shared" si="0"/>
        <v>2022.4999999999998</v>
      </c>
      <c r="L118" s="12">
        <f t="shared" si="55"/>
        <v>31632.499999999989</v>
      </c>
      <c r="N118">
        <v>20</v>
      </c>
      <c r="O118">
        <f t="shared" si="46"/>
        <v>40</v>
      </c>
      <c r="P118">
        <f t="shared" si="47"/>
        <v>1.0137499999999999</v>
      </c>
      <c r="Q118">
        <f t="shared" si="48"/>
        <v>1.0772249999999999</v>
      </c>
      <c r="R118">
        <f t="shared" si="49"/>
        <v>7.3942663499999988</v>
      </c>
      <c r="S118">
        <f t="shared" si="50"/>
        <v>2.0325E-3</v>
      </c>
      <c r="T118">
        <f t="shared" si="51"/>
        <v>3.0000000000000001E-6</v>
      </c>
      <c r="U118">
        <f t="shared" si="52"/>
        <v>9.4872768499999989</v>
      </c>
      <c r="V118">
        <f t="shared" si="53"/>
        <v>1973.0127231499998</v>
      </c>
      <c r="W118">
        <f>W117+V118</f>
        <v>25705.977437029989</v>
      </c>
    </row>
    <row r="119" spans="1:23" x14ac:dyDescent="0.25">
      <c r="A119">
        <f t="shared" si="58"/>
        <v>30.2</v>
      </c>
      <c r="B119" s="1">
        <f t="shared" ref="B119:C134" si="110">B115+7</f>
        <v>44799</v>
      </c>
      <c r="C119" s="4">
        <f t="shared" si="110"/>
        <v>44805</v>
      </c>
      <c r="D119">
        <f>INDEX(Nifty!$A$2:$K$252,MATCH('Iron Condor (Hedge)'!B119,Nifty!$A$2:$A$252),Nifty!$L$254)</f>
        <v>17300</v>
      </c>
      <c r="E119" t="str">
        <f t="shared" ref="E119:F119" si="111">E115</f>
        <v>PE</v>
      </c>
      <c r="F119" t="str">
        <f t="shared" si="111"/>
        <v>SELL</v>
      </c>
      <c r="G119" s="10">
        <v>46.75</v>
      </c>
      <c r="I119" s="10">
        <v>0.05</v>
      </c>
      <c r="J119" s="10">
        <f t="shared" si="0"/>
        <v>2335</v>
      </c>
      <c r="L119" s="12">
        <f t="shared" si="55"/>
        <v>33967.499999999985</v>
      </c>
      <c r="N119">
        <v>20</v>
      </c>
      <c r="O119">
        <f t="shared" si="46"/>
        <v>40</v>
      </c>
      <c r="P119">
        <f t="shared" si="47"/>
        <v>1.16875</v>
      </c>
      <c r="Q119">
        <f t="shared" si="48"/>
        <v>1.2402</v>
      </c>
      <c r="R119">
        <f t="shared" si="49"/>
        <v>7.4236571999999992</v>
      </c>
      <c r="S119">
        <f t="shared" si="50"/>
        <v>2.3399999999999996E-3</v>
      </c>
      <c r="T119">
        <f t="shared" si="51"/>
        <v>1.5E-6</v>
      </c>
      <c r="U119">
        <f t="shared" si="52"/>
        <v>9.8349486999999982</v>
      </c>
      <c r="V119">
        <f t="shared" si="53"/>
        <v>2285.1650513</v>
      </c>
      <c r="W119">
        <f>W118+V119</f>
        <v>27991.142488329988</v>
      </c>
    </row>
    <row r="120" spans="1:23" x14ac:dyDescent="0.25">
      <c r="A120">
        <f t="shared" si="58"/>
        <v>30.3</v>
      </c>
      <c r="B120" s="1">
        <f t="shared" si="110"/>
        <v>44799</v>
      </c>
      <c r="C120" s="4">
        <f t="shared" si="110"/>
        <v>44805</v>
      </c>
      <c r="D120">
        <f>INDEX(Nifty!$A$3:$K$253,MATCH('Iron Condor (Hedge)'!B120,Nifty!$A$3:$A$253),Nifty!$L$255)</f>
        <v>18100</v>
      </c>
      <c r="E120" t="str">
        <f t="shared" ref="E120:F120" si="112">E116</f>
        <v>CE</v>
      </c>
      <c r="F120" t="str">
        <f t="shared" si="112"/>
        <v>BUY</v>
      </c>
      <c r="G120" s="10">
        <v>8.85</v>
      </c>
      <c r="I120" s="10">
        <v>0.05</v>
      </c>
      <c r="J120" s="10">
        <f t="shared" si="0"/>
        <v>-439.99999999999994</v>
      </c>
      <c r="L120" s="12">
        <f t="shared" si="55"/>
        <v>33527.499999999985</v>
      </c>
      <c r="N120">
        <v>20</v>
      </c>
      <c r="O120">
        <f t="shared" si="46"/>
        <v>40</v>
      </c>
      <c r="P120">
        <f t="shared" si="47"/>
        <v>1.25E-3</v>
      </c>
      <c r="Q120">
        <f t="shared" si="48"/>
        <v>0.23585</v>
      </c>
      <c r="R120">
        <f t="shared" si="49"/>
        <v>7.2425330999999993</v>
      </c>
      <c r="S120">
        <f t="shared" si="50"/>
        <v>4.4499999999999997E-4</v>
      </c>
      <c r="T120">
        <f t="shared" si="51"/>
        <v>2.655E-4</v>
      </c>
      <c r="U120">
        <f t="shared" si="52"/>
        <v>7.4803435999999994</v>
      </c>
      <c r="V120">
        <f t="shared" si="53"/>
        <v>-487.48034359999997</v>
      </c>
      <c r="W120">
        <f>W119+V120</f>
        <v>27503.662144729988</v>
      </c>
    </row>
    <row r="121" spans="1:23" x14ac:dyDescent="0.25">
      <c r="A121" s="6">
        <f t="shared" si="58"/>
        <v>30.4</v>
      </c>
      <c r="B121" s="7">
        <f t="shared" si="110"/>
        <v>44799</v>
      </c>
      <c r="C121" s="8">
        <f t="shared" si="110"/>
        <v>44805</v>
      </c>
      <c r="D121" s="6">
        <f>INDEX(Nifty!$A$4:$K$254,MATCH('Iron Condor (Hedge)'!B121,Nifty!$A$4:$A$254),Nifty!$L$256)</f>
        <v>17050</v>
      </c>
      <c r="E121" s="6" t="str">
        <f t="shared" ref="E121:F121" si="113">E117</f>
        <v>PE</v>
      </c>
      <c r="F121" s="6" t="str">
        <f t="shared" si="113"/>
        <v>BUY</v>
      </c>
      <c r="G121" s="6">
        <v>16.8</v>
      </c>
      <c r="H121" s="6">
        <f>G118+G119-G120-G121</f>
        <v>61.650000000000006</v>
      </c>
      <c r="I121" s="6">
        <v>0.1</v>
      </c>
      <c r="J121" s="6">
        <f t="shared" si="0"/>
        <v>-835</v>
      </c>
      <c r="K121" s="6">
        <f>SUM(J118:J121)</f>
        <v>3082.5</v>
      </c>
      <c r="L121" s="12">
        <f t="shared" si="55"/>
        <v>32692.499999999985</v>
      </c>
      <c r="M121">
        <f>IF(K121+M117&lt;0,K121+M117,0)</f>
        <v>0</v>
      </c>
      <c r="N121">
        <v>20</v>
      </c>
      <c r="O121">
        <f t="shared" si="46"/>
        <v>40</v>
      </c>
      <c r="P121">
        <f t="shared" si="47"/>
        <v>2.5000000000000001E-3</v>
      </c>
      <c r="Q121">
        <f t="shared" si="48"/>
        <v>0.44785000000000003</v>
      </c>
      <c r="R121">
        <f t="shared" si="49"/>
        <v>7.2807651</v>
      </c>
      <c r="S121">
        <f t="shared" si="50"/>
        <v>8.4500000000000005E-4</v>
      </c>
      <c r="T121">
        <f t="shared" si="51"/>
        <v>5.04E-4</v>
      </c>
      <c r="U121">
        <f t="shared" si="52"/>
        <v>7.7324641000000005</v>
      </c>
      <c r="V121">
        <f t="shared" si="53"/>
        <v>-882.73246410000002</v>
      </c>
      <c r="W121">
        <f>W120+V121</f>
        <v>26620.929680629986</v>
      </c>
    </row>
    <row r="122" spans="1:23" x14ac:dyDescent="0.25">
      <c r="A122">
        <f t="shared" si="58"/>
        <v>31.1</v>
      </c>
      <c r="B122" s="1">
        <f t="shared" si="110"/>
        <v>44806</v>
      </c>
      <c r="C122" s="4">
        <f t="shared" si="110"/>
        <v>44812</v>
      </c>
      <c r="D122">
        <f>INDEX(Nifty!$A$1:$K$251,MATCH('Iron Condor (Hedge)'!B122,Nifty!$A$1:$A$251),Nifty!$L$253)</f>
        <v>17800</v>
      </c>
      <c r="E122" t="str">
        <f t="shared" ref="E122:F122" si="114">E118</f>
        <v>CE</v>
      </c>
      <c r="F122" t="str">
        <f t="shared" si="114"/>
        <v>SELL</v>
      </c>
      <c r="G122" s="10">
        <v>54.95</v>
      </c>
      <c r="I122" s="10">
        <v>3.7</v>
      </c>
      <c r="J122" s="10">
        <f t="shared" si="0"/>
        <v>2562.5</v>
      </c>
      <c r="L122" s="12">
        <f t="shared" si="55"/>
        <v>35254.999999999985</v>
      </c>
      <c r="N122">
        <v>20</v>
      </c>
      <c r="O122">
        <f t="shared" si="46"/>
        <v>40</v>
      </c>
      <c r="P122">
        <f t="shared" si="47"/>
        <v>1.37375</v>
      </c>
      <c r="Q122">
        <f t="shared" si="48"/>
        <v>1.5542250000000002</v>
      </c>
      <c r="R122">
        <f t="shared" si="49"/>
        <v>7.4802883500000004</v>
      </c>
      <c r="S122">
        <f t="shared" si="50"/>
        <v>2.9325000000000002E-3</v>
      </c>
      <c r="T122">
        <f t="shared" si="51"/>
        <v>1.1100000000000001E-4</v>
      </c>
      <c r="U122">
        <f t="shared" si="52"/>
        <v>10.411306850000001</v>
      </c>
      <c r="V122">
        <f t="shared" si="53"/>
        <v>2512.0886931499999</v>
      </c>
      <c r="W122">
        <f>W121+V122</f>
        <v>29133.018373779985</v>
      </c>
    </row>
    <row r="123" spans="1:23" x14ac:dyDescent="0.25">
      <c r="A123">
        <f t="shared" si="58"/>
        <v>31.2</v>
      </c>
      <c r="B123" s="1">
        <f t="shared" si="110"/>
        <v>44806</v>
      </c>
      <c r="C123" s="4">
        <f t="shared" si="110"/>
        <v>44812</v>
      </c>
      <c r="D123">
        <f>INDEX(Nifty!$A$2:$K$252,MATCH('Iron Condor (Hedge)'!B123,Nifty!$A$2:$A$252),Nifty!$L$254)</f>
        <v>17250</v>
      </c>
      <c r="E123" t="str">
        <f t="shared" ref="E123:F123" si="115">E119</f>
        <v>PE</v>
      </c>
      <c r="F123" t="str">
        <f t="shared" si="115"/>
        <v>SELL</v>
      </c>
      <c r="G123" s="10">
        <v>54.05</v>
      </c>
      <c r="I123" s="10">
        <v>0.05</v>
      </c>
      <c r="J123" s="10">
        <f t="shared" si="0"/>
        <v>2700</v>
      </c>
      <c r="L123" s="12">
        <f t="shared" si="55"/>
        <v>37954.999999999985</v>
      </c>
      <c r="N123">
        <v>20</v>
      </c>
      <c r="O123">
        <f t="shared" si="46"/>
        <v>40</v>
      </c>
      <c r="P123">
        <f t="shared" si="47"/>
        <v>1.3512500000000001</v>
      </c>
      <c r="Q123">
        <f t="shared" si="48"/>
        <v>1.4336499999999996</v>
      </c>
      <c r="R123">
        <f t="shared" si="49"/>
        <v>7.4585438999999996</v>
      </c>
      <c r="S123">
        <f t="shared" si="50"/>
        <v>2.7049999999999995E-3</v>
      </c>
      <c r="T123">
        <f t="shared" si="51"/>
        <v>1.5E-6</v>
      </c>
      <c r="U123">
        <f t="shared" si="52"/>
        <v>10.246150399999999</v>
      </c>
      <c r="V123">
        <f t="shared" si="53"/>
        <v>2649.7538496000002</v>
      </c>
      <c r="W123">
        <f>W122+V123</f>
        <v>31782.772223379987</v>
      </c>
    </row>
    <row r="124" spans="1:23" x14ac:dyDescent="0.25">
      <c r="A124">
        <f t="shared" si="58"/>
        <v>31.3</v>
      </c>
      <c r="B124" s="1">
        <f t="shared" si="110"/>
        <v>44806</v>
      </c>
      <c r="C124" s="4">
        <f t="shared" si="110"/>
        <v>44812</v>
      </c>
      <c r="D124">
        <f>INDEX(Nifty!$A$3:$K$253,MATCH('Iron Condor (Hedge)'!B124,Nifty!$A$3:$A$253),Nifty!$L$255)</f>
        <v>18050</v>
      </c>
      <c r="E124" t="str">
        <f t="shared" ref="E124:F124" si="116">E120</f>
        <v>CE</v>
      </c>
      <c r="F124" t="str">
        <f t="shared" si="116"/>
        <v>BUY</v>
      </c>
      <c r="G124" s="10">
        <v>14.5</v>
      </c>
      <c r="I124" s="10">
        <v>0.05</v>
      </c>
      <c r="J124" s="10">
        <f t="shared" si="0"/>
        <v>-722.5</v>
      </c>
      <c r="L124" s="12">
        <f t="shared" si="55"/>
        <v>37232.499999999985</v>
      </c>
      <c r="N124">
        <v>20</v>
      </c>
      <c r="O124">
        <f t="shared" si="46"/>
        <v>40</v>
      </c>
      <c r="P124">
        <f t="shared" si="47"/>
        <v>1.25E-3</v>
      </c>
      <c r="Q124">
        <f t="shared" si="48"/>
        <v>0.385575</v>
      </c>
      <c r="R124">
        <f t="shared" si="49"/>
        <v>7.269534450000001</v>
      </c>
      <c r="S124">
        <f t="shared" si="50"/>
        <v>7.2749999999999996E-4</v>
      </c>
      <c r="T124">
        <f t="shared" si="51"/>
        <v>4.35E-4</v>
      </c>
      <c r="U124">
        <f t="shared" si="52"/>
        <v>7.6575219500000014</v>
      </c>
      <c r="V124">
        <f t="shared" si="53"/>
        <v>-770.15752195000005</v>
      </c>
      <c r="W124">
        <f>W123+V124</f>
        <v>31012.614701429986</v>
      </c>
    </row>
    <row r="125" spans="1:23" x14ac:dyDescent="0.25">
      <c r="A125" s="6">
        <f t="shared" si="58"/>
        <v>31.4</v>
      </c>
      <c r="B125" s="7">
        <f t="shared" si="110"/>
        <v>44806</v>
      </c>
      <c r="C125" s="8">
        <f t="shared" si="110"/>
        <v>44812</v>
      </c>
      <c r="D125" s="6">
        <f>INDEX(Nifty!$A$4:$K$254,MATCH('Iron Condor (Hedge)'!B125,Nifty!$A$4:$A$254),Nifty!$L$256)</f>
        <v>17000</v>
      </c>
      <c r="E125" s="6" t="str">
        <f t="shared" ref="E125:F125" si="117">E121</f>
        <v>PE</v>
      </c>
      <c r="F125" s="6" t="str">
        <f t="shared" si="117"/>
        <v>BUY</v>
      </c>
      <c r="G125" s="6">
        <v>20.399999999999999</v>
      </c>
      <c r="H125" s="6">
        <f>G122+G123-G124-G125</f>
        <v>74.099999999999994</v>
      </c>
      <c r="I125" s="6">
        <v>0.05</v>
      </c>
      <c r="J125" s="6">
        <f t="shared" si="0"/>
        <v>-1017.4999999999999</v>
      </c>
      <c r="K125" s="6">
        <f>SUM(J122:J125)</f>
        <v>3522.5</v>
      </c>
      <c r="L125" s="12">
        <f t="shared" si="55"/>
        <v>36214.999999999985</v>
      </c>
      <c r="M125">
        <f>IF(K125+M121&lt;0,K125+M121,0)</f>
        <v>0</v>
      </c>
      <c r="N125">
        <v>20</v>
      </c>
      <c r="O125">
        <f t="shared" si="46"/>
        <v>40</v>
      </c>
      <c r="P125">
        <f t="shared" si="47"/>
        <v>1.25E-3</v>
      </c>
      <c r="Q125">
        <f t="shared" si="48"/>
        <v>0.54192499999999999</v>
      </c>
      <c r="R125">
        <f t="shared" si="49"/>
        <v>7.2977305499999989</v>
      </c>
      <c r="S125">
        <f t="shared" si="50"/>
        <v>1.0225E-3</v>
      </c>
      <c r="T125">
        <f t="shared" si="51"/>
        <v>6.1200000000000002E-4</v>
      </c>
      <c r="U125">
        <f t="shared" si="52"/>
        <v>7.8425400499999993</v>
      </c>
      <c r="V125">
        <f t="shared" si="53"/>
        <v>-1065.34254005</v>
      </c>
      <c r="W125">
        <f>W124+V125</f>
        <v>29947.272161379988</v>
      </c>
    </row>
    <row r="126" spans="1:23" x14ac:dyDescent="0.25">
      <c r="A126">
        <f t="shared" si="58"/>
        <v>32.1</v>
      </c>
      <c r="B126" s="1">
        <f t="shared" si="110"/>
        <v>44813</v>
      </c>
      <c r="C126" s="4">
        <f t="shared" si="110"/>
        <v>44819</v>
      </c>
      <c r="D126">
        <f>INDEX(Nifty!$A$1:$K$251,MATCH('Iron Condor (Hedge)'!B126,Nifty!$A$1:$A$251),Nifty!$L$253)</f>
        <v>18100</v>
      </c>
      <c r="E126" t="str">
        <f t="shared" ref="E126:F126" si="118">E122</f>
        <v>CE</v>
      </c>
      <c r="F126" t="str">
        <f t="shared" si="118"/>
        <v>SELL</v>
      </c>
      <c r="G126" s="10">
        <v>39.35</v>
      </c>
      <c r="I126" s="10">
        <v>0.15</v>
      </c>
      <c r="J126" s="10">
        <f t="shared" si="0"/>
        <v>1960.0000000000002</v>
      </c>
      <c r="L126" s="12">
        <f t="shared" si="55"/>
        <v>38174.999999999985</v>
      </c>
      <c r="N126">
        <v>20</v>
      </c>
      <c r="O126">
        <f t="shared" si="46"/>
        <v>40</v>
      </c>
      <c r="P126">
        <f t="shared" si="47"/>
        <v>0.98375000000000001</v>
      </c>
      <c r="Q126">
        <f t="shared" si="48"/>
        <v>1.0467500000000001</v>
      </c>
      <c r="R126">
        <f t="shared" si="49"/>
        <v>7.3887705000000006</v>
      </c>
      <c r="S126">
        <f t="shared" si="50"/>
        <v>1.9749999999999998E-3</v>
      </c>
      <c r="T126">
        <f t="shared" si="51"/>
        <v>4.5000000000000001E-6</v>
      </c>
      <c r="U126">
        <f t="shared" si="52"/>
        <v>9.4212499999999988</v>
      </c>
      <c r="V126">
        <f t="shared" si="53"/>
        <v>1910.5787500000001</v>
      </c>
      <c r="W126">
        <f>W125+V126</f>
        <v>31857.850911379988</v>
      </c>
    </row>
    <row r="127" spans="1:23" x14ac:dyDescent="0.25">
      <c r="A127">
        <f t="shared" si="58"/>
        <v>32.200000000000003</v>
      </c>
      <c r="B127" s="1">
        <f t="shared" si="110"/>
        <v>44813</v>
      </c>
      <c r="C127" s="4">
        <f t="shared" si="110"/>
        <v>44819</v>
      </c>
      <c r="D127">
        <f>INDEX(Nifty!$A$2:$K$252,MATCH('Iron Condor (Hedge)'!B127,Nifty!$A$2:$A$252),Nifty!$L$254)</f>
        <v>17550</v>
      </c>
      <c r="E127" t="str">
        <f t="shared" ref="E127:F127" si="119">E123</f>
        <v>PE</v>
      </c>
      <c r="F127" t="str">
        <f t="shared" si="119"/>
        <v>SELL</v>
      </c>
      <c r="G127" s="10">
        <v>40.75</v>
      </c>
      <c r="I127" s="10">
        <v>0.05</v>
      </c>
      <c r="J127" s="10">
        <f t="shared" si="0"/>
        <v>2035.0000000000002</v>
      </c>
      <c r="L127" s="12">
        <f t="shared" si="55"/>
        <v>40209.999999999985</v>
      </c>
      <c r="N127">
        <v>20</v>
      </c>
      <c r="O127">
        <f t="shared" si="46"/>
        <v>40</v>
      </c>
      <c r="P127">
        <f t="shared" si="47"/>
        <v>1.01875</v>
      </c>
      <c r="Q127">
        <f t="shared" si="48"/>
        <v>1.0811999999999999</v>
      </c>
      <c r="R127">
        <f t="shared" si="49"/>
        <v>7.3949832000000004</v>
      </c>
      <c r="S127">
        <f t="shared" si="50"/>
        <v>2.0399999999999997E-3</v>
      </c>
      <c r="T127">
        <f t="shared" si="51"/>
        <v>1.5E-6</v>
      </c>
      <c r="U127">
        <f t="shared" si="52"/>
        <v>9.4969746999999991</v>
      </c>
      <c r="V127">
        <f t="shared" si="53"/>
        <v>1985.5030253000002</v>
      </c>
      <c r="W127">
        <f>W126+V127</f>
        <v>33843.353936679989</v>
      </c>
    </row>
    <row r="128" spans="1:23" x14ac:dyDescent="0.25">
      <c r="A128">
        <f t="shared" si="58"/>
        <v>32.299999999999997</v>
      </c>
      <c r="B128" s="1">
        <f t="shared" si="110"/>
        <v>44813</v>
      </c>
      <c r="C128" s="4">
        <f t="shared" si="110"/>
        <v>44819</v>
      </c>
      <c r="D128">
        <f>INDEX(Nifty!$A$3:$K$253,MATCH('Iron Condor (Hedge)'!B128,Nifty!$A$3:$A$253),Nifty!$L$255)</f>
        <v>18350</v>
      </c>
      <c r="E128" t="str">
        <f t="shared" ref="E128:F128" si="120">E124</f>
        <v>CE</v>
      </c>
      <c r="F128" t="str">
        <f t="shared" si="120"/>
        <v>BUY</v>
      </c>
      <c r="G128" s="10">
        <v>6.8</v>
      </c>
      <c r="I128" s="10">
        <v>0.1</v>
      </c>
      <c r="J128" s="10">
        <f t="shared" si="0"/>
        <v>-335</v>
      </c>
      <c r="L128" s="12">
        <f t="shared" si="55"/>
        <v>39874.999999999985</v>
      </c>
      <c r="N128">
        <v>20</v>
      </c>
      <c r="O128">
        <f t="shared" si="46"/>
        <v>40</v>
      </c>
      <c r="P128">
        <f t="shared" si="47"/>
        <v>2.5000000000000001E-3</v>
      </c>
      <c r="Q128">
        <f t="shared" si="48"/>
        <v>0.18284999999999998</v>
      </c>
      <c r="R128">
        <f t="shared" si="49"/>
        <v>7.2329751000000009</v>
      </c>
      <c r="S128">
        <f t="shared" si="50"/>
        <v>3.4499999999999998E-4</v>
      </c>
      <c r="T128">
        <f t="shared" si="51"/>
        <v>2.04E-4</v>
      </c>
      <c r="U128">
        <f t="shared" si="52"/>
        <v>7.4188741000000009</v>
      </c>
      <c r="V128">
        <f t="shared" si="53"/>
        <v>-382.41887409999998</v>
      </c>
      <c r="W128">
        <f>W127+V128</f>
        <v>33460.935062579985</v>
      </c>
    </row>
    <row r="129" spans="1:23" x14ac:dyDescent="0.25">
      <c r="A129" s="6">
        <f t="shared" si="58"/>
        <v>32.4</v>
      </c>
      <c r="B129" s="7">
        <f t="shared" si="110"/>
        <v>44813</v>
      </c>
      <c r="C129" s="8">
        <f t="shared" si="110"/>
        <v>44819</v>
      </c>
      <c r="D129" s="6">
        <f>INDEX(Nifty!$A$4:$K$254,MATCH('Iron Condor (Hedge)'!B129,Nifty!$A$4:$A$254),Nifty!$L$256)</f>
        <v>17300</v>
      </c>
      <c r="E129" s="6" t="str">
        <f t="shared" ref="E129:F129" si="121">E125</f>
        <v>PE</v>
      </c>
      <c r="F129" s="6" t="str">
        <f t="shared" si="121"/>
        <v>BUY</v>
      </c>
      <c r="G129" s="6">
        <v>13.95</v>
      </c>
      <c r="H129" s="6">
        <f>G126+G127-G128-G129</f>
        <v>59.349999999999994</v>
      </c>
      <c r="I129" s="6">
        <v>0.05</v>
      </c>
      <c r="J129" s="6">
        <f t="shared" si="0"/>
        <v>-694.99999999999989</v>
      </c>
      <c r="K129" s="6">
        <f>SUM(J126:J129)</f>
        <v>2965.0000000000005</v>
      </c>
      <c r="L129" s="12">
        <f t="shared" si="55"/>
        <v>39179.999999999985</v>
      </c>
      <c r="M129">
        <f>IF(K129+M125&lt;0,K129+M125,0)</f>
        <v>0</v>
      </c>
      <c r="N129">
        <v>20</v>
      </c>
      <c r="O129">
        <f t="shared" si="46"/>
        <v>40</v>
      </c>
      <c r="P129">
        <f t="shared" si="47"/>
        <v>1.25E-3</v>
      </c>
      <c r="Q129">
        <f t="shared" si="48"/>
        <v>0.371</v>
      </c>
      <c r="R129">
        <f t="shared" si="49"/>
        <v>7.2669060000000005</v>
      </c>
      <c r="S129">
        <f t="shared" si="50"/>
        <v>6.9999999999999999E-4</v>
      </c>
      <c r="T129">
        <f t="shared" si="51"/>
        <v>4.1849999999999998E-4</v>
      </c>
      <c r="U129">
        <f t="shared" si="52"/>
        <v>7.6402745000000012</v>
      </c>
      <c r="V129">
        <f t="shared" si="53"/>
        <v>-742.64027449999992</v>
      </c>
      <c r="W129">
        <f>W128+V129</f>
        <v>32718.294788079984</v>
      </c>
    </row>
    <row r="130" spans="1:23" x14ac:dyDescent="0.25">
      <c r="A130">
        <f t="shared" si="58"/>
        <v>33.1</v>
      </c>
      <c r="B130" s="1">
        <f t="shared" si="110"/>
        <v>44820</v>
      </c>
      <c r="C130" s="4">
        <f t="shared" si="110"/>
        <v>44826</v>
      </c>
      <c r="D130">
        <f>INDEX(Nifty!$A$1:$K$251,MATCH('Iron Condor (Hedge)'!B130,Nifty!$A$1:$A$251),Nifty!$L$253)</f>
        <v>17800</v>
      </c>
      <c r="E130" t="str">
        <f t="shared" ref="E130:F130" si="122">E126</f>
        <v>CE</v>
      </c>
      <c r="F130" t="str">
        <f t="shared" si="122"/>
        <v>SELL</v>
      </c>
      <c r="G130" s="10">
        <v>71.599999999999994</v>
      </c>
      <c r="I130" s="10">
        <v>0.1</v>
      </c>
      <c r="J130" s="10">
        <f t="shared" si="0"/>
        <v>3575</v>
      </c>
      <c r="L130" s="12">
        <f t="shared" si="55"/>
        <v>42754.999999999985</v>
      </c>
      <c r="N130">
        <v>20</v>
      </c>
      <c r="O130">
        <f t="shared" si="46"/>
        <v>40</v>
      </c>
      <c r="P130">
        <f t="shared" si="47"/>
        <v>1.7899999999999998</v>
      </c>
      <c r="Q130">
        <f t="shared" si="48"/>
        <v>1.9000499999999998</v>
      </c>
      <c r="R130">
        <f t="shared" si="49"/>
        <v>7.5426542999999997</v>
      </c>
      <c r="S130">
        <f t="shared" si="50"/>
        <v>3.5849999999999992E-3</v>
      </c>
      <c r="T130">
        <f t="shared" si="51"/>
        <v>3.0000000000000001E-6</v>
      </c>
      <c r="U130">
        <f t="shared" si="52"/>
        <v>11.236292299999997</v>
      </c>
      <c r="V130">
        <f t="shared" si="53"/>
        <v>3523.7637076999999</v>
      </c>
      <c r="W130">
        <f>W129+V130</f>
        <v>36242.058495779987</v>
      </c>
    </row>
    <row r="131" spans="1:23" x14ac:dyDescent="0.25">
      <c r="A131">
        <f t="shared" si="58"/>
        <v>33.200000000000003</v>
      </c>
      <c r="B131" s="1">
        <f t="shared" si="110"/>
        <v>44820</v>
      </c>
      <c r="C131" s="4">
        <f t="shared" si="110"/>
        <v>44826</v>
      </c>
      <c r="D131">
        <f>INDEX(Nifty!$A$2:$K$252,MATCH('Iron Condor (Hedge)'!B131,Nifty!$A$2:$A$252),Nifty!$L$254)</f>
        <v>17250</v>
      </c>
      <c r="E131" t="str">
        <f t="shared" ref="E131:F131" si="123">E127</f>
        <v>PE</v>
      </c>
      <c r="F131" t="str">
        <f t="shared" si="123"/>
        <v>SELL</v>
      </c>
      <c r="G131" s="10">
        <v>57.35</v>
      </c>
      <c r="I131" s="10">
        <v>0.05</v>
      </c>
      <c r="J131" s="10">
        <f t="shared" si="0"/>
        <v>2865</v>
      </c>
      <c r="L131" s="12">
        <f t="shared" si="55"/>
        <v>45619.999999999985</v>
      </c>
      <c r="N131">
        <v>20</v>
      </c>
      <c r="O131">
        <f t="shared" ref="O131:O194" si="124">N131*2</f>
        <v>40</v>
      </c>
      <c r="P131">
        <f t="shared" ref="P131:P194" si="125">IF(F131="SELL",G131*50*0.05%,I131*50*0.05%)</f>
        <v>1.4337500000000001</v>
      </c>
      <c r="Q131">
        <f t="shared" ref="Q131:Q194" si="126">(G131+I131)*50*0.053%</f>
        <v>1.5210999999999999</v>
      </c>
      <c r="R131">
        <f t="shared" ref="R131:R194" si="127">(O131+S131+Q131)*18%</f>
        <v>7.4743145999999996</v>
      </c>
      <c r="S131">
        <f t="shared" ref="S131:S194" si="128">(10/10000000)*(G131+I131)*50</f>
        <v>2.8700000000000002E-3</v>
      </c>
      <c r="T131">
        <f t="shared" ref="T131:T194" si="129">IF(F131="SELL",I131*0.003%,G131*0.003%)</f>
        <v>1.5E-6</v>
      </c>
      <c r="U131">
        <f t="shared" ref="U131:U194" si="130">SUM(P131:T131)</f>
        <v>10.432036099999999</v>
      </c>
      <c r="V131">
        <f t="shared" ref="V131:V194" si="131">J131-O131-U131</f>
        <v>2814.5679639</v>
      </c>
      <c r="W131">
        <f>W130+V131</f>
        <v>39056.626459679988</v>
      </c>
    </row>
    <row r="132" spans="1:23" x14ac:dyDescent="0.25">
      <c r="A132">
        <f t="shared" si="58"/>
        <v>33.299999999999997</v>
      </c>
      <c r="B132" s="1">
        <f t="shared" si="110"/>
        <v>44820</v>
      </c>
      <c r="C132" s="4">
        <f t="shared" si="110"/>
        <v>44826</v>
      </c>
      <c r="D132">
        <f>INDEX(Nifty!$A$3:$K$253,MATCH('Iron Condor (Hedge)'!B132,Nifty!$A$3:$A$253),Nifty!$L$255)</f>
        <v>18050</v>
      </c>
      <c r="E132" t="str">
        <f t="shared" ref="E132:F132" si="132">E128</f>
        <v>CE</v>
      </c>
      <c r="F132" t="str">
        <f t="shared" si="132"/>
        <v>BUY</v>
      </c>
      <c r="G132" s="10">
        <v>24.35</v>
      </c>
      <c r="I132" s="10">
        <v>0.15</v>
      </c>
      <c r="J132" s="10">
        <f t="shared" si="0"/>
        <v>-1210.0000000000002</v>
      </c>
      <c r="L132" s="12">
        <f t="shared" ref="L132:L195" si="133">J132+L131</f>
        <v>44409.999999999985</v>
      </c>
      <c r="N132">
        <v>20</v>
      </c>
      <c r="O132">
        <f t="shared" si="124"/>
        <v>40</v>
      </c>
      <c r="P132">
        <f t="shared" si="125"/>
        <v>3.7499999999999999E-3</v>
      </c>
      <c r="Q132">
        <f t="shared" si="126"/>
        <v>0.64924999999999999</v>
      </c>
      <c r="R132">
        <f t="shared" si="127"/>
        <v>7.3170855000000001</v>
      </c>
      <c r="S132">
        <f t="shared" si="128"/>
        <v>1.225E-3</v>
      </c>
      <c r="T132">
        <f t="shared" si="129"/>
        <v>7.3050000000000003E-4</v>
      </c>
      <c r="U132">
        <f t="shared" si="130"/>
        <v>7.9720409999999999</v>
      </c>
      <c r="V132">
        <f t="shared" si="131"/>
        <v>-1257.9720410000002</v>
      </c>
      <c r="W132">
        <f>W131+V132</f>
        <v>37798.654418679987</v>
      </c>
    </row>
    <row r="133" spans="1:23" x14ac:dyDescent="0.25">
      <c r="A133" s="6">
        <f t="shared" si="58"/>
        <v>33.4</v>
      </c>
      <c r="B133" s="7">
        <f t="shared" si="110"/>
        <v>44820</v>
      </c>
      <c r="C133" s="8">
        <f t="shared" si="110"/>
        <v>44826</v>
      </c>
      <c r="D133" s="6">
        <f>INDEX(Nifty!$A$4:$K$254,MATCH('Iron Condor (Hedge)'!B133,Nifty!$A$4:$A$254),Nifty!$L$256)</f>
        <v>17000</v>
      </c>
      <c r="E133" s="6" t="str">
        <f t="shared" ref="E133:F133" si="134">E129</f>
        <v>PE</v>
      </c>
      <c r="F133" s="6" t="str">
        <f t="shared" si="134"/>
        <v>BUY</v>
      </c>
      <c r="G133" s="6">
        <v>22.05</v>
      </c>
      <c r="H133" s="6">
        <f>G130+G131-G132-G133</f>
        <v>82.55</v>
      </c>
      <c r="I133" s="6">
        <v>0.1</v>
      </c>
      <c r="J133" s="6">
        <f t="shared" si="0"/>
        <v>-1097.5</v>
      </c>
      <c r="K133" s="6">
        <f>SUM(J130:J133)</f>
        <v>4132.5</v>
      </c>
      <c r="L133" s="12">
        <f t="shared" si="133"/>
        <v>43312.499999999985</v>
      </c>
      <c r="M133">
        <f>IF(K133+M129&lt;0,K133+M129,0)</f>
        <v>0</v>
      </c>
      <c r="N133">
        <v>20</v>
      </c>
      <c r="O133">
        <f t="shared" si="124"/>
        <v>40</v>
      </c>
      <c r="P133">
        <f t="shared" si="125"/>
        <v>2.5000000000000001E-3</v>
      </c>
      <c r="Q133">
        <f t="shared" si="126"/>
        <v>0.58697500000000002</v>
      </c>
      <c r="R133">
        <f t="shared" si="127"/>
        <v>7.3058548500000011</v>
      </c>
      <c r="S133">
        <f t="shared" si="128"/>
        <v>1.1075E-3</v>
      </c>
      <c r="T133">
        <f t="shared" si="129"/>
        <v>6.6150000000000009E-4</v>
      </c>
      <c r="U133">
        <f t="shared" si="130"/>
        <v>7.8970988500000008</v>
      </c>
      <c r="V133">
        <f t="shared" si="131"/>
        <v>-1145.39709885</v>
      </c>
      <c r="W133">
        <f>W132+V133</f>
        <v>36653.257319829987</v>
      </c>
    </row>
    <row r="134" spans="1:23" x14ac:dyDescent="0.25">
      <c r="A134">
        <f t="shared" si="58"/>
        <v>34.1</v>
      </c>
      <c r="B134" s="1">
        <f t="shared" si="110"/>
        <v>44827</v>
      </c>
      <c r="C134" s="4">
        <f t="shared" si="110"/>
        <v>44833</v>
      </c>
      <c r="D134">
        <f>INDEX(Nifty!$A$1:$K$251,MATCH('Iron Condor (Hedge)'!B134,Nifty!$A$1:$A$251),Nifty!$L$253)</f>
        <v>17600</v>
      </c>
      <c r="E134" t="str">
        <f t="shared" ref="E134:F134" si="135">E130</f>
        <v>CE</v>
      </c>
      <c r="F134" t="str">
        <f t="shared" si="135"/>
        <v>SELL</v>
      </c>
      <c r="G134" s="10">
        <v>77</v>
      </c>
      <c r="I134" s="10">
        <v>0.05</v>
      </c>
      <c r="J134" s="10">
        <f t="shared" si="0"/>
        <v>3847.5</v>
      </c>
      <c r="L134" s="12">
        <f t="shared" si="133"/>
        <v>47159.999999999985</v>
      </c>
      <c r="N134">
        <v>20</v>
      </c>
      <c r="O134">
        <f t="shared" si="124"/>
        <v>40</v>
      </c>
      <c r="P134">
        <f t="shared" si="125"/>
        <v>1.925</v>
      </c>
      <c r="Q134">
        <f t="shared" si="126"/>
        <v>2.0418249999999998</v>
      </c>
      <c r="R134">
        <f t="shared" si="127"/>
        <v>7.5682219500000008</v>
      </c>
      <c r="S134">
        <f t="shared" si="128"/>
        <v>3.8524999999999996E-3</v>
      </c>
      <c r="T134">
        <f t="shared" si="129"/>
        <v>1.5E-6</v>
      </c>
      <c r="U134">
        <f t="shared" si="130"/>
        <v>11.538900950000002</v>
      </c>
      <c r="V134">
        <f t="shared" si="131"/>
        <v>3795.96109905</v>
      </c>
      <c r="W134">
        <f>W133+V134</f>
        <v>40449.218418879987</v>
      </c>
    </row>
    <row r="135" spans="1:23" x14ac:dyDescent="0.25">
      <c r="A135">
        <f t="shared" ref="A135:A198" si="136">A131+1</f>
        <v>34.200000000000003</v>
      </c>
      <c r="B135" s="1">
        <f t="shared" ref="B135:C150" si="137">B131+7</f>
        <v>44827</v>
      </c>
      <c r="C135" s="4">
        <f t="shared" si="137"/>
        <v>44833</v>
      </c>
      <c r="D135">
        <f>INDEX(Nifty!$A$2:$K$252,MATCH('Iron Condor (Hedge)'!B135,Nifty!$A$2:$A$252),Nifty!$L$254)</f>
        <v>17050</v>
      </c>
      <c r="E135" t="str">
        <f t="shared" ref="E135:F135" si="138">E131</f>
        <v>PE</v>
      </c>
      <c r="F135" t="str">
        <f t="shared" si="138"/>
        <v>SELL</v>
      </c>
      <c r="G135" s="10">
        <v>79.400000000000006</v>
      </c>
      <c r="I135" s="10">
        <v>227.7</v>
      </c>
      <c r="J135" s="10">
        <f t="shared" si="0"/>
        <v>-7414.9999999999991</v>
      </c>
      <c r="L135" s="12">
        <f t="shared" si="133"/>
        <v>39744.999999999985</v>
      </c>
      <c r="N135">
        <v>20</v>
      </c>
      <c r="O135">
        <f t="shared" si="124"/>
        <v>40</v>
      </c>
      <c r="P135">
        <f t="shared" si="125"/>
        <v>1.9850000000000003</v>
      </c>
      <c r="Q135">
        <f t="shared" si="126"/>
        <v>8.1381500000000013</v>
      </c>
      <c r="R135">
        <f t="shared" si="127"/>
        <v>8.6676309000000007</v>
      </c>
      <c r="S135">
        <f t="shared" si="128"/>
        <v>1.5354999999999999E-2</v>
      </c>
      <c r="T135">
        <f t="shared" si="129"/>
        <v>6.8309999999999994E-3</v>
      </c>
      <c r="U135">
        <f t="shared" si="130"/>
        <v>18.812966899999999</v>
      </c>
      <c r="V135">
        <f t="shared" si="131"/>
        <v>-7473.8129668999991</v>
      </c>
      <c r="W135">
        <f>W134+V135</f>
        <v>32975.40545197999</v>
      </c>
    </row>
    <row r="136" spans="1:23" x14ac:dyDescent="0.25">
      <c r="A136">
        <f t="shared" si="136"/>
        <v>34.299999999999997</v>
      </c>
      <c r="B136" s="1">
        <f t="shared" si="137"/>
        <v>44827</v>
      </c>
      <c r="C136" s="4">
        <f t="shared" si="137"/>
        <v>44833</v>
      </c>
      <c r="D136">
        <f>INDEX(Nifty!$A$3:$K$253,MATCH('Iron Condor (Hedge)'!B136,Nifty!$A$3:$A$253),Nifty!$L$255)</f>
        <v>17850</v>
      </c>
      <c r="E136" t="str">
        <f t="shared" ref="E136:F136" si="139">E132</f>
        <v>CE</v>
      </c>
      <c r="F136" t="str">
        <f t="shared" si="139"/>
        <v>BUY</v>
      </c>
      <c r="G136" s="10">
        <v>28</v>
      </c>
      <c r="I136" s="10">
        <v>0.1</v>
      </c>
      <c r="J136" s="10">
        <f t="shared" si="0"/>
        <v>-1395</v>
      </c>
      <c r="L136" s="12">
        <f t="shared" si="133"/>
        <v>38349.999999999985</v>
      </c>
      <c r="N136">
        <v>20</v>
      </c>
      <c r="O136">
        <f t="shared" si="124"/>
        <v>40</v>
      </c>
      <c r="P136">
        <f t="shared" si="125"/>
        <v>2.5000000000000001E-3</v>
      </c>
      <c r="Q136">
        <f t="shared" si="126"/>
        <v>0.74464999999999992</v>
      </c>
      <c r="R136">
        <f t="shared" si="127"/>
        <v>7.334289899999999</v>
      </c>
      <c r="S136">
        <f t="shared" si="128"/>
        <v>1.405E-3</v>
      </c>
      <c r="T136">
        <f t="shared" si="129"/>
        <v>8.4000000000000003E-4</v>
      </c>
      <c r="U136">
        <f t="shared" si="130"/>
        <v>8.0836848999999997</v>
      </c>
      <c r="V136">
        <f t="shared" si="131"/>
        <v>-1443.0836849</v>
      </c>
      <c r="W136">
        <f>W135+V136</f>
        <v>31532.32176707999</v>
      </c>
    </row>
    <row r="137" spans="1:23" x14ac:dyDescent="0.25">
      <c r="A137" s="6">
        <f t="shared" si="136"/>
        <v>34.4</v>
      </c>
      <c r="B137" s="7">
        <f t="shared" si="137"/>
        <v>44827</v>
      </c>
      <c r="C137" s="8">
        <f t="shared" si="137"/>
        <v>44833</v>
      </c>
      <c r="D137" s="6">
        <f>INDEX(Nifty!$A$4:$K$254,MATCH('Iron Condor (Hedge)'!B137,Nifty!$A$4:$A$254),Nifty!$L$256)</f>
        <v>16800</v>
      </c>
      <c r="E137" s="6" t="str">
        <f t="shared" ref="E137:F137" si="140">E133</f>
        <v>PE</v>
      </c>
      <c r="F137" s="6" t="str">
        <f t="shared" si="140"/>
        <v>BUY</v>
      </c>
      <c r="G137" s="6">
        <v>32.9</v>
      </c>
      <c r="H137" s="6">
        <f>G134+G135-G136-G137</f>
        <v>95.5</v>
      </c>
      <c r="I137" s="6">
        <v>0.55000000000000004</v>
      </c>
      <c r="J137" s="6">
        <f t="shared" si="0"/>
        <v>-1617.5</v>
      </c>
      <c r="K137" s="6">
        <f>SUM(J134:J137)</f>
        <v>-6579.9999999999991</v>
      </c>
      <c r="L137" s="12">
        <f t="shared" si="133"/>
        <v>36732.499999999985</v>
      </c>
      <c r="M137">
        <f>IF(K137+M133&lt;0,K137+M133,0)</f>
        <v>-6579.9999999999991</v>
      </c>
      <c r="N137">
        <v>20</v>
      </c>
      <c r="O137">
        <f t="shared" si="124"/>
        <v>40</v>
      </c>
      <c r="P137">
        <f t="shared" si="125"/>
        <v>1.3750000000000002E-2</v>
      </c>
      <c r="Q137">
        <f t="shared" si="126"/>
        <v>0.8864249999999998</v>
      </c>
      <c r="R137">
        <f t="shared" si="127"/>
        <v>7.3598575500000001</v>
      </c>
      <c r="S137">
        <f t="shared" si="128"/>
        <v>1.6724999999999997E-3</v>
      </c>
      <c r="T137">
        <f t="shared" si="129"/>
        <v>9.8700000000000003E-4</v>
      </c>
      <c r="U137">
        <f t="shared" si="130"/>
        <v>8.2626920500000001</v>
      </c>
      <c r="V137">
        <f t="shared" si="131"/>
        <v>-1665.7626920499999</v>
      </c>
      <c r="W137">
        <f>W136+V137</f>
        <v>29866.559075029989</v>
      </c>
    </row>
    <row r="138" spans="1:23" x14ac:dyDescent="0.25">
      <c r="A138">
        <f t="shared" si="136"/>
        <v>35.1</v>
      </c>
      <c r="B138" s="1">
        <f t="shared" si="137"/>
        <v>44834</v>
      </c>
      <c r="C138" s="4">
        <f t="shared" si="137"/>
        <v>44840</v>
      </c>
      <c r="D138">
        <f>INDEX(Nifty!$A$1:$K$251,MATCH('Iron Condor (Hedge)'!B138,Nifty!$A$1:$A$251),Nifty!$L$253)</f>
        <v>17350</v>
      </c>
      <c r="E138" t="str">
        <f t="shared" ref="E138:F138" si="141">E134</f>
        <v>CE</v>
      </c>
      <c r="F138" t="str">
        <f t="shared" si="141"/>
        <v>SELL</v>
      </c>
      <c r="G138" s="10">
        <v>40.299999999999997</v>
      </c>
      <c r="I138" s="10">
        <v>0.2</v>
      </c>
      <c r="J138" s="10">
        <f t="shared" si="0"/>
        <v>2004.9999999999998</v>
      </c>
      <c r="L138" s="12">
        <f t="shared" si="133"/>
        <v>38737.499999999985</v>
      </c>
      <c r="N138">
        <v>20</v>
      </c>
      <c r="O138">
        <f t="shared" si="124"/>
        <v>40</v>
      </c>
      <c r="P138">
        <f t="shared" si="125"/>
        <v>1.0074999999999998</v>
      </c>
      <c r="Q138">
        <f t="shared" si="126"/>
        <v>1.07325</v>
      </c>
      <c r="R138">
        <f t="shared" si="127"/>
        <v>7.3935495000000007</v>
      </c>
      <c r="S138">
        <f t="shared" si="128"/>
        <v>2.0249999999999999E-3</v>
      </c>
      <c r="T138">
        <f t="shared" si="129"/>
        <v>6.0000000000000002E-6</v>
      </c>
      <c r="U138">
        <f t="shared" si="130"/>
        <v>9.4763305000000013</v>
      </c>
      <c r="V138">
        <f t="shared" si="131"/>
        <v>1955.5236694999999</v>
      </c>
      <c r="W138">
        <f>W137+V138</f>
        <v>31822.082744529987</v>
      </c>
    </row>
    <row r="139" spans="1:23" x14ac:dyDescent="0.25">
      <c r="A139">
        <f t="shared" si="136"/>
        <v>35.200000000000003</v>
      </c>
      <c r="B139" s="1">
        <f t="shared" si="137"/>
        <v>44834</v>
      </c>
      <c r="C139" s="4">
        <f t="shared" si="137"/>
        <v>44840</v>
      </c>
      <c r="D139">
        <f>INDEX(Nifty!$A$2:$K$252,MATCH('Iron Condor (Hedge)'!B139,Nifty!$A$2:$A$252),Nifty!$L$254)</f>
        <v>16800</v>
      </c>
      <c r="E139" t="str">
        <f t="shared" ref="E139:F139" si="142">E135</f>
        <v>PE</v>
      </c>
      <c r="F139" t="str">
        <f t="shared" si="142"/>
        <v>SELL</v>
      </c>
      <c r="G139" s="10">
        <v>69.400000000000006</v>
      </c>
      <c r="I139" s="10">
        <v>0.05</v>
      </c>
      <c r="J139" s="10">
        <f t="shared" si="0"/>
        <v>3467.5000000000005</v>
      </c>
      <c r="L139" s="12">
        <f t="shared" si="133"/>
        <v>42204.999999999985</v>
      </c>
      <c r="N139">
        <v>20</v>
      </c>
      <c r="O139">
        <f t="shared" si="124"/>
        <v>40</v>
      </c>
      <c r="P139">
        <f t="shared" si="125"/>
        <v>1.7350000000000003</v>
      </c>
      <c r="Q139">
        <f t="shared" si="126"/>
        <v>1.840425</v>
      </c>
      <c r="R139">
        <f t="shared" si="127"/>
        <v>7.5319015500000006</v>
      </c>
      <c r="S139">
        <f t="shared" si="128"/>
        <v>3.4724999999999999E-3</v>
      </c>
      <c r="T139">
        <f t="shared" si="129"/>
        <v>1.5E-6</v>
      </c>
      <c r="U139">
        <f t="shared" si="130"/>
        <v>11.11080055</v>
      </c>
      <c r="V139">
        <f t="shared" si="131"/>
        <v>3416.3891994500004</v>
      </c>
      <c r="W139">
        <f>W138+V139</f>
        <v>35238.471943979988</v>
      </c>
    </row>
    <row r="140" spans="1:23" x14ac:dyDescent="0.25">
      <c r="A140">
        <f t="shared" si="136"/>
        <v>35.299999999999997</v>
      </c>
      <c r="B140" s="1">
        <f t="shared" si="137"/>
        <v>44834</v>
      </c>
      <c r="C140" s="4">
        <f t="shared" si="137"/>
        <v>44840</v>
      </c>
      <c r="D140">
        <f>INDEX(Nifty!$A$3:$K$253,MATCH('Iron Condor (Hedge)'!B140,Nifty!$A$3:$A$253),Nifty!$L$255)</f>
        <v>17600</v>
      </c>
      <c r="E140" t="str">
        <f t="shared" ref="E140:F140" si="143">E136</f>
        <v>CE</v>
      </c>
      <c r="F140" t="str">
        <f t="shared" si="143"/>
        <v>BUY</v>
      </c>
      <c r="G140" s="10">
        <v>7.2</v>
      </c>
      <c r="I140" s="10">
        <v>0.1</v>
      </c>
      <c r="J140" s="10">
        <f t="shared" si="0"/>
        <v>-355</v>
      </c>
      <c r="L140" s="12">
        <f t="shared" si="133"/>
        <v>41849.999999999985</v>
      </c>
      <c r="N140">
        <v>20</v>
      </c>
      <c r="O140">
        <f t="shared" si="124"/>
        <v>40</v>
      </c>
      <c r="P140">
        <f t="shared" si="125"/>
        <v>2.5000000000000001E-3</v>
      </c>
      <c r="Q140">
        <f t="shared" si="126"/>
        <v>0.19344999999999998</v>
      </c>
      <c r="R140">
        <f t="shared" si="127"/>
        <v>7.2348866999999997</v>
      </c>
      <c r="S140">
        <f t="shared" si="128"/>
        <v>3.6499999999999998E-4</v>
      </c>
      <c r="T140">
        <f t="shared" si="129"/>
        <v>2.1600000000000002E-4</v>
      </c>
      <c r="U140">
        <f t="shared" si="130"/>
        <v>7.4314176999999999</v>
      </c>
      <c r="V140">
        <f t="shared" si="131"/>
        <v>-402.4314177</v>
      </c>
      <c r="W140">
        <f>W139+V140</f>
        <v>34836.04052627999</v>
      </c>
    </row>
    <row r="141" spans="1:23" x14ac:dyDescent="0.25">
      <c r="A141" s="6">
        <f t="shared" si="136"/>
        <v>35.4</v>
      </c>
      <c r="B141" s="7">
        <f t="shared" si="137"/>
        <v>44834</v>
      </c>
      <c r="C141" s="8">
        <f t="shared" si="137"/>
        <v>44840</v>
      </c>
      <c r="D141" s="6">
        <f>INDEX(Nifty!$A$4:$K$254,MATCH('Iron Condor (Hedge)'!B141,Nifty!$A$4:$A$254),Nifty!$L$256)</f>
        <v>16550</v>
      </c>
      <c r="E141" s="6" t="str">
        <f t="shared" ref="E141:F141" si="144">E137</f>
        <v>PE</v>
      </c>
      <c r="F141" s="6" t="str">
        <f t="shared" si="144"/>
        <v>BUY</v>
      </c>
      <c r="G141" s="6">
        <v>41.8</v>
      </c>
      <c r="H141" s="6">
        <f>G138+G139-G140-G141</f>
        <v>60.7</v>
      </c>
      <c r="I141" s="6">
        <v>0.05</v>
      </c>
      <c r="J141" s="6">
        <f t="shared" si="0"/>
        <v>-2087.5</v>
      </c>
      <c r="K141" s="6">
        <f>SUM(J138:J141)</f>
        <v>3030</v>
      </c>
      <c r="L141" s="12">
        <f t="shared" si="133"/>
        <v>39762.499999999985</v>
      </c>
      <c r="M141">
        <f>IF(K141+M137&lt;0,K141+M137,0)</f>
        <v>-3549.9999999999991</v>
      </c>
      <c r="N141">
        <v>20</v>
      </c>
      <c r="O141">
        <f t="shared" si="124"/>
        <v>40</v>
      </c>
      <c r="P141">
        <f t="shared" si="125"/>
        <v>1.25E-3</v>
      </c>
      <c r="Q141">
        <f t="shared" si="126"/>
        <v>1.1090249999999997</v>
      </c>
      <c r="R141">
        <f t="shared" si="127"/>
        <v>7.4000011500000005</v>
      </c>
      <c r="S141">
        <f t="shared" si="128"/>
        <v>2.0924999999999997E-3</v>
      </c>
      <c r="T141">
        <f t="shared" si="129"/>
        <v>1.2539999999999999E-3</v>
      </c>
      <c r="U141">
        <f t="shared" si="130"/>
        <v>8.5136226499999985</v>
      </c>
      <c r="V141">
        <f t="shared" si="131"/>
        <v>-2136.0136226499999</v>
      </c>
      <c r="W141">
        <f>W140+V141</f>
        <v>32700.026903629991</v>
      </c>
    </row>
    <row r="142" spans="1:23" x14ac:dyDescent="0.25">
      <c r="A142">
        <f t="shared" si="136"/>
        <v>36.1</v>
      </c>
      <c r="B142" s="1">
        <f t="shared" si="137"/>
        <v>44841</v>
      </c>
      <c r="C142" s="4">
        <f t="shared" si="137"/>
        <v>44847</v>
      </c>
      <c r="D142">
        <f>INDEX(Nifty!$A$1:$K$251,MATCH('Iron Condor (Hedge)'!B142,Nifty!$A$1:$A$251),Nifty!$L$253)</f>
        <v>17600</v>
      </c>
      <c r="E142" t="str">
        <f t="shared" ref="E142:F142" si="145">E138</f>
        <v>CE</v>
      </c>
      <c r="F142" t="str">
        <f t="shared" si="145"/>
        <v>SELL</v>
      </c>
      <c r="G142" s="10">
        <v>33.25</v>
      </c>
      <c r="I142" s="10">
        <v>0.05</v>
      </c>
      <c r="J142" s="10">
        <f t="shared" si="0"/>
        <v>1660.0000000000002</v>
      </c>
      <c r="L142" s="12">
        <f t="shared" si="133"/>
        <v>41422.499999999985</v>
      </c>
      <c r="N142">
        <v>20</v>
      </c>
      <c r="O142">
        <f t="shared" si="124"/>
        <v>40</v>
      </c>
      <c r="P142">
        <f t="shared" si="125"/>
        <v>0.83125000000000004</v>
      </c>
      <c r="Q142">
        <f t="shared" si="126"/>
        <v>0.88244999999999985</v>
      </c>
      <c r="R142">
        <f t="shared" si="127"/>
        <v>7.3591407000000002</v>
      </c>
      <c r="S142">
        <f t="shared" si="128"/>
        <v>1.6649999999999998E-3</v>
      </c>
      <c r="T142">
        <f t="shared" si="129"/>
        <v>1.5E-6</v>
      </c>
      <c r="U142">
        <f t="shared" si="130"/>
        <v>9.0745071999999993</v>
      </c>
      <c r="V142">
        <f t="shared" si="131"/>
        <v>1610.9254928000003</v>
      </c>
      <c r="W142">
        <f>W141+V142</f>
        <v>34310.952396429988</v>
      </c>
    </row>
    <row r="143" spans="1:23" x14ac:dyDescent="0.25">
      <c r="A143">
        <f t="shared" si="136"/>
        <v>36.200000000000003</v>
      </c>
      <c r="B143" s="1">
        <f t="shared" si="137"/>
        <v>44841</v>
      </c>
      <c r="C143" s="4">
        <f t="shared" si="137"/>
        <v>44847</v>
      </c>
      <c r="D143">
        <f>INDEX(Nifty!$A$2:$K$252,MATCH('Iron Condor (Hedge)'!B143,Nifty!$A$2:$A$252),Nifty!$L$254)</f>
        <v>17050</v>
      </c>
      <c r="E143" t="str">
        <f t="shared" ref="E143:F143" si="146">E139</f>
        <v>PE</v>
      </c>
      <c r="F143" t="str">
        <f t="shared" si="146"/>
        <v>SELL</v>
      </c>
      <c r="G143" s="10">
        <v>52.4</v>
      </c>
      <c r="I143" s="10">
        <v>40</v>
      </c>
      <c r="J143" s="10">
        <f t="shared" si="0"/>
        <v>619.99999999999989</v>
      </c>
      <c r="L143" s="12">
        <f t="shared" si="133"/>
        <v>42042.499999999985</v>
      </c>
      <c r="N143">
        <v>20</v>
      </c>
      <c r="O143">
        <f t="shared" si="124"/>
        <v>40</v>
      </c>
      <c r="P143">
        <f t="shared" si="125"/>
        <v>1.31</v>
      </c>
      <c r="Q143">
        <f t="shared" si="126"/>
        <v>2.4485999999999999</v>
      </c>
      <c r="R143">
        <f t="shared" si="127"/>
        <v>7.6415796</v>
      </c>
      <c r="S143">
        <f t="shared" si="128"/>
        <v>4.62E-3</v>
      </c>
      <c r="T143">
        <f t="shared" si="129"/>
        <v>1.2000000000000001E-3</v>
      </c>
      <c r="U143">
        <f t="shared" si="130"/>
        <v>11.405999599999999</v>
      </c>
      <c r="V143">
        <f t="shared" si="131"/>
        <v>568.59400039999991</v>
      </c>
      <c r="W143">
        <f>W142+V143</f>
        <v>34879.546396829988</v>
      </c>
    </row>
    <row r="144" spans="1:23" x14ac:dyDescent="0.25">
      <c r="A144">
        <f t="shared" si="136"/>
        <v>36.299999999999997</v>
      </c>
      <c r="B144" s="1">
        <f t="shared" si="137"/>
        <v>44841</v>
      </c>
      <c r="C144" s="4">
        <f t="shared" si="137"/>
        <v>44847</v>
      </c>
      <c r="D144">
        <f>INDEX(Nifty!$A$3:$K$253,MATCH('Iron Condor (Hedge)'!B144,Nifty!$A$3:$A$253),Nifty!$L$255)</f>
        <v>17850</v>
      </c>
      <c r="E144" t="str">
        <f t="shared" ref="E144:F144" si="147">E140</f>
        <v>CE</v>
      </c>
      <c r="F144" t="str">
        <f t="shared" si="147"/>
        <v>BUY</v>
      </c>
      <c r="G144" s="10">
        <v>5.65</v>
      </c>
      <c r="I144" s="10">
        <v>0.05</v>
      </c>
      <c r="J144" s="10">
        <f t="shared" si="0"/>
        <v>-280</v>
      </c>
      <c r="L144" s="12">
        <f t="shared" si="133"/>
        <v>41762.499999999985</v>
      </c>
      <c r="N144">
        <v>20</v>
      </c>
      <c r="O144">
        <f t="shared" si="124"/>
        <v>40</v>
      </c>
      <c r="P144">
        <f t="shared" si="125"/>
        <v>1.25E-3</v>
      </c>
      <c r="Q144">
        <f t="shared" si="126"/>
        <v>0.15104999999999999</v>
      </c>
      <c r="R144">
        <f t="shared" si="127"/>
        <v>7.2272402999999992</v>
      </c>
      <c r="S144">
        <f t="shared" si="128"/>
        <v>2.8499999999999999E-4</v>
      </c>
      <c r="T144">
        <f t="shared" si="129"/>
        <v>1.6950000000000003E-4</v>
      </c>
      <c r="U144">
        <f t="shared" si="130"/>
        <v>7.3799947999999995</v>
      </c>
      <c r="V144">
        <f t="shared" si="131"/>
        <v>-327.37999480000002</v>
      </c>
      <c r="W144">
        <f>W143+V144</f>
        <v>34552.166402029987</v>
      </c>
    </row>
    <row r="145" spans="1:23" x14ac:dyDescent="0.25">
      <c r="A145" s="6">
        <f t="shared" si="136"/>
        <v>36.4</v>
      </c>
      <c r="B145" s="7">
        <f t="shared" si="137"/>
        <v>44841</v>
      </c>
      <c r="C145" s="8">
        <f t="shared" si="137"/>
        <v>44847</v>
      </c>
      <c r="D145" s="6">
        <f>INDEX(Nifty!$A$4:$K$254,MATCH('Iron Condor (Hedge)'!B145,Nifty!$A$4:$A$254),Nifty!$L$256)</f>
        <v>16800</v>
      </c>
      <c r="E145" s="6" t="str">
        <f t="shared" ref="E145:F145" si="148">E141</f>
        <v>PE</v>
      </c>
      <c r="F145" s="6" t="str">
        <f t="shared" si="148"/>
        <v>BUY</v>
      </c>
      <c r="G145" s="6">
        <v>18.3</v>
      </c>
      <c r="H145" s="6">
        <f>G142+G143-G144-G145</f>
        <v>61.7</v>
      </c>
      <c r="I145" s="6">
        <v>0.05</v>
      </c>
      <c r="J145" s="6">
        <f t="shared" si="0"/>
        <v>-912.5</v>
      </c>
      <c r="K145" s="6">
        <f>SUM(J142:J145)</f>
        <v>1087.5</v>
      </c>
      <c r="L145" s="12">
        <f t="shared" si="133"/>
        <v>40849.999999999985</v>
      </c>
      <c r="M145">
        <f>IF(K145+M141&lt;0,K145+M141,0)</f>
        <v>-2462.4999999999991</v>
      </c>
      <c r="N145">
        <v>20</v>
      </c>
      <c r="O145">
        <f t="shared" si="124"/>
        <v>40</v>
      </c>
      <c r="P145">
        <f t="shared" si="125"/>
        <v>1.25E-3</v>
      </c>
      <c r="Q145">
        <f t="shared" si="126"/>
        <v>0.48627500000000007</v>
      </c>
      <c r="R145">
        <f t="shared" si="127"/>
        <v>7.2876946499999997</v>
      </c>
      <c r="S145">
        <f t="shared" si="128"/>
        <v>9.1750000000000013E-4</v>
      </c>
      <c r="T145">
        <f t="shared" si="129"/>
        <v>5.4900000000000001E-4</v>
      </c>
      <c r="U145">
        <f t="shared" si="130"/>
        <v>7.7766861499999997</v>
      </c>
      <c r="V145">
        <f t="shared" si="131"/>
        <v>-960.27668615000005</v>
      </c>
      <c r="W145">
        <f>W144+V145</f>
        <v>33591.889715879988</v>
      </c>
    </row>
    <row r="146" spans="1:23" x14ac:dyDescent="0.25">
      <c r="A146">
        <f t="shared" si="136"/>
        <v>37.1</v>
      </c>
      <c r="B146" s="1">
        <f t="shared" si="137"/>
        <v>44848</v>
      </c>
      <c r="C146" s="4">
        <f t="shared" si="137"/>
        <v>44854</v>
      </c>
      <c r="D146">
        <f>INDEX(Nifty!$A$1:$K$251,MATCH('Iron Condor (Hedge)'!B146,Nifty!$A$1:$A$251),Nifty!$L$253)</f>
        <v>17450</v>
      </c>
      <c r="E146" t="str">
        <f t="shared" ref="E146:F146" si="149">E142</f>
        <v>CE</v>
      </c>
      <c r="F146" t="str">
        <f t="shared" si="149"/>
        <v>SELL</v>
      </c>
      <c r="G146" s="10">
        <v>41.45</v>
      </c>
      <c r="I146" s="10">
        <v>107.45</v>
      </c>
      <c r="J146" s="10">
        <f t="shared" si="0"/>
        <v>-3300</v>
      </c>
      <c r="L146" s="12">
        <f t="shared" si="133"/>
        <v>37549.999999999985</v>
      </c>
      <c r="N146">
        <v>20</v>
      </c>
      <c r="O146">
        <f t="shared" si="124"/>
        <v>40</v>
      </c>
      <c r="P146">
        <f t="shared" si="125"/>
        <v>1.0362500000000001</v>
      </c>
      <c r="Q146">
        <f t="shared" si="126"/>
        <v>3.9458499999999996</v>
      </c>
      <c r="R146">
        <f t="shared" si="127"/>
        <v>7.9115930999999993</v>
      </c>
      <c r="S146">
        <f t="shared" si="128"/>
        <v>7.4449999999999994E-3</v>
      </c>
      <c r="T146">
        <f t="shared" si="129"/>
        <v>3.2235000000000002E-3</v>
      </c>
      <c r="U146">
        <f t="shared" si="130"/>
        <v>12.904361600000001</v>
      </c>
      <c r="V146">
        <f t="shared" si="131"/>
        <v>-3352.9043615999999</v>
      </c>
      <c r="W146">
        <f>W145+V146</f>
        <v>30238.98535427999</v>
      </c>
    </row>
    <row r="147" spans="1:23" x14ac:dyDescent="0.25">
      <c r="A147">
        <f t="shared" si="136"/>
        <v>37.200000000000003</v>
      </c>
      <c r="B147" s="1">
        <f t="shared" si="137"/>
        <v>44848</v>
      </c>
      <c r="C147" s="4">
        <f t="shared" si="137"/>
        <v>44854</v>
      </c>
      <c r="D147">
        <f>INDEX(Nifty!$A$2:$K$252,MATCH('Iron Condor (Hedge)'!B147,Nifty!$A$2:$A$252),Nifty!$L$254)</f>
        <v>16900</v>
      </c>
      <c r="E147" t="str">
        <f t="shared" ref="E147:F147" si="150">E143</f>
        <v>PE</v>
      </c>
      <c r="F147" t="str">
        <f t="shared" si="150"/>
        <v>SELL</v>
      </c>
      <c r="G147" s="10">
        <v>50</v>
      </c>
      <c r="I147" s="10">
        <v>0.05</v>
      </c>
      <c r="J147" s="10">
        <f t="shared" si="0"/>
        <v>2497.5</v>
      </c>
      <c r="L147" s="12">
        <f t="shared" si="133"/>
        <v>40047.499999999985</v>
      </c>
      <c r="N147">
        <v>20</v>
      </c>
      <c r="O147">
        <f t="shared" si="124"/>
        <v>40</v>
      </c>
      <c r="P147">
        <f t="shared" si="125"/>
        <v>1.25</v>
      </c>
      <c r="Q147">
        <f t="shared" si="126"/>
        <v>1.326325</v>
      </c>
      <c r="R147">
        <f t="shared" si="127"/>
        <v>7.4391889499999992</v>
      </c>
      <c r="S147">
        <f t="shared" si="128"/>
        <v>2.5025E-3</v>
      </c>
      <c r="T147">
        <f t="shared" si="129"/>
        <v>1.5E-6</v>
      </c>
      <c r="U147">
        <f t="shared" si="130"/>
        <v>10.018017949999999</v>
      </c>
      <c r="V147">
        <f t="shared" si="131"/>
        <v>2447.4819820500002</v>
      </c>
      <c r="W147">
        <f>W146+V147</f>
        <v>32686.467336329992</v>
      </c>
    </row>
    <row r="148" spans="1:23" x14ac:dyDescent="0.25">
      <c r="A148">
        <f t="shared" si="136"/>
        <v>37.299999999999997</v>
      </c>
      <c r="B148" s="1">
        <f t="shared" si="137"/>
        <v>44848</v>
      </c>
      <c r="C148" s="4">
        <f t="shared" si="137"/>
        <v>44854</v>
      </c>
      <c r="D148">
        <f>INDEX(Nifty!$A$3:$K$253,MATCH('Iron Condor (Hedge)'!B148,Nifty!$A$3:$A$253),Nifty!$L$255)</f>
        <v>17700</v>
      </c>
      <c r="E148" t="str">
        <f t="shared" ref="E148:F148" si="151">E144</f>
        <v>CE</v>
      </c>
      <c r="F148" t="str">
        <f t="shared" si="151"/>
        <v>BUY</v>
      </c>
      <c r="G148" s="10">
        <v>8.0500000000000007</v>
      </c>
      <c r="I148" s="10">
        <v>0.1</v>
      </c>
      <c r="J148" s="10">
        <f t="shared" si="0"/>
        <v>-397.50000000000006</v>
      </c>
      <c r="L148" s="12">
        <f t="shared" si="133"/>
        <v>39649.999999999985</v>
      </c>
      <c r="N148">
        <v>20</v>
      </c>
      <c r="O148">
        <f t="shared" si="124"/>
        <v>40</v>
      </c>
      <c r="P148">
        <f t="shared" si="125"/>
        <v>2.5000000000000001E-3</v>
      </c>
      <c r="Q148">
        <f t="shared" si="126"/>
        <v>0.215975</v>
      </c>
      <c r="R148">
        <f t="shared" si="127"/>
        <v>7.2389488499999999</v>
      </c>
      <c r="S148">
        <f t="shared" si="128"/>
        <v>4.0749999999999998E-4</v>
      </c>
      <c r="T148">
        <f t="shared" si="129"/>
        <v>2.4150000000000002E-4</v>
      </c>
      <c r="U148">
        <f t="shared" si="130"/>
        <v>7.4580728499999989</v>
      </c>
      <c r="V148">
        <f t="shared" si="131"/>
        <v>-444.95807285000006</v>
      </c>
      <c r="W148">
        <f>W147+V148</f>
        <v>32241.509263479991</v>
      </c>
    </row>
    <row r="149" spans="1:23" x14ac:dyDescent="0.25">
      <c r="A149" s="6">
        <f t="shared" si="136"/>
        <v>37.4</v>
      </c>
      <c r="B149" s="7">
        <f t="shared" si="137"/>
        <v>44848</v>
      </c>
      <c r="C149" s="8">
        <f t="shared" si="137"/>
        <v>44854</v>
      </c>
      <c r="D149" s="6">
        <f>INDEX(Nifty!$A$4:$K$254,MATCH('Iron Condor (Hedge)'!B149,Nifty!$A$4:$A$254),Nifty!$L$256)</f>
        <v>16650</v>
      </c>
      <c r="E149" s="6" t="str">
        <f t="shared" ref="E149:F149" si="152">E145</f>
        <v>PE</v>
      </c>
      <c r="F149" s="6" t="str">
        <f t="shared" si="152"/>
        <v>BUY</v>
      </c>
      <c r="G149" s="6">
        <v>16.899999999999999</v>
      </c>
      <c r="H149" s="6">
        <f>G146+G147-G148-G149</f>
        <v>66.5</v>
      </c>
      <c r="I149" s="6">
        <v>0.05</v>
      </c>
      <c r="J149" s="6">
        <f t="shared" si="0"/>
        <v>-842.49999999999989</v>
      </c>
      <c r="K149" s="6">
        <f>SUM(J146:J149)</f>
        <v>-2042.5</v>
      </c>
      <c r="L149" s="12">
        <f t="shared" si="133"/>
        <v>38807.499999999985</v>
      </c>
      <c r="M149">
        <f>IF(K149+M145&lt;0,K149+M145,0)</f>
        <v>-4504.9999999999991</v>
      </c>
      <c r="N149">
        <v>20</v>
      </c>
      <c r="O149">
        <f t="shared" si="124"/>
        <v>40</v>
      </c>
      <c r="P149">
        <f t="shared" si="125"/>
        <v>1.25E-3</v>
      </c>
      <c r="Q149">
        <f t="shared" si="126"/>
        <v>0.44917499999999999</v>
      </c>
      <c r="R149">
        <f t="shared" si="127"/>
        <v>7.2810040499999991</v>
      </c>
      <c r="S149">
        <f t="shared" si="128"/>
        <v>8.4749999999999995E-4</v>
      </c>
      <c r="T149">
        <f t="shared" si="129"/>
        <v>5.0699999999999996E-4</v>
      </c>
      <c r="U149">
        <f t="shared" si="130"/>
        <v>7.7327835499999988</v>
      </c>
      <c r="V149">
        <f t="shared" si="131"/>
        <v>-890.23278354999991</v>
      </c>
      <c r="W149">
        <f>W148+V149</f>
        <v>31351.276479929991</v>
      </c>
    </row>
    <row r="150" spans="1:23" x14ac:dyDescent="0.25">
      <c r="A150">
        <f t="shared" si="136"/>
        <v>38.1</v>
      </c>
      <c r="B150" s="1">
        <f t="shared" si="137"/>
        <v>44855</v>
      </c>
      <c r="C150" s="4">
        <f t="shared" si="137"/>
        <v>44861</v>
      </c>
      <c r="D150">
        <f>INDEX(Nifty!$A$1:$K$251,MATCH('Iron Condor (Hedge)'!B150,Nifty!$A$1:$A$251),Nifty!$L$253)</f>
        <v>17850</v>
      </c>
      <c r="E150" t="str">
        <f t="shared" ref="E150:F150" si="153">E146</f>
        <v>CE</v>
      </c>
      <c r="F150" t="str">
        <f t="shared" si="153"/>
        <v>SELL</v>
      </c>
      <c r="G150" s="10">
        <v>17.95</v>
      </c>
      <c r="I150" s="10">
        <v>0.1</v>
      </c>
      <c r="J150" s="10">
        <f t="shared" si="0"/>
        <v>892.49999999999989</v>
      </c>
      <c r="L150" s="12">
        <f t="shared" si="133"/>
        <v>39699.999999999985</v>
      </c>
      <c r="N150">
        <v>20</v>
      </c>
      <c r="O150">
        <f t="shared" si="124"/>
        <v>40</v>
      </c>
      <c r="P150">
        <f t="shared" si="125"/>
        <v>0.44874999999999998</v>
      </c>
      <c r="Q150">
        <f t="shared" si="126"/>
        <v>0.478325</v>
      </c>
      <c r="R150">
        <f t="shared" si="127"/>
        <v>7.28626095</v>
      </c>
      <c r="S150">
        <f t="shared" si="128"/>
        <v>9.0249999999999987E-4</v>
      </c>
      <c r="T150">
        <f t="shared" si="129"/>
        <v>3.0000000000000001E-6</v>
      </c>
      <c r="U150">
        <f t="shared" si="130"/>
        <v>8.2142414499999994</v>
      </c>
      <c r="V150">
        <f t="shared" si="131"/>
        <v>844.28575854999985</v>
      </c>
      <c r="W150">
        <f>W149+V150</f>
        <v>32195.56223847999</v>
      </c>
    </row>
    <row r="151" spans="1:23" x14ac:dyDescent="0.25">
      <c r="A151">
        <f t="shared" si="136"/>
        <v>38.200000000000003</v>
      </c>
      <c r="B151" s="1">
        <f t="shared" ref="B151:C166" si="154">B147+7</f>
        <v>44855</v>
      </c>
      <c r="C151" s="4">
        <f t="shared" si="154"/>
        <v>44861</v>
      </c>
      <c r="D151">
        <f>INDEX(Nifty!$A$2:$K$252,MATCH('Iron Condor (Hedge)'!B151,Nifty!$A$2:$A$252),Nifty!$L$254)</f>
        <v>17300</v>
      </c>
      <c r="E151" t="str">
        <f t="shared" ref="E151:F151" si="155">E147</f>
        <v>PE</v>
      </c>
      <c r="F151" t="str">
        <f t="shared" si="155"/>
        <v>SELL</v>
      </c>
      <c r="G151" s="10">
        <v>34.799999999999997</v>
      </c>
      <c r="I151" s="10">
        <v>0.05</v>
      </c>
      <c r="J151" s="10">
        <f t="shared" si="0"/>
        <v>1737.5</v>
      </c>
      <c r="L151" s="12">
        <f t="shared" si="133"/>
        <v>41437.499999999985</v>
      </c>
      <c r="N151">
        <v>20</v>
      </c>
      <c r="O151">
        <f t="shared" si="124"/>
        <v>40</v>
      </c>
      <c r="P151">
        <f t="shared" si="125"/>
        <v>0.86999999999999988</v>
      </c>
      <c r="Q151">
        <f t="shared" si="126"/>
        <v>0.92352499999999982</v>
      </c>
      <c r="R151">
        <f t="shared" si="127"/>
        <v>7.366548149999999</v>
      </c>
      <c r="S151">
        <f t="shared" si="128"/>
        <v>1.7424999999999997E-3</v>
      </c>
      <c r="T151">
        <f t="shared" si="129"/>
        <v>1.5E-6</v>
      </c>
      <c r="U151">
        <f t="shared" si="130"/>
        <v>9.1618171499999992</v>
      </c>
      <c r="V151">
        <f t="shared" si="131"/>
        <v>1688.3381828500001</v>
      </c>
      <c r="W151">
        <f>W150+V151</f>
        <v>33883.900421329992</v>
      </c>
    </row>
    <row r="152" spans="1:23" x14ac:dyDescent="0.25">
      <c r="A152">
        <f t="shared" si="136"/>
        <v>38.299999999999997</v>
      </c>
      <c r="B152" s="1">
        <f t="shared" si="154"/>
        <v>44855</v>
      </c>
      <c r="C152" s="4">
        <f t="shared" si="154"/>
        <v>44861</v>
      </c>
      <c r="D152">
        <f>INDEX(Nifty!$A$3:$K$253,MATCH('Iron Condor (Hedge)'!B152,Nifty!$A$3:$A$253),Nifty!$L$255)</f>
        <v>18100</v>
      </c>
      <c r="E152" t="str">
        <f t="shared" ref="E152:F152" si="156">E148</f>
        <v>CE</v>
      </c>
      <c r="F152" t="str">
        <f t="shared" si="156"/>
        <v>BUY</v>
      </c>
      <c r="G152" s="10">
        <v>3.15</v>
      </c>
      <c r="I152" s="10">
        <v>0.15</v>
      </c>
      <c r="J152" s="10">
        <f t="shared" si="0"/>
        <v>-150</v>
      </c>
      <c r="L152" s="12">
        <f t="shared" si="133"/>
        <v>41287.499999999985</v>
      </c>
      <c r="N152">
        <v>20</v>
      </c>
      <c r="O152">
        <f t="shared" si="124"/>
        <v>40</v>
      </c>
      <c r="P152">
        <f t="shared" si="125"/>
        <v>3.7499999999999999E-3</v>
      </c>
      <c r="Q152">
        <f t="shared" si="126"/>
        <v>8.745E-2</v>
      </c>
      <c r="R152">
        <f t="shared" si="127"/>
        <v>7.2157706999999993</v>
      </c>
      <c r="S152">
        <f t="shared" si="128"/>
        <v>1.65E-4</v>
      </c>
      <c r="T152">
        <f t="shared" si="129"/>
        <v>9.4499999999999993E-5</v>
      </c>
      <c r="U152">
        <f t="shared" si="130"/>
        <v>7.3072301999999993</v>
      </c>
      <c r="V152">
        <f t="shared" si="131"/>
        <v>-197.30723019999999</v>
      </c>
      <c r="W152">
        <f>W151+V152</f>
        <v>33686.593191129992</v>
      </c>
    </row>
    <row r="153" spans="1:23" x14ac:dyDescent="0.25">
      <c r="A153" s="6">
        <f t="shared" si="136"/>
        <v>38.4</v>
      </c>
      <c r="B153" s="7">
        <f t="shared" si="154"/>
        <v>44855</v>
      </c>
      <c r="C153" s="8">
        <f t="shared" si="154"/>
        <v>44861</v>
      </c>
      <c r="D153" s="6">
        <f>INDEX(Nifty!$A$4:$K$254,MATCH('Iron Condor (Hedge)'!B153,Nifty!$A$4:$A$254),Nifty!$L$256)</f>
        <v>17050</v>
      </c>
      <c r="E153" s="6" t="str">
        <f t="shared" ref="E153:F153" si="157">E149</f>
        <v>PE</v>
      </c>
      <c r="F153" s="6" t="str">
        <f t="shared" si="157"/>
        <v>BUY</v>
      </c>
      <c r="G153" s="6">
        <v>10.95</v>
      </c>
      <c r="H153" s="6">
        <f>G150+G151-G152-G153</f>
        <v>38.650000000000006</v>
      </c>
      <c r="I153" s="6">
        <v>0.15</v>
      </c>
      <c r="J153" s="6">
        <f t="shared" si="0"/>
        <v>-540</v>
      </c>
      <c r="K153" s="6">
        <f>SUM(J150:J153)</f>
        <v>1940</v>
      </c>
      <c r="L153" s="12">
        <f t="shared" si="133"/>
        <v>40747.499999999985</v>
      </c>
      <c r="M153">
        <f>IF(K153+M149&lt;0,K153+M149,0)</f>
        <v>-2564.9999999999991</v>
      </c>
      <c r="N153">
        <v>20</v>
      </c>
      <c r="O153">
        <f t="shared" si="124"/>
        <v>40</v>
      </c>
      <c r="P153">
        <f t="shared" si="125"/>
        <v>3.7499999999999999E-3</v>
      </c>
      <c r="Q153">
        <f t="shared" si="126"/>
        <v>0.29414999999999997</v>
      </c>
      <c r="R153">
        <f t="shared" si="127"/>
        <v>7.2530469000000002</v>
      </c>
      <c r="S153">
        <f t="shared" si="128"/>
        <v>5.5499999999999994E-4</v>
      </c>
      <c r="T153">
        <f t="shared" si="129"/>
        <v>3.2849999999999996E-4</v>
      </c>
      <c r="U153">
        <f t="shared" si="130"/>
        <v>7.5518304000000009</v>
      </c>
      <c r="V153">
        <f t="shared" si="131"/>
        <v>-587.55183039999997</v>
      </c>
      <c r="W153">
        <f>W152+V153</f>
        <v>33099.041360729992</v>
      </c>
    </row>
    <row r="154" spans="1:23" x14ac:dyDescent="0.25">
      <c r="A154">
        <f t="shared" si="136"/>
        <v>39.1</v>
      </c>
      <c r="B154" s="1">
        <f t="shared" si="154"/>
        <v>44862</v>
      </c>
      <c r="C154" s="4">
        <f t="shared" si="154"/>
        <v>44868</v>
      </c>
      <c r="D154">
        <f>INDEX(Nifty!$A$1:$K$251,MATCH('Iron Condor (Hedge)'!B154,Nifty!$A$1:$A$251),Nifty!$L$253)</f>
        <v>18050</v>
      </c>
      <c r="E154" t="str">
        <f t="shared" ref="E154:F154" si="158">E150</f>
        <v>CE</v>
      </c>
      <c r="F154" t="str">
        <f t="shared" si="158"/>
        <v>SELL</v>
      </c>
      <c r="G154" s="10">
        <v>31.45</v>
      </c>
      <c r="I154" s="10">
        <v>6.05</v>
      </c>
      <c r="J154" s="10">
        <f t="shared" si="0"/>
        <v>1270</v>
      </c>
      <c r="L154" s="12">
        <f t="shared" si="133"/>
        <v>42017.499999999985</v>
      </c>
      <c r="N154">
        <v>20</v>
      </c>
      <c r="O154">
        <f t="shared" si="124"/>
        <v>40</v>
      </c>
      <c r="P154">
        <f t="shared" si="125"/>
        <v>0.78625</v>
      </c>
      <c r="Q154">
        <f t="shared" si="126"/>
        <v>0.99374999999999991</v>
      </c>
      <c r="R154">
        <f t="shared" si="127"/>
        <v>7.3792124999999995</v>
      </c>
      <c r="S154">
        <f t="shared" si="128"/>
        <v>1.8749999999999999E-3</v>
      </c>
      <c r="T154">
        <f t="shared" si="129"/>
        <v>1.8149999999999999E-4</v>
      </c>
      <c r="U154">
        <f t="shared" si="130"/>
        <v>9.161268999999999</v>
      </c>
      <c r="V154">
        <f t="shared" si="131"/>
        <v>1220.8387310000001</v>
      </c>
      <c r="W154">
        <f>W153+V154</f>
        <v>34319.880091729996</v>
      </c>
    </row>
    <row r="155" spans="1:23" x14ac:dyDescent="0.25">
      <c r="A155">
        <f t="shared" si="136"/>
        <v>39.200000000000003</v>
      </c>
      <c r="B155" s="1">
        <f t="shared" si="154"/>
        <v>44862</v>
      </c>
      <c r="C155" s="4">
        <f t="shared" si="154"/>
        <v>44868</v>
      </c>
      <c r="D155">
        <f>INDEX(Nifty!$A$2:$K$252,MATCH('Iron Condor (Hedge)'!B155,Nifty!$A$2:$A$252),Nifty!$L$254)</f>
        <v>17500</v>
      </c>
      <c r="E155" t="str">
        <f t="shared" ref="E155:F155" si="159">E151</f>
        <v>PE</v>
      </c>
      <c r="F155" t="str">
        <f t="shared" si="159"/>
        <v>SELL</v>
      </c>
      <c r="G155" s="10">
        <v>36.299999999999997</v>
      </c>
      <c r="I155" s="10">
        <v>0.1</v>
      </c>
      <c r="J155" s="10">
        <f t="shared" si="0"/>
        <v>1809.9999999999998</v>
      </c>
      <c r="L155" s="12">
        <f t="shared" si="133"/>
        <v>43827.499999999985</v>
      </c>
      <c r="N155">
        <v>20</v>
      </c>
      <c r="O155">
        <f t="shared" si="124"/>
        <v>40</v>
      </c>
      <c r="P155">
        <f t="shared" si="125"/>
        <v>0.90749999999999986</v>
      </c>
      <c r="Q155">
        <f t="shared" si="126"/>
        <v>0.96460000000000001</v>
      </c>
      <c r="R155">
        <f t="shared" si="127"/>
        <v>7.3739555999999995</v>
      </c>
      <c r="S155">
        <f t="shared" si="128"/>
        <v>1.8199999999999998E-3</v>
      </c>
      <c r="T155">
        <f t="shared" si="129"/>
        <v>3.0000000000000001E-6</v>
      </c>
      <c r="U155">
        <f t="shared" si="130"/>
        <v>9.2478785999999999</v>
      </c>
      <c r="V155">
        <f t="shared" si="131"/>
        <v>1760.7521213999999</v>
      </c>
      <c r="W155">
        <f>W154+V155</f>
        <v>36080.632213129997</v>
      </c>
    </row>
    <row r="156" spans="1:23" x14ac:dyDescent="0.25">
      <c r="A156">
        <f t="shared" si="136"/>
        <v>39.299999999999997</v>
      </c>
      <c r="B156" s="1">
        <f t="shared" si="154"/>
        <v>44862</v>
      </c>
      <c r="C156" s="4">
        <f t="shared" si="154"/>
        <v>44868</v>
      </c>
      <c r="D156">
        <f>INDEX(Nifty!$A$3:$K$253,MATCH('Iron Condor (Hedge)'!B156,Nifty!$A$3:$A$253),Nifty!$L$255)</f>
        <v>18300</v>
      </c>
      <c r="E156" t="str">
        <f t="shared" ref="E156:F156" si="160">E152</f>
        <v>CE</v>
      </c>
      <c r="F156" t="str">
        <f t="shared" si="160"/>
        <v>BUY</v>
      </c>
      <c r="G156" s="10">
        <v>4.0999999999999996</v>
      </c>
      <c r="I156" s="10">
        <v>0.1</v>
      </c>
      <c r="J156" s="10">
        <f t="shared" si="0"/>
        <v>-199.99999999999997</v>
      </c>
      <c r="L156" s="12">
        <f t="shared" si="133"/>
        <v>43627.499999999985</v>
      </c>
      <c r="N156">
        <v>20</v>
      </c>
      <c r="O156">
        <f t="shared" si="124"/>
        <v>40</v>
      </c>
      <c r="P156">
        <f t="shared" si="125"/>
        <v>2.5000000000000001E-3</v>
      </c>
      <c r="Q156">
        <f t="shared" si="126"/>
        <v>0.11129999999999998</v>
      </c>
      <c r="R156">
        <f t="shared" si="127"/>
        <v>7.2200718000000004</v>
      </c>
      <c r="S156">
        <f t="shared" si="128"/>
        <v>2.0999999999999993E-4</v>
      </c>
      <c r="T156">
        <f t="shared" si="129"/>
        <v>1.2299999999999998E-4</v>
      </c>
      <c r="U156">
        <f t="shared" si="130"/>
        <v>7.3342048000000011</v>
      </c>
      <c r="V156">
        <f t="shared" si="131"/>
        <v>-247.33420479999998</v>
      </c>
      <c r="W156">
        <f>W155+V156</f>
        <v>35833.298008329999</v>
      </c>
    </row>
    <row r="157" spans="1:23" x14ac:dyDescent="0.25">
      <c r="A157" s="6">
        <f t="shared" si="136"/>
        <v>39.4</v>
      </c>
      <c r="B157" s="7">
        <f t="shared" si="154"/>
        <v>44862</v>
      </c>
      <c r="C157" s="8">
        <f t="shared" si="154"/>
        <v>44868</v>
      </c>
      <c r="D157" s="6">
        <f>INDEX(Nifty!$A$4:$K$254,MATCH('Iron Condor (Hedge)'!B157,Nifty!$A$4:$A$254),Nifty!$L$256)</f>
        <v>17250</v>
      </c>
      <c r="E157" s="6" t="str">
        <f t="shared" ref="E157:F157" si="161">E153</f>
        <v>PE</v>
      </c>
      <c r="F157" s="6" t="str">
        <f t="shared" si="161"/>
        <v>BUY</v>
      </c>
      <c r="G157" s="6">
        <v>10.45</v>
      </c>
      <c r="H157" s="6">
        <f>G154+G155-G156-G157</f>
        <v>53.2</v>
      </c>
      <c r="I157" s="6">
        <v>0.05</v>
      </c>
      <c r="J157" s="6">
        <f t="shared" si="0"/>
        <v>-519.99999999999989</v>
      </c>
      <c r="K157" s="6">
        <f>SUM(J154:J157)</f>
        <v>2360</v>
      </c>
      <c r="L157" s="12">
        <f t="shared" si="133"/>
        <v>43107.499999999985</v>
      </c>
      <c r="M157">
        <f>IF(K157+M153&lt;0,K157+M153,0)</f>
        <v>-204.99999999999909</v>
      </c>
      <c r="N157">
        <v>20</v>
      </c>
      <c r="O157">
        <f t="shared" si="124"/>
        <v>40</v>
      </c>
      <c r="P157">
        <f t="shared" si="125"/>
        <v>1.25E-3</v>
      </c>
      <c r="Q157">
        <f t="shared" si="126"/>
        <v>0.27825</v>
      </c>
      <c r="R157">
        <f t="shared" si="127"/>
        <v>7.2501795000000007</v>
      </c>
      <c r="S157">
        <f t="shared" si="128"/>
        <v>5.2499999999999997E-4</v>
      </c>
      <c r="T157">
        <f t="shared" si="129"/>
        <v>3.1349999999999998E-4</v>
      </c>
      <c r="U157">
        <f t="shared" si="130"/>
        <v>7.5305179999999998</v>
      </c>
      <c r="V157">
        <f t="shared" si="131"/>
        <v>-567.53051799999992</v>
      </c>
      <c r="W157">
        <f>W156+V157</f>
        <v>35265.767490329999</v>
      </c>
    </row>
    <row r="158" spans="1:23" x14ac:dyDescent="0.25">
      <c r="A158">
        <f t="shared" si="136"/>
        <v>40.1</v>
      </c>
      <c r="B158" s="1">
        <f t="shared" si="154"/>
        <v>44869</v>
      </c>
      <c r="C158" s="4">
        <f t="shared" si="154"/>
        <v>44875</v>
      </c>
      <c r="D158">
        <f>INDEX(Nifty!$A$1:$K$251,MATCH('Iron Condor (Hedge)'!B158,Nifty!$A$1:$A$251),Nifty!$L$253)</f>
        <v>18400</v>
      </c>
      <c r="E158" t="str">
        <f t="shared" ref="E158:F158" si="162">E154</f>
        <v>CE</v>
      </c>
      <c r="F158" t="str">
        <f t="shared" si="162"/>
        <v>SELL</v>
      </c>
      <c r="G158" s="10">
        <v>26.65</v>
      </c>
      <c r="I158" s="10">
        <v>0.1</v>
      </c>
      <c r="J158" s="10">
        <f t="shared" si="0"/>
        <v>1327.4999999999998</v>
      </c>
      <c r="L158" s="12">
        <f t="shared" si="133"/>
        <v>44434.999999999985</v>
      </c>
      <c r="N158">
        <v>20</v>
      </c>
      <c r="O158">
        <f t="shared" si="124"/>
        <v>40</v>
      </c>
      <c r="P158">
        <f t="shared" si="125"/>
        <v>0.66625000000000001</v>
      </c>
      <c r="Q158">
        <f t="shared" si="126"/>
        <v>0.70887499999999992</v>
      </c>
      <c r="R158">
        <f t="shared" si="127"/>
        <v>7.3278382499999992</v>
      </c>
      <c r="S158">
        <f t="shared" si="128"/>
        <v>1.3374999999999999E-3</v>
      </c>
      <c r="T158">
        <f t="shared" si="129"/>
        <v>3.0000000000000001E-6</v>
      </c>
      <c r="U158">
        <f t="shared" si="130"/>
        <v>8.7043037499999993</v>
      </c>
      <c r="V158">
        <f t="shared" si="131"/>
        <v>1278.7956962499998</v>
      </c>
      <c r="W158">
        <f>W157+V158</f>
        <v>36544.563186580002</v>
      </c>
    </row>
    <row r="159" spans="1:23" x14ac:dyDescent="0.25">
      <c r="A159">
        <f t="shared" si="136"/>
        <v>40.200000000000003</v>
      </c>
      <c r="B159" s="1">
        <f t="shared" si="154"/>
        <v>44869</v>
      </c>
      <c r="C159" s="4">
        <f t="shared" si="154"/>
        <v>44875</v>
      </c>
      <c r="D159">
        <f>INDEX(Nifty!$A$2:$K$252,MATCH('Iron Condor (Hedge)'!B159,Nifty!$A$2:$A$252),Nifty!$L$254)</f>
        <v>17850</v>
      </c>
      <c r="E159" t="str">
        <f t="shared" ref="E159:F159" si="163">E155</f>
        <v>PE</v>
      </c>
      <c r="F159" t="str">
        <f t="shared" si="163"/>
        <v>SELL</v>
      </c>
      <c r="G159" s="10">
        <v>29.7</v>
      </c>
      <c r="I159" s="10">
        <v>0.05</v>
      </c>
      <c r="J159" s="10">
        <f t="shared" si="0"/>
        <v>1482.5</v>
      </c>
      <c r="L159" s="12">
        <f t="shared" si="133"/>
        <v>45917.499999999985</v>
      </c>
      <c r="N159">
        <v>20</v>
      </c>
      <c r="O159">
        <f t="shared" si="124"/>
        <v>40</v>
      </c>
      <c r="P159">
        <f t="shared" si="125"/>
        <v>0.74250000000000005</v>
      </c>
      <c r="Q159">
        <f t="shared" si="126"/>
        <v>0.78837499999999994</v>
      </c>
      <c r="R159">
        <f t="shared" si="127"/>
        <v>7.3421752500000004</v>
      </c>
      <c r="S159">
        <f t="shared" si="128"/>
        <v>1.4874999999999999E-3</v>
      </c>
      <c r="T159">
        <f t="shared" si="129"/>
        <v>1.5E-6</v>
      </c>
      <c r="U159">
        <f t="shared" si="130"/>
        <v>8.8745392499999998</v>
      </c>
      <c r="V159">
        <f t="shared" si="131"/>
        <v>1433.62546075</v>
      </c>
      <c r="W159">
        <f>W158+V159</f>
        <v>37978.188647330004</v>
      </c>
    </row>
    <row r="160" spans="1:23" x14ac:dyDescent="0.25">
      <c r="A160">
        <f t="shared" si="136"/>
        <v>40.299999999999997</v>
      </c>
      <c r="B160" s="1">
        <f t="shared" si="154"/>
        <v>44869</v>
      </c>
      <c r="C160" s="4">
        <f t="shared" si="154"/>
        <v>44875</v>
      </c>
      <c r="D160">
        <f>INDEX(Nifty!$A$3:$K$253,MATCH('Iron Condor (Hedge)'!B160,Nifty!$A$3:$A$253),Nifty!$L$255)</f>
        <v>18650</v>
      </c>
      <c r="E160" t="str">
        <f t="shared" ref="E160:F160" si="164">E156</f>
        <v>CE</v>
      </c>
      <c r="F160" t="str">
        <f t="shared" si="164"/>
        <v>BUY</v>
      </c>
      <c r="G160" s="10">
        <v>3.6</v>
      </c>
      <c r="I160" s="10">
        <v>0.05</v>
      </c>
      <c r="J160" s="10">
        <f t="shared" si="0"/>
        <v>-177.5</v>
      </c>
      <c r="L160" s="12">
        <f t="shared" si="133"/>
        <v>45739.999999999985</v>
      </c>
      <c r="N160">
        <v>20</v>
      </c>
      <c r="O160">
        <f t="shared" si="124"/>
        <v>40</v>
      </c>
      <c r="P160">
        <f t="shared" si="125"/>
        <v>1.25E-3</v>
      </c>
      <c r="Q160">
        <f t="shared" si="126"/>
        <v>9.6724999999999992E-2</v>
      </c>
      <c r="R160">
        <f t="shared" si="127"/>
        <v>7.2174433499999999</v>
      </c>
      <c r="S160">
        <f t="shared" si="128"/>
        <v>1.8249999999999999E-4</v>
      </c>
      <c r="T160">
        <f t="shared" si="129"/>
        <v>1.0800000000000001E-4</v>
      </c>
      <c r="U160">
        <f t="shared" si="130"/>
        <v>7.31570885</v>
      </c>
      <c r="V160">
        <f t="shared" si="131"/>
        <v>-224.81570884999999</v>
      </c>
      <c r="W160">
        <f>W159+V160</f>
        <v>37753.372938480003</v>
      </c>
    </row>
    <row r="161" spans="1:23" x14ac:dyDescent="0.25">
      <c r="A161" s="6">
        <f t="shared" si="136"/>
        <v>40.4</v>
      </c>
      <c r="B161" s="7">
        <f t="shared" si="154"/>
        <v>44869</v>
      </c>
      <c r="C161" s="8">
        <f t="shared" si="154"/>
        <v>44875</v>
      </c>
      <c r="D161" s="6">
        <f>INDEX(Nifty!$A$4:$K$254,MATCH('Iron Condor (Hedge)'!B161,Nifty!$A$4:$A$254),Nifty!$L$256)</f>
        <v>17600</v>
      </c>
      <c r="E161" s="6" t="str">
        <f t="shared" ref="E161:F161" si="165">E157</f>
        <v>PE</v>
      </c>
      <c r="F161" s="6" t="str">
        <f t="shared" si="165"/>
        <v>BUY</v>
      </c>
      <c r="G161" s="6">
        <v>8.15</v>
      </c>
      <c r="H161" s="6">
        <f>G158+G159-G160-G161</f>
        <v>44.599999999999994</v>
      </c>
      <c r="I161" s="6">
        <v>0.05</v>
      </c>
      <c r="J161" s="6">
        <f t="shared" si="0"/>
        <v>-405</v>
      </c>
      <c r="K161" s="6">
        <f>SUM(J158:J161)</f>
        <v>2227.5</v>
      </c>
      <c r="L161" s="12">
        <f t="shared" si="133"/>
        <v>45334.999999999985</v>
      </c>
      <c r="M161">
        <f>IF(K161+M157&lt;0,K161+M157,0)</f>
        <v>0</v>
      </c>
      <c r="N161">
        <v>20</v>
      </c>
      <c r="O161">
        <f t="shared" si="124"/>
        <v>40</v>
      </c>
      <c r="P161">
        <f t="shared" si="125"/>
        <v>1.25E-3</v>
      </c>
      <c r="Q161">
        <f t="shared" si="126"/>
        <v>0.21730000000000002</v>
      </c>
      <c r="R161">
        <f t="shared" si="127"/>
        <v>7.2391878000000007</v>
      </c>
      <c r="S161">
        <f t="shared" si="128"/>
        <v>4.1000000000000005E-4</v>
      </c>
      <c r="T161">
        <f t="shared" si="129"/>
        <v>2.4450000000000003E-4</v>
      </c>
      <c r="U161">
        <f t="shared" si="130"/>
        <v>7.4583922999999999</v>
      </c>
      <c r="V161">
        <f t="shared" si="131"/>
        <v>-452.45839230000001</v>
      </c>
      <c r="W161">
        <f>W160+V161</f>
        <v>37300.91454618</v>
      </c>
    </row>
    <row r="162" spans="1:23" x14ac:dyDescent="0.25">
      <c r="A162">
        <f t="shared" si="136"/>
        <v>41.1</v>
      </c>
      <c r="B162" s="1">
        <f t="shared" si="154"/>
        <v>44876</v>
      </c>
      <c r="C162" s="4">
        <f t="shared" si="154"/>
        <v>44882</v>
      </c>
      <c r="D162">
        <f>INDEX(Nifty!$A$1:$K$251,MATCH('Iron Condor (Hedge)'!B162,Nifty!$A$1:$A$251),Nifty!$L$253)</f>
        <v>18600</v>
      </c>
      <c r="E162" t="str">
        <f t="shared" ref="E162:F162" si="166">E158</f>
        <v>CE</v>
      </c>
      <c r="F162" t="str">
        <f t="shared" si="166"/>
        <v>SELL</v>
      </c>
      <c r="G162" s="10">
        <v>24.15</v>
      </c>
      <c r="I162" s="10">
        <v>0.05</v>
      </c>
      <c r="J162" s="10">
        <f t="shared" si="0"/>
        <v>1205</v>
      </c>
      <c r="L162" s="12">
        <f t="shared" si="133"/>
        <v>46539.999999999985</v>
      </c>
      <c r="N162">
        <v>20</v>
      </c>
      <c r="O162">
        <f t="shared" si="124"/>
        <v>40</v>
      </c>
      <c r="P162">
        <f t="shared" si="125"/>
        <v>0.60375000000000001</v>
      </c>
      <c r="Q162">
        <f t="shared" si="126"/>
        <v>0.64129999999999998</v>
      </c>
      <c r="R162">
        <f t="shared" si="127"/>
        <v>7.3156518000000004</v>
      </c>
      <c r="S162">
        <f t="shared" si="128"/>
        <v>1.2099999999999999E-3</v>
      </c>
      <c r="T162">
        <f t="shared" si="129"/>
        <v>1.5E-6</v>
      </c>
      <c r="U162">
        <f t="shared" si="130"/>
        <v>8.5619133000000005</v>
      </c>
      <c r="V162">
        <f t="shared" si="131"/>
        <v>1156.4380867</v>
      </c>
      <c r="W162">
        <f>W161+V162</f>
        <v>38457.35263288</v>
      </c>
    </row>
    <row r="163" spans="1:23" x14ac:dyDescent="0.25">
      <c r="A163">
        <f t="shared" si="136"/>
        <v>41.2</v>
      </c>
      <c r="B163" s="1">
        <f t="shared" si="154"/>
        <v>44876</v>
      </c>
      <c r="C163" s="4">
        <f t="shared" si="154"/>
        <v>44882</v>
      </c>
      <c r="D163">
        <f>INDEX(Nifty!$A$2:$K$252,MATCH('Iron Condor (Hedge)'!B163,Nifty!$A$2:$A$252),Nifty!$L$254)</f>
        <v>18050</v>
      </c>
      <c r="E163" t="str">
        <f t="shared" ref="E163:F163" si="167">E159</f>
        <v>PE</v>
      </c>
      <c r="F163" t="str">
        <f t="shared" si="167"/>
        <v>SELL</v>
      </c>
      <c r="G163" s="10">
        <v>23.4</v>
      </c>
      <c r="I163" s="10">
        <v>0.1</v>
      </c>
      <c r="J163" s="10">
        <f t="shared" si="0"/>
        <v>1164.9999999999998</v>
      </c>
      <c r="L163" s="12">
        <f t="shared" si="133"/>
        <v>47704.999999999985</v>
      </c>
      <c r="N163">
        <v>20</v>
      </c>
      <c r="O163">
        <f t="shared" si="124"/>
        <v>40</v>
      </c>
      <c r="P163">
        <f t="shared" si="125"/>
        <v>0.58499999999999996</v>
      </c>
      <c r="Q163">
        <f t="shared" si="126"/>
        <v>0.62275000000000003</v>
      </c>
      <c r="R163">
        <f t="shared" si="127"/>
        <v>7.3123065000000009</v>
      </c>
      <c r="S163">
        <f t="shared" si="128"/>
        <v>1.1749999999999998E-3</v>
      </c>
      <c r="T163">
        <f t="shared" si="129"/>
        <v>3.0000000000000001E-6</v>
      </c>
      <c r="U163">
        <f t="shared" si="130"/>
        <v>8.5212345000000003</v>
      </c>
      <c r="V163">
        <f t="shared" si="131"/>
        <v>1116.4787654999998</v>
      </c>
      <c r="W163">
        <f>W162+V163</f>
        <v>39573.831398379996</v>
      </c>
    </row>
    <row r="164" spans="1:23" x14ac:dyDescent="0.25">
      <c r="A164">
        <f t="shared" si="136"/>
        <v>41.3</v>
      </c>
      <c r="B164" s="1">
        <f t="shared" si="154"/>
        <v>44876</v>
      </c>
      <c r="C164" s="4">
        <f t="shared" si="154"/>
        <v>44882</v>
      </c>
      <c r="D164">
        <f>INDEX(Nifty!$A$3:$K$253,MATCH('Iron Condor (Hedge)'!B164,Nifty!$A$3:$A$253),Nifty!$L$255)</f>
        <v>18850</v>
      </c>
      <c r="E164" t="str">
        <f t="shared" ref="E164:F164" si="168">E160</f>
        <v>CE</v>
      </c>
      <c r="F164" t="str">
        <f t="shared" si="168"/>
        <v>BUY</v>
      </c>
      <c r="G164" s="10">
        <v>4.3</v>
      </c>
      <c r="I164" s="10">
        <v>0.05</v>
      </c>
      <c r="J164" s="10">
        <f t="shared" si="0"/>
        <v>-212.5</v>
      </c>
      <c r="L164" s="12">
        <f t="shared" si="133"/>
        <v>47492.499999999985</v>
      </c>
      <c r="N164">
        <v>20</v>
      </c>
      <c r="O164">
        <f t="shared" si="124"/>
        <v>40</v>
      </c>
      <c r="P164">
        <f t="shared" si="125"/>
        <v>1.25E-3</v>
      </c>
      <c r="Q164">
        <f t="shared" si="126"/>
        <v>0.11527499999999997</v>
      </c>
      <c r="R164">
        <f t="shared" si="127"/>
        <v>7.2207886499999985</v>
      </c>
      <c r="S164">
        <f t="shared" si="128"/>
        <v>2.175E-4</v>
      </c>
      <c r="T164">
        <f t="shared" si="129"/>
        <v>1.2899999999999999E-4</v>
      </c>
      <c r="U164">
        <f t="shared" si="130"/>
        <v>7.3376601499999987</v>
      </c>
      <c r="V164">
        <f t="shared" si="131"/>
        <v>-259.83766014999998</v>
      </c>
      <c r="W164">
        <f>W163+V164</f>
        <v>39313.993738229998</v>
      </c>
    </row>
    <row r="165" spans="1:23" x14ac:dyDescent="0.25">
      <c r="A165" s="6">
        <f t="shared" si="136"/>
        <v>41.4</v>
      </c>
      <c r="B165" s="7">
        <f t="shared" si="154"/>
        <v>44876</v>
      </c>
      <c r="C165" s="8">
        <f t="shared" si="154"/>
        <v>44882</v>
      </c>
      <c r="D165" s="6">
        <f>INDEX(Nifty!$A$4:$K$254,MATCH('Iron Condor (Hedge)'!B165,Nifty!$A$4:$A$254),Nifty!$L$256)</f>
        <v>17800</v>
      </c>
      <c r="E165" s="6" t="str">
        <f t="shared" ref="E165:F165" si="169">E161</f>
        <v>PE</v>
      </c>
      <c r="F165" s="6" t="str">
        <f t="shared" si="169"/>
        <v>BUY</v>
      </c>
      <c r="G165" s="6">
        <v>7.25</v>
      </c>
      <c r="H165" s="6">
        <f>G162+G163-G164-G165</f>
        <v>36</v>
      </c>
      <c r="I165" s="6">
        <v>0.05</v>
      </c>
      <c r="J165" s="6">
        <f t="shared" si="0"/>
        <v>-360</v>
      </c>
      <c r="K165" s="6">
        <f>SUM(J162:J165)</f>
        <v>1797.5</v>
      </c>
      <c r="L165" s="12">
        <f t="shared" si="133"/>
        <v>47132.499999999985</v>
      </c>
      <c r="M165">
        <f>IF(K165+M161&lt;0,K165+M161,0)</f>
        <v>0</v>
      </c>
      <c r="N165">
        <v>20</v>
      </c>
      <c r="O165">
        <f t="shared" si="124"/>
        <v>40</v>
      </c>
      <c r="P165">
        <f t="shared" si="125"/>
        <v>1.25E-3</v>
      </c>
      <c r="Q165">
        <f t="shared" si="126"/>
        <v>0.19344999999999998</v>
      </c>
      <c r="R165">
        <f t="shared" si="127"/>
        <v>7.2348866999999997</v>
      </c>
      <c r="S165">
        <f t="shared" si="128"/>
        <v>3.6499999999999998E-4</v>
      </c>
      <c r="T165">
        <f t="shared" si="129"/>
        <v>2.175E-4</v>
      </c>
      <c r="U165">
        <f t="shared" si="130"/>
        <v>7.4301691999999999</v>
      </c>
      <c r="V165">
        <f t="shared" si="131"/>
        <v>-407.43016920000002</v>
      </c>
      <c r="W165">
        <f>W164+V165</f>
        <v>38906.563569029997</v>
      </c>
    </row>
    <row r="166" spans="1:23" x14ac:dyDescent="0.25">
      <c r="A166">
        <f t="shared" si="136"/>
        <v>42.1</v>
      </c>
      <c r="B166" s="1">
        <f t="shared" si="154"/>
        <v>44883</v>
      </c>
      <c r="C166" s="4">
        <f t="shared" si="154"/>
        <v>44889</v>
      </c>
      <c r="D166">
        <f>INDEX(Nifty!$A$1:$K$251,MATCH('Iron Condor (Hedge)'!B166,Nifty!$A$1:$A$251),Nifty!$L$253)</f>
        <v>18600</v>
      </c>
      <c r="E166" t="str">
        <f t="shared" ref="E166:F166" si="170">E162</f>
        <v>CE</v>
      </c>
      <c r="F166" t="str">
        <f t="shared" si="170"/>
        <v>SELL</v>
      </c>
      <c r="G166" s="10">
        <v>22.25</v>
      </c>
      <c r="I166" s="10">
        <v>0.1</v>
      </c>
      <c r="J166" s="10">
        <f t="shared" si="0"/>
        <v>1107.5</v>
      </c>
      <c r="L166" s="12">
        <f t="shared" si="133"/>
        <v>48239.999999999985</v>
      </c>
      <c r="N166">
        <v>20</v>
      </c>
      <c r="O166">
        <f t="shared" si="124"/>
        <v>40</v>
      </c>
      <c r="P166">
        <f t="shared" si="125"/>
        <v>0.55625000000000002</v>
      </c>
      <c r="Q166">
        <f t="shared" si="126"/>
        <v>0.592275</v>
      </c>
      <c r="R166">
        <f t="shared" si="127"/>
        <v>7.3068106500000001</v>
      </c>
      <c r="S166">
        <f t="shared" si="128"/>
        <v>1.1175E-3</v>
      </c>
      <c r="T166">
        <f t="shared" si="129"/>
        <v>3.0000000000000001E-6</v>
      </c>
      <c r="U166">
        <f t="shared" si="130"/>
        <v>8.4564561499999993</v>
      </c>
      <c r="V166">
        <f t="shared" si="131"/>
        <v>1059.0435438500001</v>
      </c>
      <c r="W166">
        <f>W165+V166</f>
        <v>39965.607112879996</v>
      </c>
    </row>
    <row r="167" spans="1:23" x14ac:dyDescent="0.25">
      <c r="A167">
        <f t="shared" si="136"/>
        <v>42.2</v>
      </c>
      <c r="B167" s="1">
        <f t="shared" ref="B167:C182" si="171">B163+7</f>
        <v>44883</v>
      </c>
      <c r="C167" s="4">
        <f t="shared" si="171"/>
        <v>44889</v>
      </c>
      <c r="D167">
        <f>INDEX(Nifty!$A$2:$K$252,MATCH('Iron Condor (Hedge)'!B167,Nifty!$A$2:$A$252),Nifty!$L$254)</f>
        <v>18050</v>
      </c>
      <c r="E167" t="str">
        <f t="shared" ref="E167:F167" si="172">E163</f>
        <v>PE</v>
      </c>
      <c r="F167" t="str">
        <f t="shared" si="172"/>
        <v>SELL</v>
      </c>
      <c r="G167" s="10">
        <v>19.2</v>
      </c>
      <c r="I167" s="10">
        <v>0.2</v>
      </c>
      <c r="J167" s="10">
        <f t="shared" si="0"/>
        <v>950</v>
      </c>
      <c r="L167" s="12">
        <f t="shared" si="133"/>
        <v>49189.999999999985</v>
      </c>
      <c r="N167">
        <v>20</v>
      </c>
      <c r="O167">
        <f t="shared" si="124"/>
        <v>40</v>
      </c>
      <c r="P167">
        <f t="shared" si="125"/>
        <v>0.48</v>
      </c>
      <c r="Q167">
        <f t="shared" si="126"/>
        <v>0.51409999999999989</v>
      </c>
      <c r="R167">
        <f t="shared" si="127"/>
        <v>7.2927125999999998</v>
      </c>
      <c r="S167">
        <f t="shared" si="128"/>
        <v>9.6999999999999983E-4</v>
      </c>
      <c r="T167">
        <f t="shared" si="129"/>
        <v>6.0000000000000002E-6</v>
      </c>
      <c r="U167">
        <f t="shared" si="130"/>
        <v>8.2877886000000007</v>
      </c>
      <c r="V167">
        <f t="shared" si="131"/>
        <v>901.7122114</v>
      </c>
      <c r="W167">
        <f>W166+V167</f>
        <v>40867.319324279997</v>
      </c>
    </row>
    <row r="168" spans="1:23" x14ac:dyDescent="0.25">
      <c r="A168">
        <f t="shared" si="136"/>
        <v>42.3</v>
      </c>
      <c r="B168" s="1">
        <f t="shared" si="171"/>
        <v>44883</v>
      </c>
      <c r="C168" s="4">
        <f t="shared" si="171"/>
        <v>44889</v>
      </c>
      <c r="D168">
        <f>INDEX(Nifty!$A$3:$K$253,MATCH('Iron Condor (Hedge)'!B168,Nifty!$A$3:$A$253),Nifty!$L$255)</f>
        <v>18850</v>
      </c>
      <c r="E168" t="str">
        <f t="shared" ref="E168:F168" si="173">E164</f>
        <v>CE</v>
      </c>
      <c r="F168" t="str">
        <f t="shared" si="173"/>
        <v>BUY</v>
      </c>
      <c r="G168" s="10">
        <v>3.5</v>
      </c>
      <c r="I168" s="10">
        <v>0.05</v>
      </c>
      <c r="J168" s="10">
        <f t="shared" si="0"/>
        <v>-172.5</v>
      </c>
      <c r="L168" s="12">
        <f t="shared" si="133"/>
        <v>49017.499999999985</v>
      </c>
      <c r="N168">
        <v>20</v>
      </c>
      <c r="O168">
        <f t="shared" si="124"/>
        <v>40</v>
      </c>
      <c r="P168">
        <f t="shared" si="125"/>
        <v>1.25E-3</v>
      </c>
      <c r="Q168">
        <f t="shared" si="126"/>
        <v>9.4074999999999992E-2</v>
      </c>
      <c r="R168">
        <f t="shared" si="127"/>
        <v>7.2169654499999991</v>
      </c>
      <c r="S168">
        <f t="shared" si="128"/>
        <v>1.7749999999999998E-4</v>
      </c>
      <c r="T168">
        <f t="shared" si="129"/>
        <v>1.05E-4</v>
      </c>
      <c r="U168">
        <f t="shared" si="130"/>
        <v>7.312572949999999</v>
      </c>
      <c r="V168">
        <f t="shared" si="131"/>
        <v>-219.81257295</v>
      </c>
      <c r="W168">
        <f>W167+V168</f>
        <v>40647.506751329995</v>
      </c>
    </row>
    <row r="169" spans="1:23" x14ac:dyDescent="0.25">
      <c r="A169" s="6">
        <f t="shared" si="136"/>
        <v>42.4</v>
      </c>
      <c r="B169" s="7">
        <f t="shared" si="171"/>
        <v>44883</v>
      </c>
      <c r="C169" s="8">
        <f t="shared" si="171"/>
        <v>44889</v>
      </c>
      <c r="D169" s="6">
        <f>INDEX(Nifty!$A$4:$K$254,MATCH('Iron Condor (Hedge)'!B169,Nifty!$A$4:$A$254),Nifty!$L$256)</f>
        <v>17800</v>
      </c>
      <c r="E169" s="6" t="str">
        <f t="shared" ref="E169:F169" si="174">E165</f>
        <v>PE</v>
      </c>
      <c r="F169" s="6" t="str">
        <f t="shared" si="174"/>
        <v>BUY</v>
      </c>
      <c r="G169" s="6">
        <v>5.05</v>
      </c>
      <c r="H169" s="6">
        <f>G166+G167-G168-G169</f>
        <v>32.900000000000006</v>
      </c>
      <c r="I169" s="6">
        <v>0.1</v>
      </c>
      <c r="J169" s="6">
        <f t="shared" si="0"/>
        <v>-247.5</v>
      </c>
      <c r="K169" s="6">
        <f>SUM(J166:J169)</f>
        <v>1637.5</v>
      </c>
      <c r="L169" s="12">
        <f t="shared" si="133"/>
        <v>48769.999999999985</v>
      </c>
      <c r="M169">
        <f>IF(K169+M165&lt;0,K169+M165,0)</f>
        <v>0</v>
      </c>
      <c r="N169">
        <v>20</v>
      </c>
      <c r="O169">
        <f t="shared" si="124"/>
        <v>40</v>
      </c>
      <c r="P169">
        <f t="shared" si="125"/>
        <v>2.5000000000000001E-3</v>
      </c>
      <c r="Q169">
        <f t="shared" si="126"/>
        <v>0.13647499999999999</v>
      </c>
      <c r="R169">
        <f t="shared" si="127"/>
        <v>7.2246118499999987</v>
      </c>
      <c r="S169">
        <f t="shared" si="128"/>
        <v>2.5749999999999997E-4</v>
      </c>
      <c r="T169">
        <f t="shared" si="129"/>
        <v>1.515E-4</v>
      </c>
      <c r="U169">
        <f t="shared" si="130"/>
        <v>7.3639958499999993</v>
      </c>
      <c r="V169">
        <f t="shared" si="131"/>
        <v>-294.86399584999998</v>
      </c>
      <c r="W169">
        <f>W168+V169</f>
        <v>40352.642755479996</v>
      </c>
    </row>
    <row r="170" spans="1:23" x14ac:dyDescent="0.25">
      <c r="A170">
        <f t="shared" si="136"/>
        <v>43.1</v>
      </c>
      <c r="B170" s="1">
        <f t="shared" si="171"/>
        <v>44890</v>
      </c>
      <c r="C170" s="4">
        <f t="shared" si="171"/>
        <v>44896</v>
      </c>
      <c r="D170">
        <f>INDEX(Nifty!$A$1:$K$251,MATCH('Iron Condor (Hedge)'!B170,Nifty!$A$1:$A$251),Nifty!$L$253)</f>
        <v>18800</v>
      </c>
      <c r="E170" t="str">
        <f t="shared" ref="E170:F170" si="175">E166</f>
        <v>CE</v>
      </c>
      <c r="F170" t="str">
        <f t="shared" si="175"/>
        <v>SELL</v>
      </c>
      <c r="G170" s="10">
        <v>12</v>
      </c>
      <c r="I170" s="10">
        <v>12.25</v>
      </c>
      <c r="J170" s="10">
        <f t="shared" si="0"/>
        <v>-12.5</v>
      </c>
      <c r="L170" s="12">
        <f t="shared" si="133"/>
        <v>48757.499999999985</v>
      </c>
      <c r="N170">
        <v>20</v>
      </c>
      <c r="O170">
        <f t="shared" si="124"/>
        <v>40</v>
      </c>
      <c r="P170">
        <f t="shared" si="125"/>
        <v>0.3</v>
      </c>
      <c r="Q170">
        <f t="shared" si="126"/>
        <v>0.642625</v>
      </c>
      <c r="R170">
        <f t="shared" si="127"/>
        <v>7.3158907500000003</v>
      </c>
      <c r="S170">
        <f t="shared" si="128"/>
        <v>1.2125E-3</v>
      </c>
      <c r="T170">
        <f t="shared" si="129"/>
        <v>3.6749999999999999E-4</v>
      </c>
      <c r="U170">
        <f t="shared" si="130"/>
        <v>8.2600957499999996</v>
      </c>
      <c r="V170">
        <f t="shared" si="131"/>
        <v>-60.760095749999998</v>
      </c>
      <c r="W170">
        <f>W169+V170</f>
        <v>40291.882659729992</v>
      </c>
    </row>
    <row r="171" spans="1:23" x14ac:dyDescent="0.25">
      <c r="A171">
        <f t="shared" si="136"/>
        <v>43.2</v>
      </c>
      <c r="B171" s="1">
        <f t="shared" si="171"/>
        <v>44890</v>
      </c>
      <c r="C171" s="4">
        <f t="shared" si="171"/>
        <v>44896</v>
      </c>
      <c r="D171">
        <f>INDEX(Nifty!$A$2:$K$252,MATCH('Iron Condor (Hedge)'!B171,Nifty!$A$2:$A$252),Nifty!$L$254)</f>
        <v>18250</v>
      </c>
      <c r="E171" t="str">
        <f t="shared" ref="E171:F171" si="176">E167</f>
        <v>PE</v>
      </c>
      <c r="F171" t="str">
        <f t="shared" si="176"/>
        <v>SELL</v>
      </c>
      <c r="G171" s="10">
        <v>19.100000000000001</v>
      </c>
      <c r="I171" s="10">
        <v>0.15</v>
      </c>
      <c r="J171" s="10">
        <f t="shared" si="0"/>
        <v>947.50000000000011</v>
      </c>
      <c r="L171" s="12">
        <f t="shared" si="133"/>
        <v>49704.999999999985</v>
      </c>
      <c r="N171">
        <v>20</v>
      </c>
      <c r="O171">
        <f t="shared" si="124"/>
        <v>40</v>
      </c>
      <c r="P171">
        <f t="shared" si="125"/>
        <v>0.47750000000000009</v>
      </c>
      <c r="Q171">
        <f t="shared" si="126"/>
        <v>0.51012499999999994</v>
      </c>
      <c r="R171">
        <f t="shared" si="127"/>
        <v>7.2919957499999999</v>
      </c>
      <c r="S171">
        <f t="shared" si="128"/>
        <v>9.6250000000000003E-4</v>
      </c>
      <c r="T171">
        <f t="shared" si="129"/>
        <v>4.5000000000000001E-6</v>
      </c>
      <c r="U171">
        <f t="shared" si="130"/>
        <v>8.2805877499999987</v>
      </c>
      <c r="V171">
        <f t="shared" si="131"/>
        <v>899.21941225000012</v>
      </c>
      <c r="W171">
        <f>W170+V171</f>
        <v>41191.102071979993</v>
      </c>
    </row>
    <row r="172" spans="1:23" x14ac:dyDescent="0.25">
      <c r="A172">
        <f t="shared" si="136"/>
        <v>43.3</v>
      </c>
      <c r="B172" s="1">
        <f t="shared" si="171"/>
        <v>44890</v>
      </c>
      <c r="C172" s="4">
        <f t="shared" si="171"/>
        <v>44896</v>
      </c>
      <c r="D172">
        <f>INDEX(Nifty!$A$3:$K$253,MATCH('Iron Condor (Hedge)'!B172,Nifty!$A$3:$A$253),Nifty!$L$255)</f>
        <v>19050</v>
      </c>
      <c r="E172" t="str">
        <f t="shared" ref="E172:F172" si="177">E168</f>
        <v>CE</v>
      </c>
      <c r="F172" t="str">
        <f t="shared" si="177"/>
        <v>BUY</v>
      </c>
      <c r="G172" s="10">
        <v>2.8</v>
      </c>
      <c r="I172" s="10">
        <v>0.05</v>
      </c>
      <c r="J172" s="10">
        <f t="shared" si="0"/>
        <v>-137.5</v>
      </c>
      <c r="L172" s="12">
        <f t="shared" si="133"/>
        <v>49567.499999999985</v>
      </c>
      <c r="N172">
        <v>20</v>
      </c>
      <c r="O172">
        <f t="shared" si="124"/>
        <v>40</v>
      </c>
      <c r="P172">
        <f t="shared" si="125"/>
        <v>1.25E-3</v>
      </c>
      <c r="Q172">
        <f t="shared" si="126"/>
        <v>7.5524999999999981E-2</v>
      </c>
      <c r="R172">
        <f t="shared" si="127"/>
        <v>7.2136201499999997</v>
      </c>
      <c r="S172">
        <f t="shared" si="128"/>
        <v>1.4249999999999997E-4</v>
      </c>
      <c r="T172">
        <f t="shared" si="129"/>
        <v>8.3999999999999995E-5</v>
      </c>
      <c r="U172">
        <f t="shared" si="130"/>
        <v>7.2906216499999994</v>
      </c>
      <c r="V172">
        <f t="shared" si="131"/>
        <v>-184.79062164999999</v>
      </c>
      <c r="W172">
        <f>W171+V172</f>
        <v>41006.311450329995</v>
      </c>
    </row>
    <row r="173" spans="1:23" x14ac:dyDescent="0.25">
      <c r="A173" s="6">
        <f t="shared" si="136"/>
        <v>43.4</v>
      </c>
      <c r="B173" s="7">
        <f t="shared" si="171"/>
        <v>44890</v>
      </c>
      <c r="C173" s="8">
        <f t="shared" si="171"/>
        <v>44896</v>
      </c>
      <c r="D173" s="6">
        <f>INDEX(Nifty!$A$4:$K$254,MATCH('Iron Condor (Hedge)'!B173,Nifty!$A$4:$A$254),Nifty!$L$256)</f>
        <v>18000</v>
      </c>
      <c r="E173" s="6" t="str">
        <f t="shared" ref="E173:F173" si="178">E169</f>
        <v>PE</v>
      </c>
      <c r="F173" s="6" t="str">
        <f t="shared" si="178"/>
        <v>BUY</v>
      </c>
      <c r="G173" s="6">
        <v>6.3</v>
      </c>
      <c r="H173" s="6">
        <f>G170+G171-G172-G173</f>
        <v>22</v>
      </c>
      <c r="I173" s="6">
        <v>0.05</v>
      </c>
      <c r="J173" s="6">
        <f t="shared" si="0"/>
        <v>-312.5</v>
      </c>
      <c r="K173" s="6">
        <f>SUM(J170:J173)</f>
        <v>485.00000000000011</v>
      </c>
      <c r="L173" s="12">
        <f t="shared" si="133"/>
        <v>49254.999999999985</v>
      </c>
      <c r="M173">
        <f>IF(K173+M169&lt;0,K173+M169,0)</f>
        <v>0</v>
      </c>
      <c r="N173">
        <v>20</v>
      </c>
      <c r="O173">
        <f t="shared" si="124"/>
        <v>40</v>
      </c>
      <c r="P173">
        <f t="shared" si="125"/>
        <v>1.25E-3</v>
      </c>
      <c r="Q173">
        <f t="shared" si="126"/>
        <v>0.16827499999999998</v>
      </c>
      <c r="R173">
        <f t="shared" si="127"/>
        <v>7.2303466500000004</v>
      </c>
      <c r="S173">
        <f t="shared" si="128"/>
        <v>3.1749999999999997E-4</v>
      </c>
      <c r="T173">
        <f t="shared" si="129"/>
        <v>1.8899999999999999E-4</v>
      </c>
      <c r="U173">
        <f t="shared" si="130"/>
        <v>7.4003781500000008</v>
      </c>
      <c r="V173">
        <f t="shared" si="131"/>
        <v>-359.90037814999999</v>
      </c>
      <c r="W173">
        <f>W172+V173</f>
        <v>40646.411072179995</v>
      </c>
    </row>
    <row r="174" spans="1:23" x14ac:dyDescent="0.25">
      <c r="A174">
        <f t="shared" si="136"/>
        <v>44.1</v>
      </c>
      <c r="B174" s="1">
        <f t="shared" si="171"/>
        <v>44897</v>
      </c>
      <c r="C174" s="4">
        <f t="shared" si="171"/>
        <v>44903</v>
      </c>
      <c r="D174">
        <f>INDEX(Nifty!$A$1:$K$251,MATCH('Iron Condor (Hedge)'!B174,Nifty!$A$1:$A$251),Nifty!$L$253)</f>
        <v>18950</v>
      </c>
      <c r="E174" t="str">
        <f t="shared" ref="E174:F174" si="179">E170</f>
        <v>CE</v>
      </c>
      <c r="F174" t="str">
        <f t="shared" si="179"/>
        <v>SELL</v>
      </c>
      <c r="G174" s="10">
        <v>29.15</v>
      </c>
      <c r="I174" s="10">
        <v>0.05</v>
      </c>
      <c r="J174" s="10">
        <f t="shared" si="0"/>
        <v>1455</v>
      </c>
      <c r="L174" s="12">
        <f t="shared" si="133"/>
        <v>50709.999999999985</v>
      </c>
      <c r="N174">
        <v>20</v>
      </c>
      <c r="O174">
        <f t="shared" si="124"/>
        <v>40</v>
      </c>
      <c r="P174">
        <f t="shared" si="125"/>
        <v>0.72875000000000001</v>
      </c>
      <c r="Q174">
        <f t="shared" si="126"/>
        <v>0.77379999999999993</v>
      </c>
      <c r="R174">
        <f t="shared" si="127"/>
        <v>7.3395467999999999</v>
      </c>
      <c r="S174">
        <f t="shared" si="128"/>
        <v>1.4599999999999999E-3</v>
      </c>
      <c r="T174">
        <f t="shared" si="129"/>
        <v>1.5E-6</v>
      </c>
      <c r="U174">
        <f t="shared" si="130"/>
        <v>8.8435582999999998</v>
      </c>
      <c r="V174">
        <f t="shared" si="131"/>
        <v>1406.1564417</v>
      </c>
      <c r="W174">
        <f>W173+V174</f>
        <v>42052.567513879992</v>
      </c>
    </row>
    <row r="175" spans="1:23" x14ac:dyDescent="0.25">
      <c r="A175">
        <f t="shared" si="136"/>
        <v>44.2</v>
      </c>
      <c r="B175" s="1">
        <f t="shared" si="171"/>
        <v>44897</v>
      </c>
      <c r="C175" s="4">
        <f t="shared" si="171"/>
        <v>44903</v>
      </c>
      <c r="D175">
        <f>INDEX(Nifty!$A$2:$K$252,MATCH('Iron Condor (Hedge)'!B175,Nifty!$A$2:$A$252),Nifty!$L$254)</f>
        <v>18400</v>
      </c>
      <c r="E175" t="str">
        <f t="shared" ref="E175:F175" si="180">E171</f>
        <v>PE</v>
      </c>
      <c r="F175" t="str">
        <f t="shared" si="180"/>
        <v>SELL</v>
      </c>
      <c r="G175" s="10">
        <v>17.2</v>
      </c>
      <c r="I175" s="10">
        <v>0.1</v>
      </c>
      <c r="J175" s="10">
        <f t="shared" si="0"/>
        <v>854.99999999999989</v>
      </c>
      <c r="L175" s="12">
        <f t="shared" si="133"/>
        <v>51564.999999999985</v>
      </c>
      <c r="N175">
        <v>20</v>
      </c>
      <c r="O175">
        <f t="shared" si="124"/>
        <v>40</v>
      </c>
      <c r="P175">
        <f t="shared" si="125"/>
        <v>0.43</v>
      </c>
      <c r="Q175">
        <f t="shared" si="126"/>
        <v>0.45844999999999997</v>
      </c>
      <c r="R175">
        <f t="shared" si="127"/>
        <v>7.2826766999999988</v>
      </c>
      <c r="S175">
        <f t="shared" si="128"/>
        <v>8.6499999999999999E-4</v>
      </c>
      <c r="T175">
        <f t="shared" si="129"/>
        <v>3.0000000000000001E-6</v>
      </c>
      <c r="U175">
        <f t="shared" si="130"/>
        <v>8.1719946999999973</v>
      </c>
      <c r="V175">
        <f t="shared" si="131"/>
        <v>806.82800529999986</v>
      </c>
      <c r="W175">
        <f>W174+V175</f>
        <v>42859.395519179991</v>
      </c>
    </row>
    <row r="176" spans="1:23" x14ac:dyDescent="0.25">
      <c r="A176">
        <f t="shared" si="136"/>
        <v>44.3</v>
      </c>
      <c r="B176" s="1">
        <f t="shared" si="171"/>
        <v>44897</v>
      </c>
      <c r="C176" s="4">
        <f t="shared" si="171"/>
        <v>44903</v>
      </c>
      <c r="D176">
        <f>INDEX(Nifty!$A$3:$K$253,MATCH('Iron Condor (Hedge)'!B176,Nifty!$A$3:$A$253),Nifty!$L$255)</f>
        <v>19200</v>
      </c>
      <c r="E176" t="str">
        <f t="shared" ref="E176:F176" si="181">E172</f>
        <v>CE</v>
      </c>
      <c r="F176" t="str">
        <f t="shared" si="181"/>
        <v>BUY</v>
      </c>
      <c r="G176" s="10">
        <v>5.9</v>
      </c>
      <c r="I176" s="10">
        <v>0.05</v>
      </c>
      <c r="J176" s="10">
        <f t="shared" si="0"/>
        <v>-292.5</v>
      </c>
      <c r="L176" s="12">
        <f t="shared" si="133"/>
        <v>51272.499999999985</v>
      </c>
      <c r="N176">
        <v>20</v>
      </c>
      <c r="O176">
        <f t="shared" si="124"/>
        <v>40</v>
      </c>
      <c r="P176">
        <f t="shared" si="125"/>
        <v>1.25E-3</v>
      </c>
      <c r="Q176">
        <f t="shared" si="126"/>
        <v>0.15767499999999998</v>
      </c>
      <c r="R176">
        <f t="shared" si="127"/>
        <v>7.2284350499999999</v>
      </c>
      <c r="S176">
        <f t="shared" si="128"/>
        <v>2.9749999999999997E-4</v>
      </c>
      <c r="T176">
        <f t="shared" si="129"/>
        <v>1.7700000000000002E-4</v>
      </c>
      <c r="U176">
        <f t="shared" si="130"/>
        <v>7.38783455</v>
      </c>
      <c r="V176">
        <f t="shared" si="131"/>
        <v>-339.88783454999998</v>
      </c>
      <c r="W176">
        <f>W175+V176</f>
        <v>42519.507684629993</v>
      </c>
    </row>
    <row r="177" spans="1:23" x14ac:dyDescent="0.25">
      <c r="A177" s="6">
        <f t="shared" si="136"/>
        <v>44.4</v>
      </c>
      <c r="B177" s="7">
        <f t="shared" si="171"/>
        <v>44897</v>
      </c>
      <c r="C177" s="8">
        <f t="shared" si="171"/>
        <v>44903</v>
      </c>
      <c r="D177" s="6">
        <f>INDEX(Nifty!$A$4:$K$254,MATCH('Iron Condor (Hedge)'!B177,Nifty!$A$4:$A$254),Nifty!$L$256)</f>
        <v>18150</v>
      </c>
      <c r="E177" s="6" t="str">
        <f t="shared" ref="E177:F177" si="182">E173</f>
        <v>PE</v>
      </c>
      <c r="F177" s="6" t="str">
        <f t="shared" si="182"/>
        <v>BUY</v>
      </c>
      <c r="G177" s="6">
        <v>5.35</v>
      </c>
      <c r="H177" s="6">
        <f>G174+G175-G176-G177</f>
        <v>35.099999999999994</v>
      </c>
      <c r="I177" s="6">
        <v>0.05</v>
      </c>
      <c r="J177" s="6">
        <f t="shared" si="0"/>
        <v>-265</v>
      </c>
      <c r="K177" s="6">
        <f>SUM(J174:J177)</f>
        <v>1752.5</v>
      </c>
      <c r="L177" s="12">
        <f t="shared" si="133"/>
        <v>51007.499999999985</v>
      </c>
      <c r="M177">
        <f>IF(K177+M173&lt;0,K177+M173,0)</f>
        <v>0</v>
      </c>
      <c r="N177">
        <v>20</v>
      </c>
      <c r="O177">
        <f t="shared" si="124"/>
        <v>40</v>
      </c>
      <c r="P177">
        <f t="shared" si="125"/>
        <v>1.25E-3</v>
      </c>
      <c r="Q177">
        <f t="shared" si="126"/>
        <v>0.1431</v>
      </c>
      <c r="R177">
        <f t="shared" si="127"/>
        <v>7.2258065999999994</v>
      </c>
      <c r="S177">
        <f t="shared" si="128"/>
        <v>2.6999999999999995E-4</v>
      </c>
      <c r="T177">
        <f t="shared" si="129"/>
        <v>1.605E-4</v>
      </c>
      <c r="U177">
        <f t="shared" si="130"/>
        <v>7.3705870999999998</v>
      </c>
      <c r="V177">
        <f t="shared" si="131"/>
        <v>-312.37058710000002</v>
      </c>
      <c r="W177">
        <f>W176+V177</f>
        <v>42207.137097529994</v>
      </c>
    </row>
    <row r="178" spans="1:23" x14ac:dyDescent="0.25">
      <c r="A178">
        <f t="shared" si="136"/>
        <v>45.1</v>
      </c>
      <c r="B178" s="1">
        <f t="shared" si="171"/>
        <v>44904</v>
      </c>
      <c r="C178" s="4">
        <f t="shared" si="171"/>
        <v>44910</v>
      </c>
      <c r="D178">
        <f>INDEX(Nifty!$A$1:$K$251,MATCH('Iron Condor (Hedge)'!B178,Nifty!$A$1:$A$251),Nifty!$L$253)</f>
        <v>18750</v>
      </c>
      <c r="E178" t="str">
        <f t="shared" ref="E178:F178" si="183">E174</f>
        <v>CE</v>
      </c>
      <c r="F178" t="str">
        <f t="shared" si="183"/>
        <v>SELL</v>
      </c>
      <c r="G178" s="10">
        <v>25.5</v>
      </c>
      <c r="I178" s="10">
        <v>0.1</v>
      </c>
      <c r="J178" s="10">
        <f t="shared" si="0"/>
        <v>1270</v>
      </c>
      <c r="L178" s="12">
        <f t="shared" si="133"/>
        <v>52277.499999999985</v>
      </c>
      <c r="N178">
        <v>20</v>
      </c>
      <c r="O178">
        <f t="shared" si="124"/>
        <v>40</v>
      </c>
      <c r="P178">
        <f t="shared" si="125"/>
        <v>0.63750000000000007</v>
      </c>
      <c r="Q178">
        <f t="shared" si="126"/>
        <v>0.6784</v>
      </c>
      <c r="R178">
        <f t="shared" si="127"/>
        <v>7.3223424000000001</v>
      </c>
      <c r="S178">
        <f t="shared" si="128"/>
        <v>1.2799999999999999E-3</v>
      </c>
      <c r="T178">
        <f t="shared" si="129"/>
        <v>3.0000000000000001E-6</v>
      </c>
      <c r="U178">
        <f t="shared" si="130"/>
        <v>8.6395253999999984</v>
      </c>
      <c r="V178">
        <f t="shared" si="131"/>
        <v>1221.3604746000001</v>
      </c>
      <c r="W178">
        <f>W177+V178</f>
        <v>43428.497572129992</v>
      </c>
    </row>
    <row r="179" spans="1:23" x14ac:dyDescent="0.25">
      <c r="A179">
        <f t="shared" si="136"/>
        <v>45.2</v>
      </c>
      <c r="B179" s="1">
        <f t="shared" si="171"/>
        <v>44904</v>
      </c>
      <c r="C179" s="4">
        <f t="shared" si="171"/>
        <v>44910</v>
      </c>
      <c r="D179">
        <f>INDEX(Nifty!$A$2:$K$252,MATCH('Iron Condor (Hedge)'!B179,Nifty!$A$2:$A$252),Nifty!$L$254)</f>
        <v>18200</v>
      </c>
      <c r="E179" t="str">
        <f t="shared" ref="E179:F179" si="184">E175</f>
        <v>PE</v>
      </c>
      <c r="F179" t="str">
        <f t="shared" si="184"/>
        <v>SELL</v>
      </c>
      <c r="G179" s="10">
        <v>12.9</v>
      </c>
      <c r="I179" s="10">
        <v>0.1</v>
      </c>
      <c r="J179" s="10">
        <f t="shared" si="0"/>
        <v>640</v>
      </c>
      <c r="L179" s="12">
        <f t="shared" si="133"/>
        <v>52917.499999999985</v>
      </c>
      <c r="N179">
        <v>20</v>
      </c>
      <c r="O179">
        <f t="shared" si="124"/>
        <v>40</v>
      </c>
      <c r="P179">
        <f t="shared" si="125"/>
        <v>0.32250000000000001</v>
      </c>
      <c r="Q179">
        <f t="shared" si="126"/>
        <v>0.34449999999999997</v>
      </c>
      <c r="R179">
        <f t="shared" si="127"/>
        <v>7.2621269999999996</v>
      </c>
      <c r="S179">
        <f t="shared" si="128"/>
        <v>6.4999999999999997E-4</v>
      </c>
      <c r="T179">
        <f t="shared" si="129"/>
        <v>3.0000000000000001E-6</v>
      </c>
      <c r="U179">
        <f t="shared" si="130"/>
        <v>7.9297800000000001</v>
      </c>
      <c r="V179">
        <f t="shared" si="131"/>
        <v>592.07021999999995</v>
      </c>
      <c r="W179">
        <f>W178+V179</f>
        <v>44020.567792129994</v>
      </c>
    </row>
    <row r="180" spans="1:23" x14ac:dyDescent="0.25">
      <c r="A180">
        <f t="shared" si="136"/>
        <v>45.3</v>
      </c>
      <c r="B180" s="1">
        <f t="shared" si="171"/>
        <v>44904</v>
      </c>
      <c r="C180" s="4">
        <f t="shared" si="171"/>
        <v>44910</v>
      </c>
      <c r="D180">
        <f>INDEX(Nifty!$A$3:$K$253,MATCH('Iron Condor (Hedge)'!B180,Nifty!$A$3:$A$253),Nifty!$L$255)</f>
        <v>19000</v>
      </c>
      <c r="E180" t="str">
        <f t="shared" ref="E180:F180" si="185">E176</f>
        <v>CE</v>
      </c>
      <c r="F180" t="str">
        <f t="shared" si="185"/>
        <v>BUY</v>
      </c>
      <c r="G180" s="10">
        <v>5.5</v>
      </c>
      <c r="I180" s="10">
        <v>0.05</v>
      </c>
      <c r="J180" s="10">
        <f t="shared" si="0"/>
        <v>-272.5</v>
      </c>
      <c r="L180" s="12">
        <f t="shared" si="133"/>
        <v>52644.999999999985</v>
      </c>
      <c r="N180">
        <v>20</v>
      </c>
      <c r="O180">
        <f t="shared" si="124"/>
        <v>40</v>
      </c>
      <c r="P180">
        <f t="shared" si="125"/>
        <v>1.25E-3</v>
      </c>
      <c r="Q180">
        <f t="shared" si="126"/>
        <v>0.14707499999999998</v>
      </c>
      <c r="R180">
        <f t="shared" si="127"/>
        <v>7.2265234500000002</v>
      </c>
      <c r="S180">
        <f t="shared" si="128"/>
        <v>2.7749999999999997E-4</v>
      </c>
      <c r="T180">
        <f t="shared" si="129"/>
        <v>1.65E-4</v>
      </c>
      <c r="U180">
        <f t="shared" si="130"/>
        <v>7.3752909500000001</v>
      </c>
      <c r="V180">
        <f t="shared" si="131"/>
        <v>-319.87529095000002</v>
      </c>
      <c r="W180">
        <f>W179+V180</f>
        <v>43700.69250117999</v>
      </c>
    </row>
    <row r="181" spans="1:23" x14ac:dyDescent="0.25">
      <c r="A181" s="6">
        <f t="shared" si="136"/>
        <v>45.4</v>
      </c>
      <c r="B181" s="7">
        <f t="shared" si="171"/>
        <v>44904</v>
      </c>
      <c r="C181" s="8">
        <f t="shared" si="171"/>
        <v>44910</v>
      </c>
      <c r="D181" s="6">
        <f>INDEX(Nifty!$A$4:$K$254,MATCH('Iron Condor (Hedge)'!B181,Nifty!$A$4:$A$254),Nifty!$L$256)</f>
        <v>17950</v>
      </c>
      <c r="E181" s="6" t="str">
        <f t="shared" ref="E181:F181" si="186">E177</f>
        <v>PE</v>
      </c>
      <c r="F181" s="6" t="str">
        <f t="shared" si="186"/>
        <v>BUY</v>
      </c>
      <c r="G181" s="6">
        <v>4.0999999999999996</v>
      </c>
      <c r="H181" s="6">
        <f>G178+G179-G180-G181</f>
        <v>28.799999999999997</v>
      </c>
      <c r="I181" s="6">
        <v>0.1</v>
      </c>
      <c r="J181" s="6">
        <f t="shared" si="0"/>
        <v>-199.99999999999997</v>
      </c>
      <c r="K181" s="6">
        <f>SUM(J178:J181)</f>
        <v>1437.5</v>
      </c>
      <c r="L181" s="12">
        <f t="shared" si="133"/>
        <v>52444.999999999985</v>
      </c>
      <c r="M181">
        <f>IF(K181+M177&lt;0,K181+M177,0)</f>
        <v>0</v>
      </c>
      <c r="N181">
        <v>20</v>
      </c>
      <c r="O181">
        <f t="shared" si="124"/>
        <v>40</v>
      </c>
      <c r="P181">
        <f t="shared" si="125"/>
        <v>2.5000000000000001E-3</v>
      </c>
      <c r="Q181">
        <f t="shared" si="126"/>
        <v>0.11129999999999998</v>
      </c>
      <c r="R181">
        <f t="shared" si="127"/>
        <v>7.2200718000000004</v>
      </c>
      <c r="S181">
        <f t="shared" si="128"/>
        <v>2.0999999999999993E-4</v>
      </c>
      <c r="T181">
        <f t="shared" si="129"/>
        <v>1.2299999999999998E-4</v>
      </c>
      <c r="U181">
        <f t="shared" si="130"/>
        <v>7.3342048000000011</v>
      </c>
      <c r="V181">
        <f t="shared" si="131"/>
        <v>-247.33420479999998</v>
      </c>
      <c r="W181">
        <f>W180+V181</f>
        <v>43453.358296379993</v>
      </c>
    </row>
    <row r="182" spans="1:23" x14ac:dyDescent="0.25">
      <c r="A182">
        <f t="shared" si="136"/>
        <v>46.1</v>
      </c>
      <c r="B182" s="1">
        <f t="shared" si="171"/>
        <v>44911</v>
      </c>
      <c r="C182" s="4">
        <f t="shared" si="171"/>
        <v>44917</v>
      </c>
      <c r="D182">
        <f>INDEX(Nifty!$A$1:$K$251,MATCH('Iron Condor (Hedge)'!B182,Nifty!$A$1:$A$251),Nifty!$L$253)</f>
        <v>18550</v>
      </c>
      <c r="E182" t="str">
        <f t="shared" ref="E182:F182" si="187">E178</f>
        <v>CE</v>
      </c>
      <c r="F182" t="str">
        <f t="shared" si="187"/>
        <v>SELL</v>
      </c>
      <c r="G182" s="10">
        <v>23.35</v>
      </c>
      <c r="I182" s="10">
        <v>0.1</v>
      </c>
      <c r="J182" s="10">
        <f t="shared" si="0"/>
        <v>1162.5</v>
      </c>
      <c r="L182" s="12">
        <f t="shared" si="133"/>
        <v>53607.499999999985</v>
      </c>
      <c r="N182">
        <v>20</v>
      </c>
      <c r="O182">
        <f t="shared" si="124"/>
        <v>40</v>
      </c>
      <c r="P182">
        <f t="shared" si="125"/>
        <v>0.58374999999999999</v>
      </c>
      <c r="Q182">
        <f t="shared" si="126"/>
        <v>0.62142500000000012</v>
      </c>
      <c r="R182">
        <f t="shared" si="127"/>
        <v>7.312067550000001</v>
      </c>
      <c r="S182">
        <f t="shared" si="128"/>
        <v>1.1724999999999999E-3</v>
      </c>
      <c r="T182">
        <f t="shared" si="129"/>
        <v>3.0000000000000001E-6</v>
      </c>
      <c r="U182">
        <f t="shared" si="130"/>
        <v>8.5184180499999993</v>
      </c>
      <c r="V182">
        <f t="shared" si="131"/>
        <v>1113.98158195</v>
      </c>
      <c r="W182">
        <f>W181+V182</f>
        <v>44567.339878329993</v>
      </c>
    </row>
    <row r="183" spans="1:23" x14ac:dyDescent="0.25">
      <c r="A183">
        <f t="shared" si="136"/>
        <v>46.2</v>
      </c>
      <c r="B183" s="1">
        <f t="shared" ref="B183:C198" si="188">B179+7</f>
        <v>44911</v>
      </c>
      <c r="C183" s="4">
        <f t="shared" si="188"/>
        <v>44917</v>
      </c>
      <c r="D183">
        <f>INDEX(Nifty!$A$2:$K$252,MATCH('Iron Condor (Hedge)'!B183,Nifty!$A$2:$A$252),Nifty!$L$254)</f>
        <v>18000</v>
      </c>
      <c r="E183" t="str">
        <f t="shared" ref="E183:F183" si="189">E179</f>
        <v>PE</v>
      </c>
      <c r="F183" t="str">
        <f t="shared" si="189"/>
        <v>SELL</v>
      </c>
      <c r="G183" s="10">
        <v>23.05</v>
      </c>
      <c r="I183" s="10">
        <v>0.1</v>
      </c>
      <c r="J183" s="10">
        <f t="shared" si="0"/>
        <v>1147.5</v>
      </c>
      <c r="L183" s="12">
        <f t="shared" si="133"/>
        <v>54754.999999999985</v>
      </c>
      <c r="N183">
        <v>20</v>
      </c>
      <c r="O183">
        <f t="shared" si="124"/>
        <v>40</v>
      </c>
      <c r="P183">
        <f t="shared" si="125"/>
        <v>0.57625000000000004</v>
      </c>
      <c r="Q183">
        <f t="shared" si="126"/>
        <v>0.61347499999999999</v>
      </c>
      <c r="R183">
        <f t="shared" si="127"/>
        <v>7.3106338499999994</v>
      </c>
      <c r="S183">
        <f t="shared" si="128"/>
        <v>1.1575000000000001E-3</v>
      </c>
      <c r="T183">
        <f t="shared" si="129"/>
        <v>3.0000000000000001E-6</v>
      </c>
      <c r="U183">
        <f t="shared" si="130"/>
        <v>8.5015193499999988</v>
      </c>
      <c r="V183">
        <f t="shared" si="131"/>
        <v>1098.9984806499999</v>
      </c>
      <c r="W183">
        <f>W182+V183</f>
        <v>45666.338358979992</v>
      </c>
    </row>
    <row r="184" spans="1:23" x14ac:dyDescent="0.25">
      <c r="A184">
        <f t="shared" si="136"/>
        <v>46.3</v>
      </c>
      <c r="B184" s="1">
        <f t="shared" si="188"/>
        <v>44911</v>
      </c>
      <c r="C184" s="4">
        <f t="shared" si="188"/>
        <v>44917</v>
      </c>
      <c r="D184">
        <f>INDEX(Nifty!$A$3:$K$253,MATCH('Iron Condor (Hedge)'!B184,Nifty!$A$3:$A$253),Nifty!$L$255)</f>
        <v>18800</v>
      </c>
      <c r="E184" t="str">
        <f t="shared" ref="E184:F184" si="190">E180</f>
        <v>CE</v>
      </c>
      <c r="F184" t="str">
        <f t="shared" si="190"/>
        <v>BUY</v>
      </c>
      <c r="G184" s="10">
        <v>5.9</v>
      </c>
      <c r="I184" s="10">
        <v>0.05</v>
      </c>
      <c r="J184" s="10">
        <f t="shared" si="0"/>
        <v>-292.5</v>
      </c>
      <c r="L184" s="12">
        <f t="shared" si="133"/>
        <v>54462.499999999985</v>
      </c>
      <c r="N184">
        <v>20</v>
      </c>
      <c r="O184">
        <f t="shared" si="124"/>
        <v>40</v>
      </c>
      <c r="P184">
        <f t="shared" si="125"/>
        <v>1.25E-3</v>
      </c>
      <c r="Q184">
        <f t="shared" si="126"/>
        <v>0.15767499999999998</v>
      </c>
      <c r="R184">
        <f t="shared" si="127"/>
        <v>7.2284350499999999</v>
      </c>
      <c r="S184">
        <f t="shared" si="128"/>
        <v>2.9749999999999997E-4</v>
      </c>
      <c r="T184">
        <f t="shared" si="129"/>
        <v>1.7700000000000002E-4</v>
      </c>
      <c r="U184">
        <f t="shared" si="130"/>
        <v>7.38783455</v>
      </c>
      <c r="V184">
        <f t="shared" si="131"/>
        <v>-339.88783454999998</v>
      </c>
      <c r="W184">
        <f>W183+V184</f>
        <v>45326.450524429994</v>
      </c>
    </row>
    <row r="185" spans="1:23" x14ac:dyDescent="0.25">
      <c r="A185" s="6">
        <f t="shared" si="136"/>
        <v>46.4</v>
      </c>
      <c r="B185" s="7">
        <f t="shared" si="188"/>
        <v>44911</v>
      </c>
      <c r="C185" s="8">
        <f t="shared" si="188"/>
        <v>44917</v>
      </c>
      <c r="D185" s="6">
        <f>INDEX(Nifty!$A$4:$K$254,MATCH('Iron Condor (Hedge)'!B185,Nifty!$A$4:$A$254),Nifty!$L$256)</f>
        <v>17750</v>
      </c>
      <c r="E185" s="6" t="str">
        <f t="shared" ref="E185:F185" si="191">E181</f>
        <v>PE</v>
      </c>
      <c r="F185" s="6" t="str">
        <f t="shared" si="191"/>
        <v>BUY</v>
      </c>
      <c r="G185" s="6">
        <v>6.7</v>
      </c>
      <c r="H185" s="6">
        <f>G182+G183-G184-G185</f>
        <v>33.800000000000004</v>
      </c>
      <c r="I185" s="6">
        <v>0.05</v>
      </c>
      <c r="J185" s="6">
        <f t="shared" si="0"/>
        <v>-332.5</v>
      </c>
      <c r="K185" s="6">
        <f>SUM(J182:J185)</f>
        <v>1685</v>
      </c>
      <c r="L185" s="12">
        <f t="shared" si="133"/>
        <v>54129.999999999985</v>
      </c>
      <c r="M185">
        <f>IF(K185+M181&lt;0,K185+M181,0)</f>
        <v>0</v>
      </c>
      <c r="N185">
        <v>20</v>
      </c>
      <c r="O185">
        <f t="shared" si="124"/>
        <v>40</v>
      </c>
      <c r="P185">
        <f t="shared" si="125"/>
        <v>1.25E-3</v>
      </c>
      <c r="Q185">
        <f t="shared" si="126"/>
        <v>0.17887500000000001</v>
      </c>
      <c r="R185">
        <f t="shared" si="127"/>
        <v>7.2322582499999992</v>
      </c>
      <c r="S185">
        <f t="shared" si="128"/>
        <v>3.3749999999999996E-4</v>
      </c>
      <c r="T185">
        <f t="shared" si="129"/>
        <v>2.0100000000000001E-4</v>
      </c>
      <c r="U185">
        <f t="shared" si="130"/>
        <v>7.4129217499999989</v>
      </c>
      <c r="V185">
        <f t="shared" si="131"/>
        <v>-379.91292175000001</v>
      </c>
      <c r="W185">
        <f>W184+V185</f>
        <v>44946.537602679993</v>
      </c>
    </row>
    <row r="186" spans="1:23" x14ac:dyDescent="0.25">
      <c r="A186">
        <f t="shared" si="136"/>
        <v>47.1</v>
      </c>
      <c r="B186" s="1">
        <f t="shared" si="188"/>
        <v>44918</v>
      </c>
      <c r="C186" s="4">
        <f t="shared" si="188"/>
        <v>44924</v>
      </c>
      <c r="D186">
        <f>INDEX(Nifty!$A$1:$K$251,MATCH('Iron Condor (Hedge)'!B186,Nifty!$A$1:$A$251),Nifty!$L$253)</f>
        <v>18100</v>
      </c>
      <c r="E186" t="str">
        <f t="shared" ref="E186:F186" si="192">E182</f>
        <v>CE</v>
      </c>
      <c r="F186" t="str">
        <f t="shared" si="192"/>
        <v>SELL</v>
      </c>
      <c r="G186" s="10">
        <v>38.200000000000003</v>
      </c>
      <c r="I186" s="10">
        <v>89.5</v>
      </c>
      <c r="J186" s="10">
        <f t="shared" si="0"/>
        <v>-2565</v>
      </c>
      <c r="L186" s="12">
        <f t="shared" si="133"/>
        <v>51564.999999999985</v>
      </c>
      <c r="N186">
        <v>20</v>
      </c>
      <c r="O186">
        <f t="shared" si="124"/>
        <v>40</v>
      </c>
      <c r="P186">
        <f t="shared" si="125"/>
        <v>0.95500000000000018</v>
      </c>
      <c r="Q186">
        <f t="shared" si="126"/>
        <v>3.3840499999999998</v>
      </c>
      <c r="R186">
        <f t="shared" si="127"/>
        <v>7.8102783000000002</v>
      </c>
      <c r="S186">
        <f t="shared" si="128"/>
        <v>6.3849999999999992E-3</v>
      </c>
      <c r="T186">
        <f t="shared" si="129"/>
        <v>2.6849999999999999E-3</v>
      </c>
      <c r="U186">
        <f t="shared" si="130"/>
        <v>12.1583983</v>
      </c>
      <c r="V186">
        <f t="shared" si="131"/>
        <v>-2617.1583983</v>
      </c>
      <c r="W186">
        <f>W185+V186</f>
        <v>42329.379204379991</v>
      </c>
    </row>
    <row r="187" spans="1:23" x14ac:dyDescent="0.25">
      <c r="A187">
        <f t="shared" si="136"/>
        <v>47.2</v>
      </c>
      <c r="B187" s="1">
        <f t="shared" si="188"/>
        <v>44918</v>
      </c>
      <c r="C187" s="4">
        <f t="shared" si="188"/>
        <v>44924</v>
      </c>
      <c r="D187">
        <f>INDEX(Nifty!$A$2:$K$252,MATCH('Iron Condor (Hedge)'!B187,Nifty!$A$2:$A$252),Nifty!$L$254)</f>
        <v>17550</v>
      </c>
      <c r="E187" t="str">
        <f t="shared" ref="E187:F187" si="193">E183</f>
        <v>PE</v>
      </c>
      <c r="F187" t="str">
        <f t="shared" si="193"/>
        <v>SELL</v>
      </c>
      <c r="G187" s="10">
        <v>40.1</v>
      </c>
      <c r="I187" s="10">
        <v>0.05</v>
      </c>
      <c r="J187" s="10">
        <f t="shared" si="0"/>
        <v>2002.5000000000002</v>
      </c>
      <c r="L187" s="12">
        <f t="shared" si="133"/>
        <v>53567.499999999985</v>
      </c>
      <c r="N187">
        <v>20</v>
      </c>
      <c r="O187">
        <f t="shared" si="124"/>
        <v>40</v>
      </c>
      <c r="P187">
        <f t="shared" si="125"/>
        <v>1.0024999999999999</v>
      </c>
      <c r="Q187">
        <f t="shared" si="126"/>
        <v>1.0639749999999999</v>
      </c>
      <c r="R187">
        <f t="shared" si="127"/>
        <v>7.3918768499999992</v>
      </c>
      <c r="S187">
        <f t="shared" si="128"/>
        <v>2.0075000000000002E-3</v>
      </c>
      <c r="T187">
        <f t="shared" si="129"/>
        <v>1.5E-6</v>
      </c>
      <c r="U187">
        <f t="shared" si="130"/>
        <v>9.4603608499999989</v>
      </c>
      <c r="V187">
        <f t="shared" si="131"/>
        <v>1953.0396391500003</v>
      </c>
      <c r="W187">
        <f>W186+V187</f>
        <v>44282.418843529995</v>
      </c>
    </row>
    <row r="188" spans="1:23" x14ac:dyDescent="0.25">
      <c r="A188">
        <f t="shared" si="136"/>
        <v>47.3</v>
      </c>
      <c r="B188" s="1">
        <f t="shared" si="188"/>
        <v>44918</v>
      </c>
      <c r="C188" s="4">
        <f t="shared" si="188"/>
        <v>44924</v>
      </c>
      <c r="D188">
        <f>INDEX(Nifty!$A$3:$K$253,MATCH('Iron Condor (Hedge)'!B188,Nifty!$A$3:$A$253),Nifty!$L$255)</f>
        <v>18350</v>
      </c>
      <c r="E188" t="str">
        <f t="shared" ref="E188:F188" si="194">E184</f>
        <v>CE</v>
      </c>
      <c r="F188" t="str">
        <f t="shared" si="194"/>
        <v>BUY</v>
      </c>
      <c r="G188" s="10">
        <v>11.15</v>
      </c>
      <c r="I188" s="10">
        <v>0.05</v>
      </c>
      <c r="J188" s="10">
        <f t="shared" si="0"/>
        <v>-555</v>
      </c>
      <c r="L188" s="12">
        <f t="shared" si="133"/>
        <v>53012.499999999985</v>
      </c>
      <c r="N188">
        <v>20</v>
      </c>
      <c r="O188">
        <f t="shared" si="124"/>
        <v>40</v>
      </c>
      <c r="P188">
        <f t="shared" si="125"/>
        <v>1.25E-3</v>
      </c>
      <c r="Q188">
        <f t="shared" si="126"/>
        <v>0.29680000000000001</v>
      </c>
      <c r="R188">
        <f t="shared" si="127"/>
        <v>7.2535247999999992</v>
      </c>
      <c r="S188">
        <f t="shared" si="128"/>
        <v>5.6000000000000006E-4</v>
      </c>
      <c r="T188">
        <f t="shared" si="129"/>
        <v>3.345E-4</v>
      </c>
      <c r="U188">
        <f t="shared" si="130"/>
        <v>7.5524692999999994</v>
      </c>
      <c r="V188">
        <f t="shared" si="131"/>
        <v>-602.55246929999998</v>
      </c>
      <c r="W188">
        <f>W187+V188</f>
        <v>43679.866374229998</v>
      </c>
    </row>
    <row r="189" spans="1:23" x14ac:dyDescent="0.25">
      <c r="A189" s="6">
        <f t="shared" si="136"/>
        <v>47.4</v>
      </c>
      <c r="B189" s="7">
        <f t="shared" si="188"/>
        <v>44918</v>
      </c>
      <c r="C189" s="8">
        <f t="shared" si="188"/>
        <v>44924</v>
      </c>
      <c r="D189" s="6">
        <f>INDEX(Nifty!$A$4:$K$254,MATCH('Iron Condor (Hedge)'!B189,Nifty!$A$4:$A$254),Nifty!$L$256)</f>
        <v>17300</v>
      </c>
      <c r="E189" s="6" t="str">
        <f t="shared" ref="E189:F189" si="195">E185</f>
        <v>PE</v>
      </c>
      <c r="F189" s="6" t="str">
        <f t="shared" si="195"/>
        <v>BUY</v>
      </c>
      <c r="G189" s="6">
        <v>15.55</v>
      </c>
      <c r="H189" s="6">
        <f>G186+G187-G188-G189</f>
        <v>51.600000000000009</v>
      </c>
      <c r="I189" s="6">
        <v>0.05</v>
      </c>
      <c r="J189" s="6">
        <f t="shared" si="0"/>
        <v>-775</v>
      </c>
      <c r="K189" s="6">
        <f>SUM(J186:J189)</f>
        <v>-1892.4999999999998</v>
      </c>
      <c r="L189" s="12">
        <f t="shared" si="133"/>
        <v>52237.499999999985</v>
      </c>
      <c r="M189">
        <f>IF(K189+M185&lt;0,K189+M185,0)</f>
        <v>-1892.4999999999998</v>
      </c>
      <c r="N189">
        <v>20</v>
      </c>
      <c r="O189">
        <f t="shared" si="124"/>
        <v>40</v>
      </c>
      <c r="P189">
        <f t="shared" si="125"/>
        <v>1.25E-3</v>
      </c>
      <c r="Q189">
        <f t="shared" si="126"/>
        <v>0.41340000000000005</v>
      </c>
      <c r="R189">
        <f t="shared" si="127"/>
        <v>7.2745524000000001</v>
      </c>
      <c r="S189">
        <f t="shared" si="128"/>
        <v>7.7999999999999999E-4</v>
      </c>
      <c r="T189">
        <f t="shared" si="129"/>
        <v>4.6650000000000001E-4</v>
      </c>
      <c r="U189">
        <f t="shared" si="130"/>
        <v>7.6904488999999998</v>
      </c>
      <c r="V189">
        <f t="shared" si="131"/>
        <v>-822.69044889999998</v>
      </c>
      <c r="W189">
        <f>W188+V189</f>
        <v>42857.175925329997</v>
      </c>
    </row>
    <row r="190" spans="1:23" x14ac:dyDescent="0.25">
      <c r="A190">
        <f t="shared" si="136"/>
        <v>48.1</v>
      </c>
      <c r="B190" s="1">
        <f t="shared" si="188"/>
        <v>44925</v>
      </c>
      <c r="C190" s="4">
        <f t="shared" si="188"/>
        <v>44931</v>
      </c>
      <c r="D190">
        <f>INDEX(Nifty!$A$1:$K$251,MATCH('Iron Condor (Hedge)'!B190,Nifty!$A$1:$A$251),Nifty!$L$253)</f>
        <v>18400</v>
      </c>
      <c r="E190" t="str">
        <f t="shared" ref="E190:F190" si="196">E186</f>
        <v>CE</v>
      </c>
      <c r="F190" t="str">
        <f t="shared" si="196"/>
        <v>SELL</v>
      </c>
      <c r="G190" s="10">
        <v>25.75</v>
      </c>
      <c r="I190" s="10">
        <v>0.1</v>
      </c>
      <c r="J190" s="10">
        <f t="shared" si="0"/>
        <v>1282.5</v>
      </c>
      <c r="L190" s="12">
        <f t="shared" si="133"/>
        <v>53519.999999999985</v>
      </c>
      <c r="N190">
        <v>20</v>
      </c>
      <c r="O190">
        <f t="shared" si="124"/>
        <v>40</v>
      </c>
      <c r="P190">
        <f t="shared" si="125"/>
        <v>0.64375000000000004</v>
      </c>
      <c r="Q190">
        <f t="shared" si="126"/>
        <v>0.685025</v>
      </c>
      <c r="R190">
        <f t="shared" si="127"/>
        <v>7.3235371499999999</v>
      </c>
      <c r="S190">
        <f t="shared" si="128"/>
        <v>1.2925E-3</v>
      </c>
      <c r="T190">
        <f t="shared" si="129"/>
        <v>3.0000000000000001E-6</v>
      </c>
      <c r="U190">
        <f t="shared" si="130"/>
        <v>8.6536076499999997</v>
      </c>
      <c r="V190">
        <f t="shared" si="131"/>
        <v>1233.8463923500001</v>
      </c>
      <c r="W190">
        <f>W189+V190</f>
        <v>44091.022317679999</v>
      </c>
    </row>
    <row r="191" spans="1:23" x14ac:dyDescent="0.25">
      <c r="A191">
        <f t="shared" si="136"/>
        <v>48.2</v>
      </c>
      <c r="B191" s="1">
        <f t="shared" si="188"/>
        <v>44925</v>
      </c>
      <c r="C191" s="4">
        <f t="shared" si="188"/>
        <v>44931</v>
      </c>
      <c r="D191">
        <f>INDEX(Nifty!$A$2:$K$252,MATCH('Iron Condor (Hedge)'!B191,Nifty!$A$2:$A$252),Nifty!$L$254)</f>
        <v>17850</v>
      </c>
      <c r="E191" t="str">
        <f t="shared" ref="E191:F191" si="197">E187</f>
        <v>PE</v>
      </c>
      <c r="F191" t="str">
        <f t="shared" si="197"/>
        <v>SELL</v>
      </c>
      <c r="G191" s="10">
        <v>28.85</v>
      </c>
      <c r="I191" s="10">
        <v>0.1</v>
      </c>
      <c r="J191" s="10">
        <f t="shared" si="0"/>
        <v>1437.5</v>
      </c>
      <c r="L191" s="12">
        <f t="shared" si="133"/>
        <v>54957.499999999985</v>
      </c>
      <c r="N191">
        <v>20</v>
      </c>
      <c r="O191">
        <f t="shared" si="124"/>
        <v>40</v>
      </c>
      <c r="P191">
        <f t="shared" si="125"/>
        <v>0.72125000000000006</v>
      </c>
      <c r="Q191">
        <f t="shared" si="126"/>
        <v>0.76717500000000005</v>
      </c>
      <c r="R191">
        <f t="shared" si="127"/>
        <v>7.3383520499999992</v>
      </c>
      <c r="S191">
        <f t="shared" si="128"/>
        <v>1.4475000000000002E-3</v>
      </c>
      <c r="T191">
        <f t="shared" si="129"/>
        <v>3.0000000000000001E-6</v>
      </c>
      <c r="U191">
        <f t="shared" si="130"/>
        <v>8.8282275499999976</v>
      </c>
      <c r="V191">
        <f t="shared" si="131"/>
        <v>1388.6717724499999</v>
      </c>
      <c r="W191">
        <f>W190+V191</f>
        <v>45479.694090129997</v>
      </c>
    </row>
    <row r="192" spans="1:23" x14ac:dyDescent="0.25">
      <c r="A192">
        <f t="shared" si="136"/>
        <v>48.3</v>
      </c>
      <c r="B192" s="1">
        <f t="shared" si="188"/>
        <v>44925</v>
      </c>
      <c r="C192" s="4">
        <f t="shared" si="188"/>
        <v>44931</v>
      </c>
      <c r="D192">
        <f>INDEX(Nifty!$A$3:$K$253,MATCH('Iron Condor (Hedge)'!B192,Nifty!$A$3:$A$253),Nifty!$L$255)</f>
        <v>18650</v>
      </c>
      <c r="E192" t="str">
        <f t="shared" ref="E192:F192" si="198">E188</f>
        <v>CE</v>
      </c>
      <c r="F192" t="str">
        <f t="shared" si="198"/>
        <v>BUY</v>
      </c>
      <c r="G192" s="10">
        <v>4.9000000000000004</v>
      </c>
      <c r="I192" s="10">
        <v>0.05</v>
      </c>
      <c r="J192" s="10">
        <f t="shared" si="0"/>
        <v>-242.50000000000003</v>
      </c>
      <c r="L192" s="12">
        <f t="shared" si="133"/>
        <v>54714.999999999985</v>
      </c>
      <c r="N192">
        <v>20</v>
      </c>
      <c r="O192">
        <f t="shared" si="124"/>
        <v>40</v>
      </c>
      <c r="P192">
        <f t="shared" si="125"/>
        <v>1.25E-3</v>
      </c>
      <c r="Q192">
        <f t="shared" si="126"/>
        <v>0.13117499999999999</v>
      </c>
      <c r="R192">
        <f t="shared" si="127"/>
        <v>7.2236560499999998</v>
      </c>
      <c r="S192">
        <f t="shared" si="128"/>
        <v>2.475E-4</v>
      </c>
      <c r="T192">
        <f t="shared" si="129"/>
        <v>1.4700000000000002E-4</v>
      </c>
      <c r="U192">
        <f t="shared" si="130"/>
        <v>7.3564755499999999</v>
      </c>
      <c r="V192">
        <f t="shared" si="131"/>
        <v>-289.85647555000003</v>
      </c>
      <c r="W192">
        <f>W191+V192</f>
        <v>45189.837614579999</v>
      </c>
    </row>
    <row r="193" spans="1:24" x14ac:dyDescent="0.25">
      <c r="A193" s="6">
        <f t="shared" si="136"/>
        <v>48.4</v>
      </c>
      <c r="B193" s="7">
        <f t="shared" si="188"/>
        <v>44925</v>
      </c>
      <c r="C193" s="8">
        <f t="shared" si="188"/>
        <v>44931</v>
      </c>
      <c r="D193" s="6">
        <f>INDEX(Nifty!$A$4:$K$254,MATCH('Iron Condor (Hedge)'!B193,Nifty!$A$4:$A$254),Nifty!$L$256)</f>
        <v>17600</v>
      </c>
      <c r="E193" s="6" t="str">
        <f t="shared" ref="E193:F193" si="199">E189</f>
        <v>PE</v>
      </c>
      <c r="F193" s="6" t="str">
        <f t="shared" si="199"/>
        <v>BUY</v>
      </c>
      <c r="G193" s="6">
        <v>7.75</v>
      </c>
      <c r="H193" s="6">
        <f>G190+G191-G192-G193</f>
        <v>41.95</v>
      </c>
      <c r="I193" s="6">
        <v>0.1</v>
      </c>
      <c r="J193" s="6">
        <f t="shared" si="0"/>
        <v>-382.5</v>
      </c>
      <c r="K193" s="6">
        <f>SUM(J190:J193)</f>
        <v>2095</v>
      </c>
      <c r="L193" s="12">
        <f t="shared" si="133"/>
        <v>54332.499999999985</v>
      </c>
      <c r="M193">
        <f>IF(K193+M189&lt;0,K193+M189,0)</f>
        <v>0</v>
      </c>
      <c r="N193">
        <v>20</v>
      </c>
      <c r="O193">
        <f t="shared" si="124"/>
        <v>40</v>
      </c>
      <c r="P193">
        <f t="shared" si="125"/>
        <v>2.5000000000000001E-3</v>
      </c>
      <c r="Q193">
        <f t="shared" si="126"/>
        <v>0.20802499999999999</v>
      </c>
      <c r="R193">
        <f t="shared" si="127"/>
        <v>7.2375151499999992</v>
      </c>
      <c r="S193">
        <f t="shared" si="128"/>
        <v>3.9249999999999995E-4</v>
      </c>
      <c r="T193">
        <f t="shared" si="129"/>
        <v>2.3250000000000001E-4</v>
      </c>
      <c r="U193">
        <f t="shared" si="130"/>
        <v>7.4486651499999992</v>
      </c>
      <c r="V193">
        <f t="shared" si="131"/>
        <v>-429.94866515000001</v>
      </c>
      <c r="W193">
        <f>W192+V193</f>
        <v>44759.888949430002</v>
      </c>
    </row>
    <row r="194" spans="1:24" x14ac:dyDescent="0.25">
      <c r="A194">
        <f t="shared" si="136"/>
        <v>49.1</v>
      </c>
      <c r="B194" s="1">
        <f t="shared" si="188"/>
        <v>44932</v>
      </c>
      <c r="C194" s="4">
        <f t="shared" si="188"/>
        <v>44938</v>
      </c>
      <c r="D194">
        <f>INDEX(Nifty!$A$1:$K$251,MATCH('Iron Condor (Hedge)'!B194,Nifty!$A$1:$A$251),Nifty!$L$253)</f>
        <v>18150</v>
      </c>
      <c r="E194" t="str">
        <f t="shared" ref="E194:F194" si="200">E190</f>
        <v>CE</v>
      </c>
      <c r="F194" t="str">
        <f t="shared" si="200"/>
        <v>SELL</v>
      </c>
      <c r="G194" s="10">
        <v>27.25</v>
      </c>
      <c r="I194" s="10">
        <v>0.1</v>
      </c>
      <c r="J194" s="10">
        <f t="shared" si="0"/>
        <v>1357.5</v>
      </c>
      <c r="L194" s="12">
        <f t="shared" si="133"/>
        <v>55689.999999999985</v>
      </c>
      <c r="N194">
        <v>20</v>
      </c>
      <c r="O194">
        <f t="shared" si="124"/>
        <v>40</v>
      </c>
      <c r="P194">
        <f t="shared" si="125"/>
        <v>0.68125000000000002</v>
      </c>
      <c r="Q194">
        <f t="shared" si="126"/>
        <v>0.72477499999999995</v>
      </c>
      <c r="R194">
        <f t="shared" si="127"/>
        <v>7.3307056499999996</v>
      </c>
      <c r="S194">
        <f t="shared" si="128"/>
        <v>1.3675E-3</v>
      </c>
      <c r="T194">
        <f t="shared" si="129"/>
        <v>3.0000000000000001E-6</v>
      </c>
      <c r="U194">
        <f t="shared" si="130"/>
        <v>8.7381011500000003</v>
      </c>
      <c r="V194">
        <f t="shared" si="131"/>
        <v>1308.7618988500001</v>
      </c>
      <c r="W194">
        <f>W193+V194</f>
        <v>46068.650848280005</v>
      </c>
    </row>
    <row r="195" spans="1:24" x14ac:dyDescent="0.25">
      <c r="A195">
        <f t="shared" si="136"/>
        <v>49.2</v>
      </c>
      <c r="B195" s="1">
        <f t="shared" si="188"/>
        <v>44932</v>
      </c>
      <c r="C195" s="4">
        <f t="shared" si="188"/>
        <v>44938</v>
      </c>
      <c r="D195">
        <f>INDEX(Nifty!$A$2:$K$252,MATCH('Iron Condor (Hedge)'!B195,Nifty!$A$2:$A$252),Nifty!$L$254)</f>
        <v>17600</v>
      </c>
      <c r="E195" t="str">
        <f t="shared" ref="E195:F195" si="201">E191</f>
        <v>PE</v>
      </c>
      <c r="F195" t="str">
        <f t="shared" si="201"/>
        <v>SELL</v>
      </c>
      <c r="G195" s="10">
        <v>22.3</v>
      </c>
      <c r="I195" s="10">
        <v>0.05</v>
      </c>
      <c r="J195" s="10">
        <f t="shared" si="0"/>
        <v>1112.5</v>
      </c>
      <c r="L195" s="12">
        <f t="shared" si="133"/>
        <v>56802.499999999985</v>
      </c>
      <c r="N195">
        <v>20</v>
      </c>
      <c r="O195">
        <f t="shared" ref="O195:O205" si="202">N195*2</f>
        <v>40</v>
      </c>
      <c r="P195">
        <f t="shared" ref="P195:P205" si="203">IF(F195="SELL",G195*50*0.05%,I195*50*0.05%)</f>
        <v>0.5575</v>
      </c>
      <c r="Q195">
        <f t="shared" ref="Q195:Q205" si="204">(G195+I195)*50*0.053%</f>
        <v>0.592275</v>
      </c>
      <c r="R195">
        <f t="shared" ref="R195:R205" si="205">(O195+S195+Q195)*18%</f>
        <v>7.3068106500000001</v>
      </c>
      <c r="S195">
        <f t="shared" ref="S195:S205" si="206">(10/10000000)*(G195+I195)*50</f>
        <v>1.1175E-3</v>
      </c>
      <c r="T195">
        <f t="shared" ref="T195:T205" si="207">IF(F195="SELL",I195*0.003%,G195*0.003%)</f>
        <v>1.5E-6</v>
      </c>
      <c r="U195">
        <f t="shared" ref="U195:U205" si="208">SUM(P195:T195)</f>
        <v>8.4577046500000002</v>
      </c>
      <c r="V195">
        <f t="shared" ref="V195:V205" si="209">J195-O195-U195</f>
        <v>1064.0422953499999</v>
      </c>
      <c r="W195">
        <f>W194+V195</f>
        <v>47132.693143630007</v>
      </c>
    </row>
    <row r="196" spans="1:24" x14ac:dyDescent="0.25">
      <c r="A196">
        <f t="shared" si="136"/>
        <v>49.3</v>
      </c>
      <c r="B196" s="1">
        <f t="shared" si="188"/>
        <v>44932</v>
      </c>
      <c r="C196" s="4">
        <f t="shared" si="188"/>
        <v>44938</v>
      </c>
      <c r="D196">
        <f>INDEX(Nifty!$A$3:$K$253,MATCH('Iron Condor (Hedge)'!B196,Nifty!$A$3:$A$253),Nifty!$L$255)</f>
        <v>18400</v>
      </c>
      <c r="E196" t="str">
        <f t="shared" ref="E196:F196" si="210">E192</f>
        <v>CE</v>
      </c>
      <c r="F196" t="str">
        <f t="shared" si="210"/>
        <v>BUY</v>
      </c>
      <c r="G196" s="10">
        <v>5.8</v>
      </c>
      <c r="I196" s="10">
        <v>0.05</v>
      </c>
      <c r="J196" s="10">
        <f t="shared" si="0"/>
        <v>-287.5</v>
      </c>
      <c r="L196" s="12">
        <f t="shared" ref="L196:L205" si="211">J196+L195</f>
        <v>56514.999999999985</v>
      </c>
      <c r="N196">
        <v>20</v>
      </c>
      <c r="O196">
        <f t="shared" si="202"/>
        <v>40</v>
      </c>
      <c r="P196">
        <f t="shared" si="203"/>
        <v>1.25E-3</v>
      </c>
      <c r="Q196">
        <f t="shared" si="204"/>
        <v>0.155025</v>
      </c>
      <c r="R196">
        <f t="shared" si="205"/>
        <v>7.2279571499999999</v>
      </c>
      <c r="S196">
        <f t="shared" si="206"/>
        <v>2.9249999999999995E-4</v>
      </c>
      <c r="T196">
        <f t="shared" si="207"/>
        <v>1.74E-4</v>
      </c>
      <c r="U196">
        <f t="shared" si="208"/>
        <v>7.3846986499999998</v>
      </c>
      <c r="V196">
        <f t="shared" si="209"/>
        <v>-334.88469865000002</v>
      </c>
      <c r="W196">
        <f>W195+V196</f>
        <v>46797.808444980008</v>
      </c>
    </row>
    <row r="197" spans="1:24" x14ac:dyDescent="0.25">
      <c r="A197" s="6">
        <f t="shared" si="136"/>
        <v>49.4</v>
      </c>
      <c r="B197" s="7">
        <f t="shared" si="188"/>
        <v>44932</v>
      </c>
      <c r="C197" s="8">
        <f t="shared" si="188"/>
        <v>44938</v>
      </c>
      <c r="D197" s="6">
        <f>INDEX(Nifty!$A$4:$K$254,MATCH('Iron Condor (Hedge)'!B197,Nifty!$A$4:$A$254),Nifty!$L$256)</f>
        <v>17350</v>
      </c>
      <c r="E197" s="6" t="str">
        <f t="shared" ref="E197:F197" si="212">E193</f>
        <v>PE</v>
      </c>
      <c r="F197" s="6" t="str">
        <f t="shared" si="212"/>
        <v>BUY</v>
      </c>
      <c r="G197" s="6">
        <v>4.95</v>
      </c>
      <c r="H197" s="6">
        <f>G194+G195-G196-G197</f>
        <v>38.799999999999997</v>
      </c>
      <c r="I197" s="6">
        <v>0.05</v>
      </c>
      <c r="J197" s="6">
        <f t="shared" si="0"/>
        <v>-245.00000000000003</v>
      </c>
      <c r="K197" s="6">
        <f>SUM(J194:J197)</f>
        <v>1937.5</v>
      </c>
      <c r="L197" s="12">
        <f t="shared" si="211"/>
        <v>56269.999999999985</v>
      </c>
      <c r="M197">
        <f>IF(K197+M193&lt;0,K197+M193,0)</f>
        <v>0</v>
      </c>
      <c r="N197">
        <v>20</v>
      </c>
      <c r="O197">
        <f t="shared" si="202"/>
        <v>40</v>
      </c>
      <c r="P197">
        <f t="shared" si="203"/>
        <v>1.25E-3</v>
      </c>
      <c r="Q197">
        <f t="shared" si="204"/>
        <v>0.13250000000000001</v>
      </c>
      <c r="R197">
        <f t="shared" si="205"/>
        <v>7.2238949999999997</v>
      </c>
      <c r="S197">
        <f t="shared" si="206"/>
        <v>2.5000000000000001E-4</v>
      </c>
      <c r="T197">
        <f t="shared" si="207"/>
        <v>1.485E-4</v>
      </c>
      <c r="U197">
        <f t="shared" si="208"/>
        <v>7.3580435</v>
      </c>
      <c r="V197">
        <f t="shared" si="209"/>
        <v>-292.35804350000001</v>
      </c>
      <c r="W197">
        <f>W196+V197</f>
        <v>46505.450401480011</v>
      </c>
    </row>
    <row r="198" spans="1:24" x14ac:dyDescent="0.25">
      <c r="A198">
        <f t="shared" si="136"/>
        <v>50.1</v>
      </c>
      <c r="B198" s="1">
        <f t="shared" si="188"/>
        <v>44939</v>
      </c>
      <c r="C198" s="4">
        <f t="shared" si="188"/>
        <v>44945</v>
      </c>
      <c r="D198">
        <f>INDEX(Nifty!$A$1:$K$251,MATCH('Iron Condor (Hedge)'!B198,Nifty!$A$1:$A$251),Nifty!$L$253)</f>
        <v>18250</v>
      </c>
      <c r="E198" t="str">
        <f t="shared" ref="E198:F198" si="213">E194</f>
        <v>CE</v>
      </c>
      <c r="F198" t="str">
        <f t="shared" si="213"/>
        <v>SELL</v>
      </c>
      <c r="G198" s="10">
        <v>17.7</v>
      </c>
      <c r="I198" s="10">
        <v>0.1</v>
      </c>
      <c r="J198" s="10">
        <f t="shared" si="0"/>
        <v>879.99999999999989</v>
      </c>
      <c r="L198" s="12">
        <f t="shared" si="211"/>
        <v>57149.999999999985</v>
      </c>
      <c r="N198">
        <v>20</v>
      </c>
      <c r="O198">
        <f t="shared" si="202"/>
        <v>40</v>
      </c>
      <c r="P198">
        <f t="shared" si="203"/>
        <v>0.4425</v>
      </c>
      <c r="Q198">
        <f t="shared" si="204"/>
        <v>0.47170000000000001</v>
      </c>
      <c r="R198">
        <f t="shared" si="205"/>
        <v>7.2850661999999993</v>
      </c>
      <c r="S198">
        <f t="shared" si="206"/>
        <v>8.8999999999999995E-4</v>
      </c>
      <c r="T198">
        <f t="shared" si="207"/>
        <v>3.0000000000000001E-6</v>
      </c>
      <c r="U198">
        <f t="shared" si="208"/>
        <v>8.2001591999999981</v>
      </c>
      <c r="V198">
        <f t="shared" si="209"/>
        <v>831.79984079999986</v>
      </c>
      <c r="W198">
        <f>W197+V198</f>
        <v>47337.25024228001</v>
      </c>
    </row>
    <row r="199" spans="1:24" x14ac:dyDescent="0.25">
      <c r="A199">
        <f t="shared" ref="A199:A205" si="214">A195+1</f>
        <v>50.2</v>
      </c>
      <c r="B199" s="1">
        <f t="shared" ref="B199:C205" si="215">B195+7</f>
        <v>44939</v>
      </c>
      <c r="C199" s="4">
        <f t="shared" si="215"/>
        <v>44945</v>
      </c>
      <c r="D199">
        <f>INDEX(Nifty!$A$2:$K$252,MATCH('Iron Condor (Hedge)'!B199,Nifty!$A$2:$A$252),Nifty!$L$254)</f>
        <v>17700</v>
      </c>
      <c r="E199" t="str">
        <f t="shared" ref="E199:F199" si="216">E195</f>
        <v>PE</v>
      </c>
      <c r="F199" t="str">
        <f t="shared" si="216"/>
        <v>SELL</v>
      </c>
      <c r="G199" s="10">
        <v>28.25</v>
      </c>
      <c r="I199" s="10">
        <v>0.05</v>
      </c>
      <c r="J199" s="10">
        <f t="shared" si="0"/>
        <v>1410</v>
      </c>
      <c r="L199" s="12">
        <f t="shared" si="211"/>
        <v>58559.999999999985</v>
      </c>
      <c r="N199">
        <v>20</v>
      </c>
      <c r="O199">
        <f t="shared" si="202"/>
        <v>40</v>
      </c>
      <c r="P199">
        <f t="shared" si="203"/>
        <v>0.70625000000000004</v>
      </c>
      <c r="Q199">
        <f t="shared" si="204"/>
        <v>0.74995000000000001</v>
      </c>
      <c r="R199">
        <f t="shared" si="205"/>
        <v>7.3352456999999998</v>
      </c>
      <c r="S199">
        <f t="shared" si="206"/>
        <v>1.415E-3</v>
      </c>
      <c r="T199">
        <f t="shared" si="207"/>
        <v>1.5E-6</v>
      </c>
      <c r="U199">
        <f t="shared" si="208"/>
        <v>8.7928622000000001</v>
      </c>
      <c r="V199">
        <f t="shared" si="209"/>
        <v>1361.2071378000001</v>
      </c>
      <c r="W199">
        <f>W198+V199</f>
        <v>48698.457380080014</v>
      </c>
    </row>
    <row r="200" spans="1:24" x14ac:dyDescent="0.25">
      <c r="A200">
        <f t="shared" si="214"/>
        <v>50.3</v>
      </c>
      <c r="B200" s="1">
        <f t="shared" si="215"/>
        <v>44939</v>
      </c>
      <c r="C200" s="4">
        <f t="shared" si="215"/>
        <v>44945</v>
      </c>
      <c r="D200">
        <f>INDEX(Nifty!$A$3:$K$253,MATCH('Iron Condor (Hedge)'!B200,Nifty!$A$3:$A$253),Nifty!$L$255)</f>
        <v>18500</v>
      </c>
      <c r="E200" t="str">
        <f t="shared" ref="E200:F200" si="217">E196</f>
        <v>CE</v>
      </c>
      <c r="F200" t="str">
        <f t="shared" si="217"/>
        <v>BUY</v>
      </c>
      <c r="G200" s="10">
        <v>2.9</v>
      </c>
      <c r="I200" s="10">
        <v>0.1</v>
      </c>
      <c r="J200" s="10">
        <f t="shared" si="0"/>
        <v>-140</v>
      </c>
      <c r="L200" s="12">
        <f t="shared" si="211"/>
        <v>58419.999999999985</v>
      </c>
      <c r="N200">
        <v>20</v>
      </c>
      <c r="O200">
        <f t="shared" si="202"/>
        <v>40</v>
      </c>
      <c r="P200">
        <f t="shared" si="203"/>
        <v>2.5000000000000001E-3</v>
      </c>
      <c r="Q200">
        <f t="shared" si="204"/>
        <v>7.9500000000000001E-2</v>
      </c>
      <c r="R200">
        <f t="shared" si="205"/>
        <v>7.2143369999999996</v>
      </c>
      <c r="S200">
        <f t="shared" si="206"/>
        <v>1.5000000000000001E-4</v>
      </c>
      <c r="T200">
        <f t="shared" si="207"/>
        <v>8.7000000000000001E-5</v>
      </c>
      <c r="U200">
        <f t="shared" si="208"/>
        <v>7.2965739999999988</v>
      </c>
      <c r="V200">
        <f t="shared" si="209"/>
        <v>-187.29657399999999</v>
      </c>
      <c r="W200">
        <f>W199+V200</f>
        <v>48511.160806080014</v>
      </c>
    </row>
    <row r="201" spans="1:24" x14ac:dyDescent="0.25">
      <c r="A201" s="6">
        <f t="shared" si="214"/>
        <v>50.4</v>
      </c>
      <c r="B201" s="7">
        <f t="shared" si="215"/>
        <v>44939</v>
      </c>
      <c r="C201" s="8">
        <f t="shared" si="215"/>
        <v>44945</v>
      </c>
      <c r="D201" s="6">
        <f>INDEX(Nifty!$A$4:$K$254,MATCH('Iron Condor (Hedge)'!B201,Nifty!$A$4:$A$254),Nifty!$L$256)</f>
        <v>17450</v>
      </c>
      <c r="E201" s="6" t="str">
        <f t="shared" ref="E201:F201" si="218">E197</f>
        <v>PE</v>
      </c>
      <c r="F201" s="6" t="str">
        <f t="shared" si="218"/>
        <v>BUY</v>
      </c>
      <c r="G201" s="6">
        <v>7.9</v>
      </c>
      <c r="H201" s="6">
        <f>G198+G199-G200-G201</f>
        <v>35.150000000000006</v>
      </c>
      <c r="I201" s="6">
        <v>0.05</v>
      </c>
      <c r="J201" s="6">
        <f t="shared" si="0"/>
        <v>-392.5</v>
      </c>
      <c r="K201" s="6">
        <f>SUM(J198:J201)</f>
        <v>1757.5</v>
      </c>
      <c r="L201" s="12">
        <f t="shared" si="211"/>
        <v>58027.499999999985</v>
      </c>
      <c r="M201">
        <f>IF(K201+M197&lt;0,K201+M197,0)</f>
        <v>0</v>
      </c>
      <c r="N201">
        <v>20</v>
      </c>
      <c r="O201">
        <f t="shared" si="202"/>
        <v>40</v>
      </c>
      <c r="P201">
        <f t="shared" si="203"/>
        <v>1.25E-3</v>
      </c>
      <c r="Q201">
        <f t="shared" si="204"/>
        <v>0.210675</v>
      </c>
      <c r="R201">
        <f t="shared" si="205"/>
        <v>7.23799305</v>
      </c>
      <c r="S201">
        <f t="shared" si="206"/>
        <v>3.9750000000000001E-4</v>
      </c>
      <c r="T201">
        <f t="shared" si="207"/>
        <v>2.3700000000000001E-4</v>
      </c>
      <c r="U201">
        <f t="shared" si="208"/>
        <v>7.4505525500000003</v>
      </c>
      <c r="V201">
        <f t="shared" si="209"/>
        <v>-439.95055255</v>
      </c>
      <c r="W201">
        <f>W200+V201</f>
        <v>48071.210253530015</v>
      </c>
    </row>
    <row r="202" spans="1:24" x14ac:dyDescent="0.25">
      <c r="A202">
        <f t="shared" si="214"/>
        <v>51.1</v>
      </c>
      <c r="B202" s="1">
        <f t="shared" si="215"/>
        <v>44946</v>
      </c>
      <c r="C202" s="4">
        <v>44951</v>
      </c>
      <c r="D202">
        <f>INDEX(Nifty!$A$1:$K$251,MATCH('Iron Condor (Hedge)'!B202,Nifty!$A$1:$A$251),Nifty!$L$253)</f>
        <v>18300</v>
      </c>
      <c r="E202" t="str">
        <f t="shared" ref="E202:F202" si="219">E198</f>
        <v>CE</v>
      </c>
      <c r="F202" t="str">
        <f t="shared" si="219"/>
        <v>SELL</v>
      </c>
      <c r="G202" s="10">
        <v>15.9</v>
      </c>
      <c r="I202" s="10">
        <v>0.1</v>
      </c>
      <c r="J202" s="10">
        <f t="shared" si="0"/>
        <v>790</v>
      </c>
      <c r="L202" s="12">
        <f t="shared" si="211"/>
        <v>58817.499999999985</v>
      </c>
      <c r="N202">
        <v>20</v>
      </c>
      <c r="O202">
        <f t="shared" si="202"/>
        <v>40</v>
      </c>
      <c r="P202">
        <f t="shared" si="203"/>
        <v>0.39750000000000002</v>
      </c>
      <c r="Q202">
        <f t="shared" si="204"/>
        <v>0.42399999999999999</v>
      </c>
      <c r="R202">
        <f t="shared" si="205"/>
        <v>7.2764639999999989</v>
      </c>
      <c r="S202">
        <f t="shared" si="206"/>
        <v>7.9999999999999993E-4</v>
      </c>
      <c r="T202">
        <f t="shared" si="207"/>
        <v>3.0000000000000001E-6</v>
      </c>
      <c r="U202">
        <f t="shared" si="208"/>
        <v>8.0987669999999987</v>
      </c>
      <c r="V202">
        <f t="shared" si="209"/>
        <v>741.90123300000005</v>
      </c>
      <c r="W202">
        <f>W201+V202</f>
        <v>48813.111486530011</v>
      </c>
    </row>
    <row r="203" spans="1:24" x14ac:dyDescent="0.25">
      <c r="A203">
        <f t="shared" si="214"/>
        <v>51.2</v>
      </c>
      <c r="B203" s="1">
        <f t="shared" si="215"/>
        <v>44946</v>
      </c>
      <c r="C203" s="4">
        <v>44951</v>
      </c>
      <c r="D203">
        <f>INDEX(Nifty!$A$2:$K$252,MATCH('Iron Condor (Hedge)'!B203,Nifty!$A$2:$A$252),Nifty!$L$254)</f>
        <v>17750</v>
      </c>
      <c r="E203" t="str">
        <f t="shared" ref="E203:F203" si="220">E199</f>
        <v>PE</v>
      </c>
      <c r="F203" t="str">
        <f t="shared" si="220"/>
        <v>SELL</v>
      </c>
      <c r="G203" s="10">
        <v>12.55</v>
      </c>
      <c r="I203" s="10">
        <v>0.05</v>
      </c>
      <c r="J203" s="10">
        <f t="shared" si="0"/>
        <v>625</v>
      </c>
      <c r="L203" s="12">
        <f t="shared" si="211"/>
        <v>59442.499999999985</v>
      </c>
      <c r="N203">
        <v>20</v>
      </c>
      <c r="O203">
        <f t="shared" si="202"/>
        <v>40</v>
      </c>
      <c r="P203">
        <f t="shared" si="203"/>
        <v>0.31375000000000003</v>
      </c>
      <c r="Q203">
        <f t="shared" si="204"/>
        <v>0.33390000000000003</v>
      </c>
      <c r="R203">
        <f t="shared" si="205"/>
        <v>7.2602153999999999</v>
      </c>
      <c r="S203">
        <f t="shared" si="206"/>
        <v>6.3000000000000003E-4</v>
      </c>
      <c r="T203">
        <f t="shared" si="207"/>
        <v>1.5E-6</v>
      </c>
      <c r="U203">
        <f t="shared" si="208"/>
        <v>7.9084969000000003</v>
      </c>
      <c r="V203">
        <f t="shared" si="209"/>
        <v>577.09150309999995</v>
      </c>
      <c r="W203">
        <f>W202+V203</f>
        <v>49390.202989630008</v>
      </c>
    </row>
    <row r="204" spans="1:24" x14ac:dyDescent="0.25">
      <c r="A204">
        <f t="shared" si="214"/>
        <v>51.3</v>
      </c>
      <c r="B204" s="1">
        <f t="shared" si="215"/>
        <v>44946</v>
      </c>
      <c r="C204" s="4">
        <v>44951</v>
      </c>
      <c r="D204">
        <f>INDEX(Nifty!$A$3:$K$253,MATCH('Iron Condor (Hedge)'!B204,Nifty!$A$3:$A$253),Nifty!$L$255)</f>
        <v>18550</v>
      </c>
      <c r="E204" t="str">
        <f t="shared" ref="E204:F204" si="221">E200</f>
        <v>CE</v>
      </c>
      <c r="F204" t="str">
        <f t="shared" si="221"/>
        <v>BUY</v>
      </c>
      <c r="G204" s="10">
        <v>3.3</v>
      </c>
      <c r="I204" s="10">
        <v>0.05</v>
      </c>
      <c r="J204" s="10">
        <f t="shared" si="0"/>
        <v>-162.5</v>
      </c>
      <c r="L204" s="12">
        <f t="shared" si="211"/>
        <v>59279.999999999985</v>
      </c>
      <c r="N204">
        <v>20</v>
      </c>
      <c r="O204">
        <f t="shared" si="202"/>
        <v>40</v>
      </c>
      <c r="P204">
        <f t="shared" si="203"/>
        <v>1.25E-3</v>
      </c>
      <c r="Q204">
        <f t="shared" si="204"/>
        <v>8.8774999999999979E-2</v>
      </c>
      <c r="R204">
        <f t="shared" si="205"/>
        <v>7.2160096500000002</v>
      </c>
      <c r="S204">
        <f t="shared" si="206"/>
        <v>1.6749999999999998E-4</v>
      </c>
      <c r="T204">
        <f t="shared" si="207"/>
        <v>9.8999999999999994E-5</v>
      </c>
      <c r="U204">
        <f t="shared" si="208"/>
        <v>7.3063011499999995</v>
      </c>
      <c r="V204">
        <f t="shared" si="209"/>
        <v>-209.80630115</v>
      </c>
      <c r="W204">
        <f>W203+V204</f>
        <v>49180.39668848001</v>
      </c>
    </row>
    <row r="205" spans="1:24" x14ac:dyDescent="0.25">
      <c r="A205" s="6">
        <f t="shared" si="214"/>
        <v>51.4</v>
      </c>
      <c r="B205" s="7">
        <f t="shared" si="215"/>
        <v>44946</v>
      </c>
      <c r="C205" s="8">
        <v>44951</v>
      </c>
      <c r="D205" s="6">
        <f>INDEX(Nifty!$A$4:$K$254,MATCH('Iron Condor (Hedge)'!B205,Nifty!$A$4:$A$254),Nifty!$L$256)</f>
        <v>17500</v>
      </c>
      <c r="E205" s="6" t="str">
        <f t="shared" ref="E205:F205" si="222">E201</f>
        <v>PE</v>
      </c>
      <c r="F205" s="6" t="str">
        <f t="shared" si="222"/>
        <v>BUY</v>
      </c>
      <c r="G205" s="6">
        <v>3.5</v>
      </c>
      <c r="H205" s="6">
        <f>G202+G203-G204-G205</f>
        <v>21.650000000000002</v>
      </c>
      <c r="I205" s="6">
        <v>0.05</v>
      </c>
      <c r="J205" s="6">
        <f t="shared" si="0"/>
        <v>-172.5</v>
      </c>
      <c r="K205" s="6">
        <f>SUM(J202:J205)</f>
        <v>1080</v>
      </c>
      <c r="L205" s="12">
        <f t="shared" si="211"/>
        <v>59107.499999999985</v>
      </c>
      <c r="M205">
        <f>IF(K205+M201&lt;0,K205+M201,0)</f>
        <v>0</v>
      </c>
      <c r="N205">
        <v>20</v>
      </c>
      <c r="O205">
        <f t="shared" si="202"/>
        <v>40</v>
      </c>
      <c r="P205">
        <f t="shared" si="203"/>
        <v>1.25E-3</v>
      </c>
      <c r="Q205">
        <f t="shared" si="204"/>
        <v>9.4074999999999992E-2</v>
      </c>
      <c r="R205">
        <f t="shared" si="205"/>
        <v>7.2169654499999991</v>
      </c>
      <c r="S205">
        <f t="shared" si="206"/>
        <v>1.7749999999999998E-4</v>
      </c>
      <c r="T205">
        <f t="shared" si="207"/>
        <v>1.05E-4</v>
      </c>
      <c r="U205">
        <f t="shared" si="208"/>
        <v>7.312572949999999</v>
      </c>
      <c r="V205">
        <f t="shared" si="209"/>
        <v>-219.81257295</v>
      </c>
      <c r="W205" s="2">
        <f>W204+V205</f>
        <v>48960.584115530008</v>
      </c>
      <c r="X205" s="2"/>
    </row>
    <row r="206" spans="1:24" x14ac:dyDescent="0.25">
      <c r="B206" s="1"/>
      <c r="C206" s="4"/>
      <c r="L206" s="9">
        <v>59107.5</v>
      </c>
      <c r="U206" s="2">
        <f>SUM(U2:U205)</f>
        <v>1986.9158844699996</v>
      </c>
    </row>
    <row r="207" spans="1:24" x14ac:dyDescent="0.25">
      <c r="B207" s="1"/>
      <c r="C207" s="4"/>
    </row>
    <row r="208" spans="1:24" x14ac:dyDescent="0.25">
      <c r="B208" s="1"/>
      <c r="C208" s="4"/>
    </row>
    <row r="209" spans="1:11" x14ac:dyDescent="0.25">
      <c r="A209" s="12"/>
      <c r="B209" s="15"/>
      <c r="C209" s="16"/>
      <c r="D209" s="12"/>
      <c r="E209" s="12"/>
      <c r="F209" s="12"/>
      <c r="G209" s="12"/>
      <c r="H209" s="12"/>
      <c r="I209" s="12"/>
      <c r="J209" s="12"/>
      <c r="K209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</vt:lpstr>
      <vt:lpstr>Iron Condor (Hedge)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2023-02-01T15:07:21Z</dcterms:created>
  <dcterms:modified xsi:type="dcterms:W3CDTF">2023-02-08T17:06:36Z</dcterms:modified>
</cp:coreProperties>
</file>