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line" sheetId="1" r:id="rId3"/>
    <sheet state="visible" name="Attendees" sheetId="2" r:id="rId4"/>
    <sheet state="hidden" name="Online1" sheetId="3" r:id="rId5"/>
    <sheet state="visible" name="General_Reg" sheetId="4" r:id="rId6"/>
    <sheet state="visible" name="Payment" sheetId="5" r:id="rId7"/>
    <sheet state="visible" name="SponsorAttendees" sheetId="6" r:id="rId8"/>
    <sheet state="visible" name="Ticket Details" sheetId="7" r:id="rId9"/>
    <sheet state="visible" name="Stats" sheetId="8" r:id="rId10"/>
    <sheet state="visible" name="Attendee Summary" sheetId="9" r:id="rId11"/>
    <sheet state="visible" name="Settings" sheetId="10" r:id="rId12"/>
  </sheets>
  <definedNames>
    <definedName localSheetId="3" name="Z_7CB489C0_B028_4B79_AE5B_57C4AC16B47F_.wvu.FilterData">General_Reg!$A$6:$X$6</definedName>
    <definedName localSheetId="3" name="Z_CB01A82F_FED3_4479_B556_A20CFBCAFB40_.wvu.FilterData">General_Reg!$A$6:$X$6</definedName>
    <definedName localSheetId="3" name="Z_C219EB2F_E1E1_4D9C_9B82_F672C22BE9B2_.wvu.FilterData">General_Reg!$A$6:$X$6</definedName>
    <definedName hidden="1" localSheetId="0" name="_xlnm._FilterDatabase">Online!$A$1:$G$310</definedName>
    <definedName hidden="1" localSheetId="2" name="_xlnm._FilterDatabase">Online1!$A$1:$G$1</definedName>
    <definedName hidden="1" localSheetId="4" name="_xlnm._FilterDatabase">Payment!$B$2:$B$21</definedName>
    <definedName hidden="1" localSheetId="3" name="_xlnm._FilterDatabase">General_Reg!$A$6:$AD$249</definedName>
    <definedName hidden="1" localSheetId="9" name="_xlnm._FilterDatabase">Settings!$B$3:$C$29</definedName>
    <definedName hidden="1" localSheetId="1" name="_xlnm._FilterDatabase">Attendees!$A$2:$L$311</definedName>
    <definedName hidden="1" localSheetId="8" name="_xlnm._FilterDatabase">'Attendee Summary'!$A$2:$E$552</definedName>
  </definedNames>
  <calcPr/>
</workbook>
</file>

<file path=xl/sharedStrings.xml><?xml version="1.0" encoding="utf-8"?>
<sst xmlns="http://schemas.openxmlformats.org/spreadsheetml/2006/main" count="2538" uniqueCount="811">
  <si>
    <t>Timestamp</t>
  </si>
  <si>
    <t>Total Registered =</t>
  </si>
  <si>
    <t>Name</t>
  </si>
  <si>
    <t>Email</t>
  </si>
  <si>
    <t>Adult / Child</t>
  </si>
  <si>
    <t>Performer / Coordinator / Relative</t>
  </si>
  <si>
    <t>Group Name</t>
  </si>
  <si>
    <t>Comment</t>
  </si>
  <si>
    <t>Sr No</t>
  </si>
  <si>
    <t>EMail</t>
  </si>
  <si>
    <t>Visal Hemant</t>
  </si>
  <si>
    <t>hemant.visal@gmail.com</t>
  </si>
  <si>
    <t>Adult</t>
  </si>
  <si>
    <t>Relative</t>
  </si>
  <si>
    <t>My Group</t>
  </si>
  <si>
    <t>Visal Rashmi</t>
  </si>
  <si>
    <t>Visal Isha</t>
  </si>
  <si>
    <t>Visal Asmi</t>
  </si>
  <si>
    <t>Child</t>
  </si>
  <si>
    <t>Amount (JPY)</t>
  </si>
  <si>
    <t xml:space="preserve">Saanvi </t>
  </si>
  <si>
    <t>amitaskulkarni@gmail.com</t>
  </si>
  <si>
    <t>Group name</t>
  </si>
  <si>
    <t>Coordinator Name</t>
  </si>
  <si>
    <t>Performer</t>
  </si>
  <si>
    <t>Blooming Flowers</t>
  </si>
  <si>
    <t xml:space="preserve">Amita Deshpande </t>
  </si>
  <si>
    <t>Coordinator</t>
  </si>
  <si>
    <t xml:space="preserve">Vishal Deshpande </t>
  </si>
  <si>
    <t>Ridhi Mahajan</t>
  </si>
  <si>
    <t>rajivkumarmahajan@gmal.con</t>
  </si>
  <si>
    <t>Rockstar Divas</t>
  </si>
  <si>
    <t>Rajiv mahajan</t>
  </si>
  <si>
    <t>rajivkumarmahajan@gmail.com</t>
  </si>
  <si>
    <t>Savita Mahajan</t>
  </si>
  <si>
    <t>Tatkar Group</t>
  </si>
  <si>
    <t>Khwaish jain</t>
  </si>
  <si>
    <t>khwaishsrimal@gmail.com</t>
  </si>
  <si>
    <t>Suhani jain</t>
  </si>
  <si>
    <t>S.G.D.Group</t>
  </si>
  <si>
    <t>Vishal jain</t>
  </si>
  <si>
    <t>Nidhi jain</t>
  </si>
  <si>
    <t>Paid To</t>
  </si>
  <si>
    <t>Mukkundi Pramod</t>
  </si>
  <si>
    <t>shamadeshpande@gmail.com</t>
  </si>
  <si>
    <t>Mukkundi Sharmila</t>
  </si>
  <si>
    <t>Mukkundi Priya</t>
  </si>
  <si>
    <t>Mukkundi Sriya</t>
  </si>
  <si>
    <t>Lekshmi Shailesh</t>
  </si>
  <si>
    <t>lekshmi.shailesh@gmail.com</t>
  </si>
  <si>
    <t>Shiva</t>
  </si>
  <si>
    <t>Parvathy Abhilash</t>
  </si>
  <si>
    <t>paru25@gmail.com</t>
  </si>
  <si>
    <t>Sharan Abhilash</t>
  </si>
  <si>
    <t>Paid date</t>
  </si>
  <si>
    <t>Cancel</t>
  </si>
  <si>
    <t>Sanika Naik</t>
  </si>
  <si>
    <t>pradnya.khadilkar@gmail.com</t>
  </si>
  <si>
    <t>Pradnya Naik</t>
  </si>
  <si>
    <t>Mandar Naik</t>
  </si>
  <si>
    <t>Sashmita Panda</t>
  </si>
  <si>
    <t>sashmita.p@gmail.com</t>
  </si>
  <si>
    <t>The Dazzling Divas</t>
  </si>
  <si>
    <t xml:space="preserve">Amit Kumar Sarangi </t>
  </si>
  <si>
    <t>amitkumarsarangi@gmail.com</t>
  </si>
  <si>
    <t xml:space="preserve">Jogani Tanisha </t>
  </si>
  <si>
    <t>rachu19802050@yahoo.co.uk</t>
  </si>
  <si>
    <t>Dance Ojima Dance-DOD</t>
  </si>
  <si>
    <t>Jogani Rachana</t>
  </si>
  <si>
    <t>Jogani Miten</t>
  </si>
  <si>
    <t>Pranavi Sri  Thalluri</t>
  </si>
  <si>
    <t>sreerangashyam@gmail.com</t>
  </si>
  <si>
    <t>Shyam Thalluri</t>
  </si>
  <si>
    <t>Renu Thalluri</t>
  </si>
  <si>
    <t>Gundecha Palak</t>
  </si>
  <si>
    <t>gundechapreeti@gmail.com</t>
  </si>
  <si>
    <t>Gundecha Parth</t>
  </si>
  <si>
    <t>Gundecha Preeti</t>
  </si>
  <si>
    <t>Gundecha Amit</t>
  </si>
  <si>
    <t>Menon Sahasra</t>
  </si>
  <si>
    <t>sandhya.jan@gmail.com</t>
  </si>
  <si>
    <t xml:space="preserve">Jan Sandhya </t>
  </si>
  <si>
    <t>Performer / Coordinator</t>
  </si>
  <si>
    <t>Singh prisha</t>
  </si>
  <si>
    <t>priyanka.bapna.singh@gmail.com</t>
  </si>
  <si>
    <t>Singh priyanka</t>
  </si>
  <si>
    <t xml:space="preserve">Paul Mrinmoiye </t>
  </si>
  <si>
    <t>polruma@gmail.com</t>
  </si>
  <si>
    <t>Paul Shiddharto</t>
  </si>
  <si>
    <t xml:space="preserve">Paul Ruma Rani </t>
  </si>
  <si>
    <t xml:space="preserve">Kailash Malkani </t>
  </si>
  <si>
    <t>malkani_ca@yahoo.co.in</t>
  </si>
  <si>
    <t xml:space="preserve">Kaushalya K Malkani </t>
  </si>
  <si>
    <t>SRIYA JAYESH</t>
  </si>
  <si>
    <t>dhanyajayesh01@gmail.com</t>
  </si>
  <si>
    <t>Twinkle Toes</t>
  </si>
  <si>
    <t xml:space="preserve">Navya Malkani </t>
  </si>
  <si>
    <t>MEGHNA SANTHOSH</t>
  </si>
  <si>
    <t>ADITI</t>
  </si>
  <si>
    <t>SHIKHA.P.PILLAI</t>
  </si>
  <si>
    <t>sangu.prasanth@gmail.com</t>
  </si>
  <si>
    <t>SANA MARY JOE</t>
  </si>
  <si>
    <t>Deepti Patil</t>
  </si>
  <si>
    <t>deepti.patil9@gmail.com</t>
  </si>
  <si>
    <t>Nitin Patil</t>
  </si>
  <si>
    <t>ndpatil9@gmail.com</t>
  </si>
  <si>
    <t>Vaidehi Patil</t>
  </si>
  <si>
    <t>Sanay  Patil</t>
  </si>
  <si>
    <t>Deshpande Priya</t>
  </si>
  <si>
    <t>bhalerao.deshpande@gmail.com</t>
  </si>
  <si>
    <t>Deshpande Laasya</t>
  </si>
  <si>
    <t>Deshpande Abhishek</t>
  </si>
  <si>
    <t>DHANYA JAYESH</t>
  </si>
  <si>
    <t>MACIN JOE</t>
  </si>
  <si>
    <t>MANJU SANTOSH</t>
  </si>
  <si>
    <t>SAHAJ</t>
  </si>
  <si>
    <t>dhanyajayesh@gmail.com</t>
  </si>
  <si>
    <t>Resmi Joby</t>
  </si>
  <si>
    <t>resmijoby@gmail.com</t>
  </si>
  <si>
    <t>Thalam - Brahmari School Of Dance</t>
  </si>
  <si>
    <t>Pooja Abhilash</t>
  </si>
  <si>
    <t>Abhilash Radhakrishnan</t>
  </si>
  <si>
    <t>SIDDHI</t>
  </si>
  <si>
    <t>Nigi Tiby</t>
  </si>
  <si>
    <t>nigigibson@gmail.com</t>
  </si>
  <si>
    <t>Samanvita kanchinadam</t>
  </si>
  <si>
    <t>srilu.sammu@gmail.com</t>
  </si>
  <si>
    <t>Thapasya - Brahmari School Of Dance</t>
  </si>
  <si>
    <t>Srilakshmi kanchinadam</t>
  </si>
  <si>
    <t>Hemant</t>
  </si>
  <si>
    <t xml:space="preserve">Sangeethaprasanth </t>
  </si>
  <si>
    <t>Venkata ramana kanchinadam</t>
  </si>
  <si>
    <t>Sauhitya kanchinadam</t>
  </si>
  <si>
    <t xml:space="preserve">Sripujitha polisetti </t>
  </si>
  <si>
    <t>kalpanapoojitha@gmail.com</t>
  </si>
  <si>
    <t>Classical Mermaids</t>
  </si>
  <si>
    <t>Jaisakthi chandrakumar</t>
  </si>
  <si>
    <t>jaiambichan@gmail.com</t>
  </si>
  <si>
    <t xml:space="preserve">Kalpana Polisetti </t>
  </si>
  <si>
    <t>Nayak Rajshree</t>
  </si>
  <si>
    <t>rajshreelinu@gmail.com</t>
  </si>
  <si>
    <t>Chandran Chaithanya</t>
  </si>
  <si>
    <t>chaithanyamenon@gmail.com</t>
  </si>
  <si>
    <t>Sparkle Queens</t>
  </si>
  <si>
    <t>macinannphilip@gmail.com</t>
  </si>
  <si>
    <t>sapanapaudel@gmail.com</t>
  </si>
  <si>
    <t>priya.shelar@gmail.com</t>
  </si>
  <si>
    <t xml:space="preserve">JAYAN ASWATHY </t>
  </si>
  <si>
    <t>aswathyjayan9@gmail.com</t>
  </si>
  <si>
    <t>Sameeha</t>
  </si>
  <si>
    <t>snabina@gmail.com</t>
  </si>
  <si>
    <t>Samriddhi</t>
  </si>
  <si>
    <t>Nabina</t>
  </si>
  <si>
    <t>Sugam</t>
  </si>
  <si>
    <t>Ghosh Ranjan</t>
  </si>
  <si>
    <t>ronghosh77@gmail.com</t>
  </si>
  <si>
    <t>The Dazzlers</t>
  </si>
  <si>
    <t>I am father of Arjun Ghosh</t>
  </si>
  <si>
    <t>Ghosh Amrita</t>
  </si>
  <si>
    <t>Mother of Arjun Ghosh</t>
  </si>
  <si>
    <t>Ghosh Anannya</t>
  </si>
  <si>
    <t>Sister of Arjun Ghosh.</t>
  </si>
  <si>
    <t>Ghosh Arjun</t>
  </si>
  <si>
    <t>He will perform at the event.</t>
  </si>
  <si>
    <t>Chaudhary Anindita</t>
  </si>
  <si>
    <t>ashucdri@gmail.com</t>
  </si>
  <si>
    <t>Verma Alka</t>
  </si>
  <si>
    <t>Kumar Ashutosh</t>
  </si>
  <si>
    <t>Nayak Avantika</t>
  </si>
  <si>
    <t>Ragesh Aditi</t>
  </si>
  <si>
    <t>nimithab@gmail.com</t>
  </si>
  <si>
    <t>Dwivedi Anushri</t>
  </si>
  <si>
    <t>pindwi@gmail.com</t>
  </si>
  <si>
    <t>Dwivedi Arindam</t>
  </si>
  <si>
    <t xml:space="preserve">Dwivedi Satakshi </t>
  </si>
  <si>
    <t>Janavika</t>
  </si>
  <si>
    <t>laks_sanj@yahoo.co.in</t>
  </si>
  <si>
    <t>Dubey Kalpnath</t>
  </si>
  <si>
    <t xml:space="preserve">Dubey Mandvi </t>
  </si>
  <si>
    <t>Lakshmi</t>
  </si>
  <si>
    <t>Ayaan Ibrahim</t>
  </si>
  <si>
    <t>aboobacker@gmail.com</t>
  </si>
  <si>
    <t>Little Champions</t>
  </si>
  <si>
    <t xml:space="preserve">Dhiya Aboobacker </t>
  </si>
  <si>
    <t xml:space="preserve">Raseena Aboobacker </t>
  </si>
  <si>
    <t xml:space="preserve">Babu Aboobacker </t>
  </si>
  <si>
    <t>santhosh.sreelakshmi@gmail.com</t>
  </si>
  <si>
    <t>MANJU SANTHOSH</t>
  </si>
  <si>
    <t>PRIYA SHELAR</t>
  </si>
  <si>
    <t>Ghatole Arya</t>
  </si>
  <si>
    <t>ajay.ghatole@gmail.com</t>
  </si>
  <si>
    <t xml:space="preserve">Adhya Ghatole </t>
  </si>
  <si>
    <t>GHATOLE ANURADHA</t>
  </si>
  <si>
    <t>Geethika Laneesh</t>
  </si>
  <si>
    <t>nanisha_a@yahoo.co.in</t>
  </si>
  <si>
    <t>KIRAN PRAVEENA</t>
  </si>
  <si>
    <t>kirrugk@gmail.com</t>
  </si>
  <si>
    <t xml:space="preserve">Amrita Jayaprakash </t>
  </si>
  <si>
    <t>kaniyajayaprakash@gmail.com</t>
  </si>
  <si>
    <t xml:space="preserve">Arya Jayaprakash </t>
  </si>
  <si>
    <t xml:space="preserve">Kaniya Jayaprakash  </t>
  </si>
  <si>
    <t>Snigdha Tunuguntla (performer)</t>
  </si>
  <si>
    <t>sireeshatunuguntla@yahoo.com</t>
  </si>
  <si>
    <t>Sireesha</t>
  </si>
  <si>
    <t>MiniAju</t>
  </si>
  <si>
    <t>miniaju@gmail.com</t>
  </si>
  <si>
    <t>Spoorthi Pyarilal</t>
  </si>
  <si>
    <t>mamatha.pyari@gmail.com</t>
  </si>
  <si>
    <t>Mamatha Pyarilal</t>
  </si>
  <si>
    <t xml:space="preserve">Devika Rajeev </t>
  </si>
  <si>
    <t>tgvini1982@gmail.com</t>
  </si>
  <si>
    <t>Keertana Pusapati</t>
  </si>
  <si>
    <t>sudhadeepika@gmail.com</t>
  </si>
  <si>
    <t xml:space="preserve">Vinitha Rajeev </t>
  </si>
  <si>
    <t>Pusapati Deepika</t>
  </si>
  <si>
    <t>Sanal Sharanyaka</t>
  </si>
  <si>
    <t>lekhasanal@gmail.com</t>
  </si>
  <si>
    <t>Sanal</t>
  </si>
  <si>
    <t>Sanal Satvik</t>
  </si>
  <si>
    <t>Sanal Lekha</t>
  </si>
  <si>
    <t xml:space="preserve">GURRAM KIRANMAIYE </t>
  </si>
  <si>
    <t>Vibhor Singla</t>
  </si>
  <si>
    <t>vibhor.singla@gmail.com</t>
  </si>
  <si>
    <t>Shweta Singla</t>
  </si>
  <si>
    <t>Performer in Tatkar and Coordinator+Relative in DoD</t>
  </si>
  <si>
    <t>Suhani Singla</t>
  </si>
  <si>
    <t>Attarde Nayana</t>
  </si>
  <si>
    <t>attardenayana@gmail.com</t>
  </si>
  <si>
    <t>Attarde Sunil</t>
  </si>
  <si>
    <t>Attarde Stuti</t>
  </si>
  <si>
    <t>Attarde Krisha</t>
  </si>
  <si>
    <t>Jain, Sonali</t>
  </si>
  <si>
    <t>rajeshdjain@gmail.com</t>
  </si>
  <si>
    <t>Jain, Chavi</t>
  </si>
  <si>
    <t>Jain, Rajesh</t>
  </si>
  <si>
    <t>Jewel Tiby</t>
  </si>
  <si>
    <t>Tiby Kuruvila</t>
  </si>
  <si>
    <t>Johaan Tiby</t>
  </si>
  <si>
    <t>Moharana Mousumi</t>
  </si>
  <si>
    <t>mousumi.moharana@gmail.com</t>
  </si>
  <si>
    <t>Maharana Jitendra</t>
  </si>
  <si>
    <t>Naina</t>
  </si>
  <si>
    <t>Maharana Evaan</t>
  </si>
  <si>
    <t>Sahu Sisir</t>
  </si>
  <si>
    <t>Sisirs@hotmail.com</t>
  </si>
  <si>
    <t>Manaswini Sahu</t>
  </si>
  <si>
    <t>Sahu Sadhika</t>
  </si>
  <si>
    <t>Sahu Samiksha</t>
  </si>
  <si>
    <t>Meenakshi Gijo</t>
  </si>
  <si>
    <t>priyagijos@gmail.com</t>
  </si>
  <si>
    <t>Priya Gijo</t>
  </si>
  <si>
    <t>Bhopre Vividha</t>
  </si>
  <si>
    <t>vividha.bhopre@gmail.com</t>
  </si>
  <si>
    <t>Performer in Sparkle Queens</t>
  </si>
  <si>
    <t>Bhopre krishna</t>
  </si>
  <si>
    <t xml:space="preserve">Bhopre Nilesh </t>
  </si>
  <si>
    <t>Kolhe usha</t>
  </si>
  <si>
    <t>vividha.bhopre@gmail.con</t>
  </si>
  <si>
    <t>Prathap Shrida</t>
  </si>
  <si>
    <t>nithi21pn@gmail.com</t>
  </si>
  <si>
    <t>Prathap Nithya</t>
  </si>
  <si>
    <t>Kush verma</t>
  </si>
  <si>
    <t>meenamkumar@hotmail.com</t>
  </si>
  <si>
    <t>Lodha Alka</t>
  </si>
  <si>
    <t>alkalodha2012@gmail.com</t>
  </si>
  <si>
    <t>Okachimachi Group</t>
  </si>
  <si>
    <t>Lodha Ashwin</t>
  </si>
  <si>
    <t xml:space="preserve">Lodha Aakash </t>
  </si>
  <si>
    <t>Lodha arihant</t>
  </si>
  <si>
    <t>Lodha parasmal</t>
  </si>
  <si>
    <t xml:space="preserve">Joshi Riya </t>
  </si>
  <si>
    <t>riyaroyal2005@gmail.com</t>
  </si>
  <si>
    <t xml:space="preserve">Joshi Sabita </t>
  </si>
  <si>
    <t xml:space="preserve">Joshi Riona </t>
  </si>
  <si>
    <t xml:space="preserve">Joshi Ram Bhakta </t>
  </si>
  <si>
    <t>Baid ishita</t>
  </si>
  <si>
    <t>Lodha chandra</t>
  </si>
  <si>
    <t>Agrawal Sonu</t>
  </si>
  <si>
    <t>shalu2nit@yahoo.com</t>
  </si>
  <si>
    <t xml:space="preserve">Nitin Agrawal </t>
  </si>
  <si>
    <t>Bhuvi Agrawal</t>
  </si>
  <si>
    <t>Kanishk Agrawal</t>
  </si>
  <si>
    <t>Sri Ram</t>
  </si>
  <si>
    <t>Ragesh Nimitha</t>
  </si>
  <si>
    <t>Bohara Araddhya</t>
  </si>
  <si>
    <t>boharamanish@yahoo.com</t>
  </si>
  <si>
    <t>Bohara shweta jain</t>
  </si>
  <si>
    <t>Bohara Manish</t>
  </si>
  <si>
    <t xml:space="preserve">Bohara laksh </t>
  </si>
  <si>
    <t>Mahika Radhakrishnan</t>
  </si>
  <si>
    <t>anikpriya@gmail.com</t>
  </si>
  <si>
    <t>Anika Radhakrishnan</t>
  </si>
  <si>
    <t>Radhakrishnan</t>
  </si>
  <si>
    <t>Preetha Radhakrishnan</t>
  </si>
  <si>
    <t xml:space="preserve">Aparna Venugopal </t>
  </si>
  <si>
    <t>srikala112@gmail.con</t>
  </si>
  <si>
    <t>Srikala Shyamsunder</t>
  </si>
  <si>
    <t>srikala112@gmail.com</t>
  </si>
  <si>
    <t>Kogekar Alok</t>
  </si>
  <si>
    <t>aloksan@gmail.com</t>
  </si>
  <si>
    <t>Kogekar Nupura</t>
  </si>
  <si>
    <t>Kogekar Sachi</t>
  </si>
  <si>
    <t xml:space="preserve">Pyara Singh </t>
  </si>
  <si>
    <t>pritam10@yahoo.com</t>
  </si>
  <si>
    <t>Paramjeet Kaur</t>
  </si>
  <si>
    <t xml:space="preserve">Divya Muthukrishnan </t>
  </si>
  <si>
    <t>snmk@yahoo.com</t>
  </si>
  <si>
    <t>Baral Shreya Samiksha</t>
  </si>
  <si>
    <t>anuradha_mhptr@yahoo.co.in</t>
  </si>
  <si>
    <t xml:space="preserve">Brindha Muthukrishnan </t>
  </si>
  <si>
    <t>Muthukrishnan N</t>
  </si>
  <si>
    <t>Baral Anuradha</t>
  </si>
  <si>
    <t>Sivagamisundari sankar</t>
  </si>
  <si>
    <t xml:space="preserve">Bardia Seema </t>
  </si>
  <si>
    <t>uppercrust14@gmail.com</t>
  </si>
  <si>
    <t xml:space="preserve">Hetvi sutaria </t>
  </si>
  <si>
    <t xml:space="preserve">We want 2 kids and 2 adult tickets </t>
  </si>
  <si>
    <t>Pachchigar Poonam Viraj</t>
  </si>
  <si>
    <t>Viga2000@gmail.com</t>
  </si>
  <si>
    <t>Pachchigar Viraj Nareshbhai</t>
  </si>
  <si>
    <t>Pachchigar Parin Viraj</t>
  </si>
  <si>
    <t xml:space="preserve">Ghatole Ajay </t>
  </si>
  <si>
    <t xml:space="preserve">Ananya Kothari </t>
  </si>
  <si>
    <t>nishakotharijain@yahoo.com</t>
  </si>
  <si>
    <t>Mali Bhagyashree</t>
  </si>
  <si>
    <t>bhagyashreemali2005@gmail.com</t>
  </si>
  <si>
    <t xml:space="preserve">Mali Tanisha </t>
  </si>
  <si>
    <t>Vinod Devika</t>
  </si>
  <si>
    <t>lekshmi.vinod@gmail.com</t>
  </si>
  <si>
    <t xml:space="preserve">Vinod Lekshmi </t>
  </si>
  <si>
    <t>Kiran Devi</t>
  </si>
  <si>
    <t>kirankumarmr@gmail.com</t>
  </si>
  <si>
    <t>C\O Reshmi Joby</t>
  </si>
  <si>
    <t>KUMAR KIRAN</t>
  </si>
  <si>
    <t>Father of Devi Kiran Performing for Classical Mermaids@ Reshmi Joby</t>
  </si>
  <si>
    <t>Kiran Deepa</t>
  </si>
  <si>
    <t>kirankumarmr@gmai.com</t>
  </si>
  <si>
    <t>Mother of Devi Kiran Performing for Classical Mermaids@ Reshmi Joby</t>
  </si>
  <si>
    <t>Seeejith Ellath</t>
  </si>
  <si>
    <t>Nivedita S Menon</t>
  </si>
  <si>
    <t>Siksha jain</t>
  </si>
  <si>
    <t>nancy.star.207@gmail.com</t>
  </si>
  <si>
    <t>Manish jain</t>
  </si>
  <si>
    <t>nancy.star.2007@gmail.com</t>
  </si>
  <si>
    <t>Ranjani</t>
  </si>
  <si>
    <t>Ranjani1002@gmail.com</t>
  </si>
  <si>
    <t>Nrita Natya Dance Academy</t>
  </si>
  <si>
    <t xml:space="preserve">Deepasreekumar </t>
  </si>
  <si>
    <t>kichus@gmail.com</t>
  </si>
  <si>
    <t>Ramya Raghu</t>
  </si>
  <si>
    <t>japan.ramya@gmail.com</t>
  </si>
  <si>
    <t>Sharma Hazel</t>
  </si>
  <si>
    <t>gash4lured@gmail.com</t>
  </si>
  <si>
    <t>Nidhi</t>
  </si>
  <si>
    <t>nidhi.aashri@gmail.com</t>
  </si>
  <si>
    <t>Sharma Gaurav</t>
  </si>
  <si>
    <t xml:space="preserve">Rekha bafna </t>
  </si>
  <si>
    <t>Karthika</t>
  </si>
  <si>
    <t>karthikapvr@gmail.com</t>
  </si>
  <si>
    <t xml:space="preserve">Mali Shruti </t>
  </si>
  <si>
    <t>Bhole vidya</t>
  </si>
  <si>
    <t>vidyakolhe@gmail.com</t>
  </si>
  <si>
    <t>Toshani Chatterjee</t>
  </si>
  <si>
    <t>moupia.m@gmail.com</t>
  </si>
  <si>
    <t xml:space="preserve">Bhole Harivansh </t>
  </si>
  <si>
    <t>Bhole Prashant</t>
  </si>
  <si>
    <t>Bhole galu</t>
  </si>
  <si>
    <t>Bhole sudha</t>
  </si>
  <si>
    <t>Seethal Raj</t>
  </si>
  <si>
    <t>seethalraj892014@gmail.com</t>
  </si>
  <si>
    <t>Ajeeth Kumar K</t>
  </si>
  <si>
    <t xml:space="preserve">SathishVidhya Shrijaan </t>
  </si>
  <si>
    <t>jvnr10dec@gmail.com</t>
  </si>
  <si>
    <t>Tarun Mohta</t>
  </si>
  <si>
    <t>tarun.mohta@gmail.com</t>
  </si>
  <si>
    <t>Pratima Mohta</t>
  </si>
  <si>
    <t xml:space="preserve">Vinod Devjeeth </t>
  </si>
  <si>
    <t>Advitha Parikipandla</t>
  </si>
  <si>
    <t>priyanka.silivery@gmail.com</t>
  </si>
  <si>
    <t>Priyanka Parikipandla</t>
  </si>
  <si>
    <t>Ajaykumar Parikipandla</t>
  </si>
  <si>
    <t>Srija Reddy</t>
  </si>
  <si>
    <t>salita_r@yahoo.co.in</t>
  </si>
  <si>
    <t>Amol Shelar</t>
  </si>
  <si>
    <t>sarika.pinky84@gmail.com</t>
  </si>
  <si>
    <t>Sarika Shelar</t>
  </si>
  <si>
    <t>Aarushi Shelar</t>
  </si>
  <si>
    <t>Shreyas Reddy</t>
  </si>
  <si>
    <t>Salitha</t>
  </si>
  <si>
    <t>Venkat gandhi</t>
  </si>
  <si>
    <t xml:space="preserve">Seeja Prasad </t>
  </si>
  <si>
    <t>seeja.prasad@yahoo.co.in</t>
  </si>
  <si>
    <t xml:space="preserve">Manjari  Prasad </t>
  </si>
  <si>
    <t xml:space="preserve">Anisha Pillai </t>
  </si>
  <si>
    <t>reshmyb@yahoo.com</t>
  </si>
  <si>
    <t xml:space="preserve">Ambigapriya( Jaisakthi) </t>
  </si>
  <si>
    <t>Sajan Anupa</t>
  </si>
  <si>
    <t>anupaks3@gmail.com</t>
  </si>
  <si>
    <t>Nayikarimbil Sajan</t>
  </si>
  <si>
    <t>anupaks3@gmsil.com</t>
  </si>
  <si>
    <t>Sajan Arav</t>
  </si>
  <si>
    <t>Laneesh</t>
  </si>
  <si>
    <t xml:space="preserve">Saarang </t>
  </si>
  <si>
    <t xml:space="preserve">Suchir Bahuguna </t>
  </si>
  <si>
    <t>bala.shail@gmail.com</t>
  </si>
  <si>
    <t xml:space="preserve">Shubhranshu Bahuguna </t>
  </si>
  <si>
    <t xml:space="preserve">Shailbala Bahuguna </t>
  </si>
  <si>
    <t>Shreyash Shelar</t>
  </si>
  <si>
    <t xml:space="preserve">Harika Allu </t>
  </si>
  <si>
    <t>veenaallu@gmail.com</t>
  </si>
  <si>
    <t xml:space="preserve">Praveena Allu </t>
  </si>
  <si>
    <t xml:space="preserve">Satya Allu </t>
  </si>
  <si>
    <t xml:space="preserve">Ashika Ramesh </t>
  </si>
  <si>
    <t>r4ramesh_kva@yahoo.co.in</t>
  </si>
  <si>
    <t>Ramesh kumar</t>
  </si>
  <si>
    <t>r4ramesh_kva@yahooo.co.in</t>
  </si>
  <si>
    <t xml:space="preserve">Veena Ramesh </t>
  </si>
  <si>
    <t xml:space="preserve">Ameesha Ramesh </t>
  </si>
  <si>
    <t>Krishnanunni K.J</t>
  </si>
  <si>
    <t>krishnanunni121@gnail.com</t>
  </si>
  <si>
    <t>Anirudh Krishnan</t>
  </si>
  <si>
    <t>Aditi Aju</t>
  </si>
  <si>
    <t xml:space="preserve">Vaishnavi polisetti </t>
  </si>
  <si>
    <t xml:space="preserve">Lakshmaiah polisetti </t>
  </si>
  <si>
    <t>Manasvi bardia</t>
  </si>
  <si>
    <t>Rinku sutaria</t>
  </si>
  <si>
    <t>uppercrust14@gamil.com</t>
  </si>
  <si>
    <t>Sushil Goel</t>
  </si>
  <si>
    <t>sushilkumargoel@gmail.com</t>
  </si>
  <si>
    <t xml:space="preserve">Make sure to have a nice function . </t>
  </si>
  <si>
    <t>Rashmi Goel</t>
  </si>
  <si>
    <t xml:space="preserve">Great Job, thanks </t>
  </si>
  <si>
    <t>Ankit Goel</t>
  </si>
  <si>
    <t xml:space="preserve">Looking forward . Thanks </t>
  </si>
  <si>
    <t>Sharmila</t>
  </si>
  <si>
    <t>Dhvani Goel</t>
  </si>
  <si>
    <t>Ours will be the best dance of all !!!Whoopi</t>
  </si>
  <si>
    <t>Lekha Mohta</t>
  </si>
  <si>
    <t>Disha Mohta</t>
  </si>
  <si>
    <t xml:space="preserve">She can do compering if need. </t>
  </si>
  <si>
    <t>khandelwal soham</t>
  </si>
  <si>
    <t>rachana.khandelwal@yahoo.com</t>
  </si>
  <si>
    <t>khandelwal rachana</t>
  </si>
  <si>
    <t>khandelwal rishi</t>
  </si>
  <si>
    <t>khandelwal prakariti</t>
  </si>
  <si>
    <t xml:space="preserve">Nanisha </t>
  </si>
  <si>
    <t>Preeja  Manoj</t>
  </si>
  <si>
    <t>preejanr@hotmail.com</t>
  </si>
  <si>
    <t>Manoj Ramanujam</t>
  </si>
  <si>
    <t>Keertana  Manoj</t>
  </si>
  <si>
    <t>Karthik Manoj</t>
  </si>
  <si>
    <t>Kothari manya</t>
  </si>
  <si>
    <t>Dancing Queens</t>
  </si>
  <si>
    <t xml:space="preserve">Kothari Syna </t>
  </si>
  <si>
    <t>Sameena Adhikari</t>
  </si>
  <si>
    <t>sarusapkota@gmail.com</t>
  </si>
  <si>
    <t>Saraswati Adhikari</t>
  </si>
  <si>
    <t>Surendra Bafna</t>
  </si>
  <si>
    <t>Nisha Kothari</t>
  </si>
  <si>
    <t>Manish Kothari</t>
  </si>
  <si>
    <t>Soumya Halmandge</t>
  </si>
  <si>
    <t>soumyahalmandge005@gmail.com</t>
  </si>
  <si>
    <t>Astha Bhatnagar</t>
  </si>
  <si>
    <t>bhat_y@yahoo.com</t>
  </si>
  <si>
    <t>Amulyaa</t>
  </si>
  <si>
    <t>Aakarsh Bhatnagar</t>
  </si>
  <si>
    <t>bhat_y@yahoo.con</t>
  </si>
  <si>
    <t>Moupia Chattarjee</t>
  </si>
  <si>
    <t>Registered</t>
  </si>
  <si>
    <t>Organizers</t>
  </si>
  <si>
    <t>Anuradha</t>
  </si>
  <si>
    <t>Adults</t>
  </si>
  <si>
    <t>Passes</t>
  </si>
  <si>
    <t>Kids</t>
  </si>
  <si>
    <t>Total</t>
  </si>
  <si>
    <t>Total count</t>
  </si>
  <si>
    <t>Reg ID</t>
  </si>
  <si>
    <t>Reg Date</t>
  </si>
  <si>
    <t>Type</t>
  </si>
  <si>
    <t>Last Name</t>
  </si>
  <si>
    <t>First Name</t>
  </si>
  <si>
    <t>Attendees</t>
  </si>
  <si>
    <t xml:space="preserve"> </t>
  </si>
  <si>
    <t>Address</t>
  </si>
  <si>
    <t>City</t>
  </si>
  <si>
    <t>State</t>
  </si>
  <si>
    <t>Zip</t>
  </si>
  <si>
    <t>Phone</t>
  </si>
  <si>
    <t>Co Name</t>
  </si>
  <si>
    <t>Co Address</t>
  </si>
  <si>
    <t>Co City</t>
  </si>
  <si>
    <t>Co State/Prov</t>
  </si>
  <si>
    <t>Co Postal</t>
  </si>
  <si>
    <t>Cnt</t>
  </si>
  <si>
    <t>Amt</t>
  </si>
  <si>
    <t>Tickets</t>
  </si>
  <si>
    <t>In Touch with</t>
  </si>
  <si>
    <t>Paid Date</t>
  </si>
  <si>
    <t>Balance</t>
  </si>
  <si>
    <t>Mail</t>
  </si>
  <si>
    <t>Payment due date</t>
  </si>
  <si>
    <t>Pay. Conf Mail</t>
  </si>
  <si>
    <t>Issued Ticket Nos.</t>
  </si>
  <si>
    <t>Comments</t>
  </si>
  <si>
    <t>RGLR</t>
  </si>
  <si>
    <t>h</t>
  </si>
  <si>
    <t xml:space="preserve">h h, n n, </t>
  </si>
  <si>
    <t>08012345678</t>
  </si>
  <si>
    <t>X</t>
  </si>
  <si>
    <t>Dhariwal</t>
  </si>
  <si>
    <t>Nitigya</t>
  </si>
  <si>
    <t>Nitigya Dhariwal, DEEPSHIKHA  KHANDELWAL, ADRIT JAIN, KANIKA  MITRA,</t>
  </si>
  <si>
    <t>nitigyadhariwal1990@gmail.com</t>
  </si>
  <si>
    <t>Tokyo</t>
  </si>
  <si>
    <t>9060459822</t>
  </si>
  <si>
    <t>|* 0 REG-Adult JPY 2300.00 *||* 0 REG-Child ( 4-11 Yrs ) JPY 1200.00 *|</t>
  </si>
  <si>
    <t>×</t>
  </si>
  <si>
    <t xml:space="preserve">Goel 10/27 - Cancelled </t>
  </si>
  <si>
    <t>Swami</t>
  </si>
  <si>
    <t>Prabhakaran</t>
  </si>
  <si>
    <t>Prabhakaran Swami, Malar Prabhakar, Rithwik Prabhakar,</t>
  </si>
  <si>
    <t>praba_rs@yahoo.com</t>
  </si>
  <si>
    <t>Ojima</t>
  </si>
  <si>
    <t>080 6536 6677</t>
  </si>
  <si>
    <t>|* 3 REG-Adult JPY 2300.00 *||* 0 REG-Child ( 4-11 Yrs ) JPY 1200.00 *|</t>
  </si>
  <si>
    <t>Prabhakar</t>
  </si>
  <si>
    <t>○</t>
  </si>
  <si>
    <t>Dhakshinamoorthy</t>
  </si>
  <si>
    <t>Natarajan</t>
  </si>
  <si>
    <t>Natarajan Dhakshinamoorthy, Jayanthi Natarajan, Manav Natarajan,</t>
  </si>
  <si>
    <t>nataraj_dhakshina@yahoo.com</t>
  </si>
  <si>
    <t>8054813075</t>
  </si>
  <si>
    <t>Desai</t>
  </si>
  <si>
    <t>Naren</t>
  </si>
  <si>
    <t>Naren Desai, Anupama Desai, Bhairavi Desai, Ved Desai,</t>
  </si>
  <si>
    <t>desainaren@gmail.com</t>
  </si>
  <si>
    <t>Nishi-Kasai</t>
  </si>
  <si>
    <t>8066842004</t>
  </si>
  <si>
    <t>|* 3 REG-Adult JPY 2300.00 *||* 1 REG-Child ( 4-11 Yrs ) JPY 1200.00 *|</t>
  </si>
  <si>
    <t>Narendra</t>
  </si>
  <si>
    <t>Eswari</t>
  </si>
  <si>
    <t>Mohana</t>
  </si>
  <si>
    <t>Mohana  Eswari, Bala  Murugan, Umika B, Uthvaeka  B,</t>
  </si>
  <si>
    <t>Webarahana@gmail.com</t>
  </si>
  <si>
    <t>Nishiojima</t>
  </si>
  <si>
    <t>8068964694</t>
  </si>
  <si>
    <t>Goel - WhatsApp</t>
  </si>
  <si>
    <t>Patil</t>
  </si>
  <si>
    <t>Smithin</t>
  </si>
  <si>
    <t>Smithin Patil, Kavita Patil, Dhvani Patil,</t>
  </si>
  <si>
    <t>smithin_patil@yahoo.com</t>
  </si>
  <si>
    <t>Funabori</t>
  </si>
  <si>
    <t>080-6760-2475</t>
  </si>
  <si>
    <t>WADKE</t>
  </si>
  <si>
    <t>MANDAR</t>
  </si>
  <si>
    <t>MANDAR WADKE,</t>
  </si>
  <si>
    <t>mandar.wadke@gmail.com</t>
  </si>
  <si>
    <t>Inagekaigan</t>
  </si>
  <si>
    <t>8080818784</t>
  </si>
  <si>
    <t>|* 1 REG-Adult JPY 2300.00 *||* 0 REG-Child ( 4-11 Yrs ) JPY 1200.00 *|</t>
  </si>
  <si>
    <t>Sushil</t>
  </si>
  <si>
    <t>DHANDIA</t>
  </si>
  <si>
    <t>AAKASH</t>
  </si>
  <si>
    <t>AAKASH DHANDIA, RUPAL DHANDIA, CHHAYA DHANDIA, BHAVYA DHANDIA, MUSKAN DHANDIA,</t>
  </si>
  <si>
    <t>aakash_dhandia@hotmail.com</t>
  </si>
  <si>
    <t>taito-ku</t>
  </si>
  <si>
    <t>9070125009</t>
  </si>
  <si>
    <t>|* 3 REG-Adult JPY 2300.00 *||* 2 REG-Child ( 4-11 Yrs ) JPY 1200.00 *|</t>
  </si>
  <si>
    <t>Post Office</t>
  </si>
  <si>
    <t>Parkash</t>
  </si>
  <si>
    <t>Satya</t>
  </si>
  <si>
    <t>Satya Parkash, Rajni Devi, Pritish Swami,</t>
  </si>
  <si>
    <t>sp.swami18@gmail.com</t>
  </si>
  <si>
    <t>8011576595</t>
  </si>
  <si>
    <t>Goel 10/30 - Cancelled</t>
  </si>
  <si>
    <t>Ghatage</t>
  </si>
  <si>
    <t>Shailendra</t>
  </si>
  <si>
    <t>Shailendra Ghatage, Susmita Ghatage, Akhilesh Ghatage,</t>
  </si>
  <si>
    <t>shzipsu@yahoo.com</t>
  </si>
  <si>
    <t>9046075756</t>
  </si>
  <si>
    <t>Chodabathula</t>
  </si>
  <si>
    <t>Rajesh</t>
  </si>
  <si>
    <t>Rajesh Chodabathula,</t>
  </si>
  <si>
    <t>leela.rajeshch@gmail.com</t>
  </si>
  <si>
    <t>7028003711</t>
  </si>
  <si>
    <t>Goel - Phone</t>
  </si>
  <si>
    <t>Saggu</t>
  </si>
  <si>
    <t>Bhupendar</t>
  </si>
  <si>
    <t>Family Collection</t>
  </si>
  <si>
    <t>Bhupendar Saggu, Manisha Saggu, Samrudhi Naiku, Arnav Naiku, Samara Saggu,</t>
  </si>
  <si>
    <t>bhupendar.saggu@gmail.com</t>
  </si>
  <si>
    <t>7031946766</t>
  </si>
  <si>
    <t>Yes</t>
  </si>
  <si>
    <t>Meher</t>
  </si>
  <si>
    <t>Varsha</t>
  </si>
  <si>
    <t>Varsha Meher, Sameer Meher, Nabhij Meher,</t>
  </si>
  <si>
    <t>Varsha.meher@gmail.com</t>
  </si>
  <si>
    <t>9098164023</t>
  </si>
  <si>
    <t>Performers Collection</t>
  </si>
  <si>
    <t>|* 2 REG-Adult JPY 2300.00 *||* 1 REG-Child ( 4-11 Yrs ) JPY 1200.00 *|</t>
  </si>
  <si>
    <t>Online Collection</t>
  </si>
  <si>
    <t>Total Amount</t>
  </si>
  <si>
    <t>Kumar</t>
  </si>
  <si>
    <t>Manoj</t>
  </si>
  <si>
    <t>Manoj Kumar,</t>
  </si>
  <si>
    <t>m_bardiya@hotmail.com</t>
  </si>
  <si>
    <t>Okachimachi</t>
  </si>
  <si>
    <t>8041687440</t>
  </si>
  <si>
    <t>Paid to Alka Lodha</t>
  </si>
  <si>
    <t>Manoj Kumar</t>
  </si>
  <si>
    <t>Paresh</t>
  </si>
  <si>
    <t>Amount</t>
  </si>
  <si>
    <t>P</t>
  </si>
  <si>
    <t>Swati</t>
  </si>
  <si>
    <t>Swati P, Pavan S, Abir S,</t>
  </si>
  <si>
    <t>taru3180@gmail.com</t>
  </si>
  <si>
    <t>Fukasawa</t>
  </si>
  <si>
    <t>8033971820</t>
  </si>
  <si>
    <t>Makwana</t>
  </si>
  <si>
    <t>Chintan</t>
  </si>
  <si>
    <t>Chintan Makwana, Ami Makwana,</t>
  </si>
  <si>
    <t>chintan.sagittarius@hotmail.com</t>
  </si>
  <si>
    <t>Daiba</t>
  </si>
  <si>
    <t>8.18043E+11</t>
  </si>
  <si>
    <t xml:space="preserve">Goel 11/1 - Cancelled </t>
  </si>
  <si>
    <t>Malhotra</t>
  </si>
  <si>
    <t>Anchal</t>
  </si>
  <si>
    <t>Anchal Malhotra, Gaurav Malhotra, Vats Malhotra,</t>
  </si>
  <si>
    <t>Anchalmails@gmail.com</t>
  </si>
  <si>
    <t>Kameido</t>
  </si>
  <si>
    <t>8013459835</t>
  </si>
  <si>
    <t>Dhake</t>
  </si>
  <si>
    <t>Digambar</t>
  </si>
  <si>
    <t>Digambar Dhake, Leena Dhake, Urvi  Dhake,</t>
  </si>
  <si>
    <t>dd4restthings@gmail.com</t>
  </si>
  <si>
    <t>8020094391</t>
  </si>
  <si>
    <t>Rashmi Visal</t>
  </si>
  <si>
    <t>Pathak</t>
  </si>
  <si>
    <t>Amit</t>
  </si>
  <si>
    <t>Amit Pathak, Sayali Pathak, Swayam Pathak,</t>
  </si>
  <si>
    <t>amitjpn@yahoo.com</t>
  </si>
  <si>
    <t>9017975538</t>
  </si>
  <si>
    <t xml:space="preserve">Goel - Cancelled 10/31 </t>
  </si>
  <si>
    <t>Chaudhari</t>
  </si>
  <si>
    <t>Anjali</t>
  </si>
  <si>
    <t>Anjali Chaudhari , Ashutosh  Chaudhari , Kimaya  Chaudhari , Rushil  Chaudhari ,</t>
  </si>
  <si>
    <t>anjalij4@gmail.com</t>
  </si>
  <si>
    <t>Nishikasai</t>
  </si>
  <si>
    <t>8066867625</t>
  </si>
  <si>
    <t>|* 2 REG-Adult JPY 2300.00 *||* 2 REG-Child ( 4-11 Yrs ) JPY 1200.00 *|</t>
  </si>
  <si>
    <t>Anu</t>
  </si>
  <si>
    <t>Goel - Will pay to Anu, Amol</t>
  </si>
  <si>
    <t>Hogade</t>
  </si>
  <si>
    <t>Amrut</t>
  </si>
  <si>
    <t>Amrut Hogade, Ashwini Hogade, Aarya Hogade,</t>
  </si>
  <si>
    <t>ashwini_agey@yahoo.co.in</t>
  </si>
  <si>
    <t>Kiba</t>
  </si>
  <si>
    <t>8043211228</t>
  </si>
  <si>
    <t>Bapat</t>
  </si>
  <si>
    <t>Rahul</t>
  </si>
  <si>
    <t>Rahul Bapat, Ashwini Bapat, Shaunak Bapat, Shailee Bapat,</t>
  </si>
  <si>
    <t>ashrahulbapat@gmail.com</t>
  </si>
  <si>
    <t>Naka Kasai</t>
  </si>
  <si>
    <t>8034488333</t>
  </si>
  <si>
    <t>Sponsor</t>
  </si>
  <si>
    <t>Agrawal</t>
  </si>
  <si>
    <t>Priyanka</t>
  </si>
  <si>
    <t>Priyanka Agrawal,</t>
  </si>
  <si>
    <t>Priyanka_tbg@yahoo.co.in</t>
  </si>
  <si>
    <t>Higashi ojima</t>
  </si>
  <si>
    <t>7026838516</t>
  </si>
  <si>
    <t>purwaha</t>
  </si>
  <si>
    <t>hema</t>
  </si>
  <si>
    <t>hema purwaha, anuja sharma,</t>
  </si>
  <si>
    <t>hema@etours.jp</t>
  </si>
  <si>
    <t>kawasaki</t>
  </si>
  <si>
    <t>080-3574-8050</t>
  </si>
  <si>
    <t>Modi</t>
  </si>
  <si>
    <t>Meera</t>
  </si>
  <si>
    <t>Meera Modi, Alap Modi, Malhar Modi, Kavya Modi,</t>
  </si>
  <si>
    <t>mm.modimeera@gmail.com</t>
  </si>
  <si>
    <t>Nishi kasai</t>
  </si>
  <si>
    <t>8.17028E+11</t>
  </si>
  <si>
    <t>Preeja</t>
  </si>
  <si>
    <t>Preeja  Manoj, Manoj Ramanujam, Keertana  Manoj, Karthik Manoj,</t>
  </si>
  <si>
    <t>8059386601</t>
  </si>
  <si>
    <t>Tarun</t>
  </si>
  <si>
    <t>kindly move Keertana to performer of Classical Mermaid (Resmi Joby's group) and rest of the three tickets to relative of the performer)</t>
  </si>
  <si>
    <t>Nandy</t>
  </si>
  <si>
    <t>Subarna</t>
  </si>
  <si>
    <t>Subarna  Nandy , Kumar  Nandy ,</t>
  </si>
  <si>
    <t>rimanandy@yahoo.com</t>
  </si>
  <si>
    <t>Kita Akabane</t>
  </si>
  <si>
    <t>8065172777</t>
  </si>
  <si>
    <t>|* 2 REG-Adult JPY 2300.00 *||* 0 REG-Child ( 4-11 Yrs ) JPY 1200.00 *|</t>
  </si>
  <si>
    <t>Talati</t>
  </si>
  <si>
    <t>Rajesh Talati, Damini Talati,</t>
  </si>
  <si>
    <t>Rotalati@yahoo.con</t>
  </si>
  <si>
    <t>8035300556</t>
  </si>
  <si>
    <t>Pratima</t>
  </si>
  <si>
    <t>Prabhu</t>
  </si>
  <si>
    <t>Renu</t>
  </si>
  <si>
    <t>Renu Prabhu , Manjunath  Prabhu , Ishi Prabhu ,</t>
  </si>
  <si>
    <t>renuzen07@gmail.com</t>
  </si>
  <si>
    <t>840666526</t>
  </si>
  <si>
    <t>Pramod</t>
  </si>
  <si>
    <t>By Manoj</t>
  </si>
  <si>
    <t>Pari</t>
  </si>
  <si>
    <t>Manoj Bardia,</t>
  </si>
  <si>
    <t>|* 0 REG-Adult JPY 2300.00 *||* 1 REG-Child ( 4-11 Yrs ) JPY 1200.00 *|</t>
  </si>
  <si>
    <t>Sunil</t>
  </si>
  <si>
    <t>Budhiraja</t>
  </si>
  <si>
    <t>Mohit</t>
  </si>
  <si>
    <t>Mohit Budhiraja, Yuki Watanabe, Suresh Chander, Krishna Devi,</t>
  </si>
  <si>
    <t>er.mohit.budhiraja@gmail.com</t>
  </si>
  <si>
    <t>Tamagawa</t>
  </si>
  <si>
    <t>8032191717</t>
  </si>
  <si>
    <t>|* 4 REG-Adult JPY 2300.00 *||* 0 REG-Child ( 4-11 Yrs ) JPY 1200.00 *|</t>
  </si>
  <si>
    <t>Asokan</t>
  </si>
  <si>
    <t>Vinod</t>
  </si>
  <si>
    <t>Vinod Asokan,</t>
  </si>
  <si>
    <t>Lekshmi.vinod@gmail.com</t>
  </si>
  <si>
    <t>7028023154</t>
  </si>
  <si>
    <t>osumi</t>
  </si>
  <si>
    <t>kayo</t>
  </si>
  <si>
    <t>kayo osumi,</t>
  </si>
  <si>
    <t>kayoreena920@gmail.com</t>
  </si>
  <si>
    <t>Tsunashima</t>
  </si>
  <si>
    <t>5036958770</t>
  </si>
  <si>
    <t>Bangar</t>
  </si>
  <si>
    <t>Rupesh</t>
  </si>
  <si>
    <t>Rupesh Bangar,</t>
  </si>
  <si>
    <t>rupesh0000@gmail.com</t>
  </si>
  <si>
    <t>Chiba</t>
  </si>
  <si>
    <t>=+91 7208773384</t>
  </si>
  <si>
    <t>Singh</t>
  </si>
  <si>
    <t>Pritam</t>
  </si>
  <si>
    <t>Pritam Singh ,</t>
  </si>
  <si>
    <t>Pritam10@yahoo.com</t>
  </si>
  <si>
    <t>080 3353 8785</t>
  </si>
  <si>
    <t>Moudgil</t>
  </si>
  <si>
    <t>Anurag</t>
  </si>
  <si>
    <t>Anurag Moudgil,</t>
  </si>
  <si>
    <t>anurag.moudgil@gmail.com</t>
  </si>
  <si>
    <t>9035014065</t>
  </si>
  <si>
    <t>Malar</t>
  </si>
  <si>
    <t>Aggarwal</t>
  </si>
  <si>
    <t>Gopal</t>
  </si>
  <si>
    <t>Gopal Aggarwal,</t>
  </si>
  <si>
    <t>gopalkriagg@gmail.com</t>
  </si>
  <si>
    <t>Baraki Nakayama</t>
  </si>
  <si>
    <t>9067152609</t>
  </si>
  <si>
    <t>Jayanthi</t>
  </si>
  <si>
    <t>Santosh</t>
  </si>
  <si>
    <t>Kavita</t>
  </si>
  <si>
    <t>Sathe</t>
  </si>
  <si>
    <t>Counter</t>
  </si>
  <si>
    <t>Grand Total</t>
  </si>
  <si>
    <t>Expected payment</t>
  </si>
  <si>
    <t>Sponsor Name</t>
  </si>
  <si>
    <t>Contact last name</t>
  </si>
  <si>
    <t>Contact first name</t>
  </si>
  <si>
    <t>Children</t>
  </si>
  <si>
    <t>Contact first and last name will be used to address email. 
In the attendees field enter the all the attendees seperated by comma (Enter the contact name again if he/she is attending)
Digital tickets of all the attendees will be sent at attachment to the email entered
Enter the number of adults and kids....this is used for ordering food.</t>
  </si>
  <si>
    <t>Toyota Home</t>
  </si>
  <si>
    <t>eTour</t>
  </si>
  <si>
    <t>Purwaha</t>
  </si>
  <si>
    <t>Hema</t>
  </si>
  <si>
    <t>Hema Purwaha,Anuja sharma, Rakesh, Kumar,</t>
  </si>
  <si>
    <t>IJ Catalyst</t>
  </si>
  <si>
    <t>Jyutaku</t>
  </si>
  <si>
    <t>MBS</t>
  </si>
  <si>
    <t>Naren Desai, Anupama Desai,</t>
  </si>
  <si>
    <t>Sample</t>
  </si>
  <si>
    <t>tttt home</t>
  </si>
  <si>
    <t>Ticket Count</t>
  </si>
  <si>
    <t>Sandhya Jan</t>
  </si>
  <si>
    <t>Thalam - Brahmari School of Dance</t>
  </si>
  <si>
    <t>DHANYA.K.G</t>
  </si>
  <si>
    <t>SHIVA</t>
  </si>
  <si>
    <t>Preetha</t>
  </si>
  <si>
    <t>Please confirm with Preetha / as per Reshmi Jobi</t>
  </si>
  <si>
    <t>TWINKLE TOES</t>
  </si>
  <si>
    <t>Deepasreekumar</t>
  </si>
  <si>
    <t>Classical mermaids</t>
  </si>
  <si>
    <t>Vividha Bhopre</t>
  </si>
  <si>
    <t>Nrita natya dance academy</t>
  </si>
  <si>
    <t>Alka lodha</t>
  </si>
  <si>
    <t>Little champions</t>
  </si>
  <si>
    <t>Nayana Attarde</t>
  </si>
  <si>
    <t>Okachimachi group</t>
  </si>
  <si>
    <t>Amita Deshpande</t>
  </si>
  <si>
    <t>ROCKSTAR DIVAS</t>
  </si>
  <si>
    <t>Vidya Bhole</t>
  </si>
  <si>
    <t>Blooming flowers</t>
  </si>
  <si>
    <t>Mousumi Moharana</t>
  </si>
  <si>
    <t>Priya Deshpande</t>
  </si>
  <si>
    <t>OIOC</t>
  </si>
  <si>
    <t>Actual registered</t>
  </si>
  <si>
    <t xml:space="preserve"># conveyed to OIOC </t>
  </si>
  <si>
    <t>Yet to Register</t>
  </si>
  <si>
    <t>Dance Ojima Dance-DoD</t>
  </si>
  <si>
    <t>Rekha Bafna</t>
  </si>
  <si>
    <t xml:space="preserve">Payment as Adult </t>
  </si>
  <si>
    <t>Sub Total</t>
  </si>
  <si>
    <t>Pass</t>
  </si>
  <si>
    <t>Got one more payment for Adult, but not registered</t>
  </si>
  <si>
    <t>Cost</t>
  </si>
  <si>
    <t>Performance Name</t>
  </si>
  <si>
    <t>Sr no</t>
  </si>
  <si>
    <t>Mail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</si>
</sst>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yyyy/m/d"/>
    <numFmt numFmtId="166" formatCode="m&quot;/&quot;d"/>
    <numFmt numFmtId="167" formatCode="m/d/yyyy h:mm"/>
    <numFmt numFmtId="168" formatCode="m/d"/>
  </numFmts>
  <fonts count="26">
    <font>
      <sz val="10.0"/>
      <color rgb="FF000000"/>
      <name val="Arial"/>
    </font>
    <font/>
    <font>
      <b/>
      <color rgb="FFFFFFFF"/>
      <name val="Arial"/>
    </font>
    <font>
      <b/>
      <name val="Arial"/>
    </font>
    <font>
      <name val="Arial"/>
    </font>
    <font>
      <strike/>
    </font>
    <font>
      <sz val="11.0"/>
      <color rgb="FF000000"/>
      <name val="Calibri"/>
    </font>
    <font>
      <sz val="12.0"/>
      <color rgb="FF000000"/>
      <name val="Calibri"/>
    </font>
    <font>
      <color rgb="FF000000"/>
      <name val="Arial"/>
    </font>
    <font>
      <sz val="14.0"/>
    </font>
    <font>
      <color rgb="FF000000"/>
    </font>
    <font>
      <color rgb="FFFF0000"/>
    </font>
    <font>
      <sz val="11.0"/>
      <name val="Calibri"/>
    </font>
    <font>
      <strike/>
      <color rgb="FFB7B7B7"/>
    </font>
    <font>
      <strike/>
      <color rgb="FFB7B7B7"/>
      <name val="Arial"/>
    </font>
    <font>
      <sz val="14.0"/>
      <color rgb="FF000000"/>
    </font>
    <font>
      <strike/>
      <sz val="11.0"/>
      <color rgb="FF000000"/>
      <name val="Calibri"/>
    </font>
    <font>
      <sz val="14.0"/>
      <color rgb="FFFF0000"/>
    </font>
    <font>
      <sz val="11.0"/>
      <color rgb="FFFFFFFF"/>
      <name val="Calibri"/>
    </font>
    <font>
      <b/>
    </font>
    <font>
      <sz val="11.0"/>
      <color rgb="FFFF0000"/>
      <name val="Calibri"/>
    </font>
    <font>
      <color rgb="FFFFF2CC"/>
    </font>
    <font>
      <b/>
      <color rgb="FFFF0000"/>
      <name val="Arial"/>
    </font>
    <font>
      <b/>
      <color rgb="FFFF0000"/>
    </font>
    <font>
      <color rgb="FFFF0000"/>
      <name val="Arial"/>
    </font>
    <font>
      <color rgb="FFFFFFFF"/>
    </font>
  </fonts>
  <fills count="2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rgb="FF8DB3E2"/>
        <bgColor rgb="FF8DB3E2"/>
      </patternFill>
    </fill>
    <fill>
      <patternFill patternType="solid">
        <fgColor rgb="FFE5B8B7"/>
        <bgColor rgb="FFE5B8B7"/>
      </patternFill>
    </fill>
    <fill>
      <patternFill patternType="solid">
        <fgColor rgb="FFFFD966"/>
        <bgColor rgb="FFFFD966"/>
      </patternFill>
    </fill>
    <fill>
      <patternFill patternType="solid">
        <fgColor rgb="FFFABF8F"/>
        <bgColor rgb="FFFABF8F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DBDBD"/>
        <bgColor rgb="FFBDBDBD"/>
      </patternFill>
    </fill>
    <fill>
      <patternFill patternType="solid">
        <fgColor rgb="FFB4A7D6"/>
        <bgColor rgb="FFB4A7D6"/>
      </patternFill>
    </fill>
    <fill>
      <patternFill patternType="solid">
        <fgColor rgb="FF244061"/>
        <bgColor rgb="FF244061"/>
      </patternFill>
    </fill>
    <fill>
      <patternFill patternType="solid">
        <fgColor rgb="FF351C75"/>
        <bgColor rgb="FF351C75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top style="thin">
        <color rgb="FFFFF2CC"/>
      </top>
      <bottom style="thin">
        <color rgb="FFFFF2CC"/>
      </bottom>
    </border>
    <border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FFF2CC"/>
      </right>
      <top style="thin">
        <color rgb="FFFFF2CC"/>
      </top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0" fillId="0" fontId="1" numFmtId="0" xfId="0" applyFont="1"/>
    <xf borderId="4" fillId="0" fontId="4" numFmtId="0" xfId="0" applyAlignment="1" applyBorder="1" applyFont="1">
      <alignment readingOrder="0" vertical="bottom"/>
    </xf>
    <xf borderId="4" fillId="0" fontId="4" numFmtId="165" xfId="0" applyAlignment="1" applyBorder="1" applyFont="1" applyNumberFormat="1">
      <alignment readingOrder="0" vertical="bottom"/>
    </xf>
    <xf borderId="3" fillId="0" fontId="4" numFmtId="0" xfId="0" applyAlignment="1" applyBorder="1" applyFont="1">
      <alignment vertical="bottom"/>
    </xf>
    <xf borderId="0" fillId="0" fontId="5" numFmtId="0" xfId="0" applyFont="1"/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1" fillId="0" fontId="6" numFmtId="0" xfId="0" applyAlignment="1" applyBorder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1" fillId="0" fontId="6" numFmtId="0" xfId="0" applyAlignment="1" applyBorder="1" applyFont="1">
      <alignment shrinkToFit="0" wrapText="0"/>
    </xf>
    <xf borderId="1" fillId="4" fontId="6" numFmtId="0" xfId="0" applyAlignment="1" applyBorder="1" applyFill="1" applyFont="1">
      <alignment shrinkToFit="0" wrapText="0"/>
    </xf>
    <xf borderId="1" fillId="5" fontId="6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left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 shrinkToFit="0" vertical="center" wrapText="1"/>
    </xf>
    <xf borderId="1" fillId="6" fontId="6" numFmtId="0" xfId="0" applyAlignment="1" applyBorder="1" applyFill="1" applyFont="1">
      <alignment shrinkToFit="0" wrapText="0"/>
    </xf>
    <xf borderId="1" fillId="6" fontId="6" numFmtId="166" xfId="0" applyAlignment="1" applyBorder="1" applyFont="1" applyNumberFormat="1">
      <alignment shrinkToFit="0" wrapText="0"/>
    </xf>
    <xf borderId="1" fillId="6" fontId="6" numFmtId="0" xfId="0" applyAlignment="1" applyBorder="1" applyFont="1">
      <alignment horizontal="center" shrinkToFit="0" wrapText="0"/>
    </xf>
    <xf borderId="1" fillId="6" fontId="6" numFmtId="49" xfId="0" applyAlignment="1" applyBorder="1" applyFont="1" applyNumberFormat="1">
      <alignment shrinkToFit="0" wrapText="0"/>
    </xf>
    <xf borderId="1" fillId="6" fontId="6" numFmtId="0" xfId="0" applyAlignment="1" applyBorder="1" applyFont="1">
      <alignment readingOrder="0" shrinkToFit="0" wrapText="0"/>
    </xf>
    <xf borderId="1" fillId="6" fontId="7" numFmtId="0" xfId="0" applyAlignment="1" applyBorder="1" applyFont="1">
      <alignment horizontal="center" readingOrder="0" shrinkToFit="0" wrapText="0"/>
    </xf>
    <xf borderId="0" fillId="0" fontId="6" numFmtId="1" xfId="0" applyAlignment="1" applyFont="1" applyNumberFormat="1">
      <alignment shrinkToFit="0" wrapText="0"/>
    </xf>
    <xf borderId="1" fillId="0" fontId="1" numFmtId="167" xfId="0" applyAlignment="1" applyBorder="1" applyFont="1" applyNumberFormat="1">
      <alignment readingOrder="0"/>
    </xf>
    <xf borderId="1" fillId="0" fontId="1" numFmtId="0" xfId="0" applyBorder="1" applyFont="1"/>
    <xf borderId="0" fillId="7" fontId="6" numFmtId="0" xfId="0" applyAlignment="1" applyFill="1" applyFont="1">
      <alignment horizontal="left" readingOrder="0"/>
    </xf>
    <xf borderId="1" fillId="0" fontId="6" numFmtId="49" xfId="0" applyAlignment="1" applyBorder="1" applyFont="1" applyNumberFormat="1">
      <alignment readingOrder="0" shrinkToFit="0" vertical="bottom" wrapText="0"/>
    </xf>
    <xf borderId="0" fillId="7" fontId="8" numFmtId="0" xfId="0" applyAlignment="1" applyFont="1">
      <alignment horizontal="left"/>
    </xf>
    <xf borderId="1" fillId="0" fontId="1" numFmtId="49" xfId="0" applyBorder="1" applyFont="1" applyNumberFormat="1"/>
    <xf borderId="0" fillId="0" fontId="4" numFmtId="0" xfId="0" applyAlignment="1" applyFont="1">
      <alignment readingOrder="0" vertical="bottom"/>
    </xf>
    <xf borderId="1" fillId="0" fontId="1" numFmtId="168" xfId="0" applyAlignment="1" applyBorder="1" applyFont="1" applyNumberFormat="1">
      <alignment readingOrder="0"/>
    </xf>
    <xf borderId="1" fillId="0" fontId="9" numFmtId="0" xfId="0" applyAlignment="1" applyBorder="1" applyFont="1">
      <alignment horizontal="center" readingOrder="0"/>
    </xf>
    <xf borderId="1" fillId="0" fontId="1" numFmtId="14" xfId="0" applyBorder="1" applyFont="1" applyNumberFormat="1"/>
    <xf borderId="1" fillId="0" fontId="6" numFmtId="1" xfId="0" applyAlignment="1" applyBorder="1" applyFont="1" applyNumberFormat="1">
      <alignment shrinkToFit="0" wrapText="0"/>
    </xf>
    <xf borderId="1" fillId="0" fontId="10" numFmtId="0" xfId="0" applyAlignment="1" applyBorder="1" applyFont="1">
      <alignment readingOrder="0"/>
    </xf>
    <xf borderId="1" fillId="0" fontId="1" numFmtId="168" xfId="0" applyBorder="1" applyFont="1" applyNumberFormat="1"/>
    <xf borderId="1" fillId="0" fontId="11" numFmtId="168" xfId="0" applyAlignment="1" applyBorder="1" applyFont="1" applyNumberFormat="1">
      <alignment readingOrder="0"/>
    </xf>
    <xf borderId="0" fillId="0" fontId="11" numFmtId="0" xfId="0" applyAlignment="1" applyFont="1">
      <alignment readingOrder="0"/>
    </xf>
    <xf borderId="1" fillId="0" fontId="12" numFmtId="49" xfId="0" applyAlignment="1" applyBorder="1" applyFont="1" applyNumberFormat="1">
      <alignment readingOrder="0" shrinkToFit="0" vertical="bottom" wrapText="0"/>
    </xf>
    <xf borderId="1" fillId="0" fontId="12" numFmtId="1" xfId="0" applyAlignment="1" applyBorder="1" applyFont="1" applyNumberFormat="1">
      <alignment shrinkToFit="0" wrapText="0"/>
    </xf>
    <xf borderId="0" fillId="0" fontId="6" numFmtId="0" xfId="0" applyAlignment="1" applyFont="1">
      <alignment readingOrder="0" shrinkToFit="0" wrapText="0"/>
    </xf>
    <xf borderId="1" fillId="8" fontId="6" numFmtId="0" xfId="0" applyAlignment="1" applyBorder="1" applyFill="1" applyFont="1">
      <alignment horizontal="center" shrinkToFit="0" vertical="center" wrapText="0"/>
    </xf>
    <xf borderId="5" fillId="9" fontId="6" numFmtId="0" xfId="0" applyAlignment="1" applyBorder="1" applyFill="1" applyFont="1">
      <alignment horizontal="center" readingOrder="0" shrinkToFit="0" wrapText="1"/>
    </xf>
    <xf borderId="1" fillId="0" fontId="10" numFmtId="167" xfId="0" applyAlignment="1" applyBorder="1" applyFont="1" applyNumberFormat="1">
      <alignment readingOrder="0"/>
    </xf>
    <xf borderId="1" fillId="0" fontId="13" numFmtId="0" xfId="0" applyAlignment="1" applyBorder="1" applyFont="1">
      <alignment readingOrder="0"/>
    </xf>
    <xf borderId="1" fillId="0" fontId="10" numFmtId="0" xfId="0" applyBorder="1" applyFont="1"/>
    <xf borderId="6" fillId="0" fontId="1" numFmtId="0" xfId="0" applyBorder="1" applyFont="1"/>
    <xf borderId="1" fillId="0" fontId="10" numFmtId="49" xfId="0" applyBorder="1" applyFont="1" applyNumberFormat="1"/>
    <xf borderId="2" fillId="0" fontId="1" numFmtId="0" xfId="0" applyBorder="1" applyFont="1"/>
    <xf borderId="1" fillId="0" fontId="10" numFmtId="0" xfId="0" applyBorder="1" applyFont="1"/>
    <xf borderId="4" fillId="0" fontId="14" numFmtId="0" xfId="0" applyAlignment="1" applyBorder="1" applyFont="1">
      <alignment vertical="bottom"/>
    </xf>
    <xf borderId="1" fillId="0" fontId="10" numFmtId="168" xfId="0" applyAlignment="1" applyBorder="1" applyFont="1" applyNumberFormat="1">
      <alignment readingOrder="0"/>
    </xf>
    <xf borderId="5" fillId="10" fontId="6" numFmtId="0" xfId="0" applyAlignment="1" applyBorder="1" applyFill="1" applyFont="1">
      <alignment horizontal="center" readingOrder="0" shrinkToFit="0" wrapText="0"/>
    </xf>
    <xf borderId="1" fillId="0" fontId="15" numFmtId="0" xfId="0" applyAlignment="1" applyBorder="1" applyFont="1">
      <alignment horizontal="center" readingOrder="0"/>
    </xf>
    <xf borderId="5" fillId="11" fontId="6" numFmtId="0" xfId="0" applyAlignment="1" applyBorder="1" applyFill="1" applyFont="1">
      <alignment horizontal="center" readingOrder="0" shrinkToFit="0" wrapText="0"/>
    </xf>
    <xf borderId="1" fillId="0" fontId="10" numFmtId="14" xfId="0" applyBorder="1" applyFont="1" applyNumberFormat="1"/>
    <xf borderId="7" fillId="12" fontId="6" numFmtId="0" xfId="0" applyAlignment="1" applyBorder="1" applyFill="1" applyFont="1">
      <alignment horizontal="center" shrinkToFit="0" vertical="center" wrapText="1"/>
    </xf>
    <xf borderId="1" fillId="9" fontId="6" numFmtId="0" xfId="0" applyAlignment="1" applyBorder="1" applyFont="1">
      <alignment horizontal="center" readingOrder="0" shrinkToFit="0" wrapText="1"/>
    </xf>
    <xf borderId="3" fillId="9" fontId="6" numFmtId="0" xfId="0" applyAlignment="1" applyBorder="1" applyFont="1">
      <alignment horizontal="center" readingOrder="0" shrinkToFit="0" wrapText="1"/>
    </xf>
    <xf borderId="1" fillId="13" fontId="6" numFmtId="0" xfId="0" applyAlignment="1" applyBorder="1" applyFill="1" applyFont="1">
      <alignment horizontal="center" shrinkToFit="0" vertical="center" wrapText="0"/>
    </xf>
    <xf borderId="1" fillId="11" fontId="6" numFmtId="0" xfId="0" applyAlignment="1" applyBorder="1" applyFont="1">
      <alignment horizontal="center" shrinkToFit="0" vertical="center" wrapText="0"/>
    </xf>
    <xf borderId="3" fillId="0" fontId="1" numFmtId="0" xfId="0" applyBorder="1" applyFont="1"/>
    <xf borderId="1" fillId="14" fontId="6" numFmtId="0" xfId="0" applyAlignment="1" applyBorder="1" applyFill="1" applyFont="1">
      <alignment readingOrder="0" shrinkToFit="0" wrapText="0"/>
    </xf>
    <xf borderId="1" fillId="15" fontId="16" numFmtId="0" xfId="0" applyAlignment="1" applyBorder="1" applyFill="1" applyFont="1">
      <alignment readingOrder="0" shrinkToFit="0" wrapText="0"/>
    </xf>
    <xf borderId="1" fillId="15" fontId="16" numFmtId="0" xfId="0" applyAlignment="1" applyBorder="1" applyFont="1">
      <alignment shrinkToFit="0" wrapText="0"/>
    </xf>
    <xf borderId="1" fillId="0" fontId="6" numFmtId="0" xfId="0" applyAlignment="1" applyBorder="1" applyFont="1">
      <alignment shrinkToFit="0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167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1" fillId="13" fontId="6" numFmtId="0" xfId="0" applyAlignment="1" applyBorder="1" applyFont="1">
      <alignment shrinkToFit="0" wrapText="0"/>
    </xf>
    <xf borderId="0" fillId="0" fontId="6" numFmtId="0" xfId="0" applyAlignment="1" applyFont="1">
      <alignment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shrinkToFit="0" vertical="bottom" wrapText="0"/>
    </xf>
    <xf borderId="1" fillId="11" fontId="6" numFmtId="0" xfId="0" applyAlignment="1" applyBorder="1" applyFont="1">
      <alignment shrinkToFit="0" wrapText="0"/>
    </xf>
    <xf borderId="0" fillId="0" fontId="6" numFmtId="0" xfId="0" applyAlignment="1" applyFont="1">
      <alignment shrinkToFit="0" vertical="bottom" wrapText="0"/>
    </xf>
    <xf borderId="7" fillId="16" fontId="6" numFmtId="38" xfId="0" applyAlignment="1" applyBorder="1" applyFill="1" applyFont="1" applyNumberFormat="1">
      <alignment shrinkToFit="0" vertical="center" wrapText="0"/>
    </xf>
    <xf borderId="1" fillId="14" fontId="6" numFmtId="0" xfId="0" applyAlignment="1" applyBorder="1" applyFont="1">
      <alignment shrinkToFit="0" wrapText="0"/>
    </xf>
    <xf borderId="1" fillId="0" fontId="12" numFmtId="0" xfId="0" applyAlignment="1" applyBorder="1" applyFont="1">
      <alignment vertical="bottom"/>
    </xf>
    <xf borderId="1" fillId="0" fontId="11" numFmtId="168" xfId="0" applyAlignment="1" applyBorder="1" applyFont="1" applyNumberFormat="1">
      <alignment readingOrder="0"/>
    </xf>
    <xf borderId="1" fillId="0" fontId="1" numFmtId="168" xfId="0" applyAlignment="1" applyBorder="1" applyFont="1" applyNumberFormat="1">
      <alignment readingOrder="0"/>
    </xf>
    <xf quotePrefix="1" borderId="1" fillId="0" fontId="6" numFmtId="49" xfId="0" applyAlignment="1" applyBorder="1" applyFont="1" applyNumberFormat="1">
      <alignment readingOrder="0" shrinkToFit="0" vertical="bottom" wrapText="0"/>
    </xf>
    <xf borderId="7" fillId="16" fontId="6" numFmtId="38" xfId="0" applyAlignment="1" applyBorder="1" applyFont="1" applyNumberFormat="1">
      <alignment horizontal="right"/>
    </xf>
    <xf borderId="0" fillId="0" fontId="10" numFmtId="0" xfId="0" applyFont="1"/>
    <xf borderId="1" fillId="0" fontId="17" numFmtId="0" xfId="0" applyAlignment="1" applyBorder="1" applyFont="1">
      <alignment horizontal="center" readingOrder="0"/>
    </xf>
    <xf borderId="8" fillId="16" fontId="6" numFmtId="38" xfId="0" applyAlignment="1" applyBorder="1" applyFont="1" applyNumberFormat="1">
      <alignment horizontal="right"/>
    </xf>
    <xf borderId="1" fillId="0" fontId="1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4" fillId="0" fontId="4" numFmtId="168" xfId="0" applyAlignment="1" applyBorder="1" applyFont="1" applyNumberFormat="1">
      <alignment readingOrder="0" vertical="bottom"/>
    </xf>
    <xf borderId="1" fillId="0" fontId="17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1" numFmtId="167" xfId="0" applyAlignment="1" applyBorder="1" applyFont="1" applyNumberFormat="1">
      <alignment readingOrder="0"/>
    </xf>
    <xf borderId="1" fillId="0" fontId="11" numFmtId="0" xfId="0" applyBorder="1" applyFont="1"/>
    <xf borderId="1" fillId="0" fontId="11" numFmtId="49" xfId="0" applyBorder="1" applyFont="1" applyNumberFormat="1"/>
    <xf borderId="1" fillId="16" fontId="6" numFmtId="38" xfId="0" applyAlignment="1" applyBorder="1" applyFont="1" applyNumberFormat="1">
      <alignment shrinkToFit="0" wrapText="0"/>
    </xf>
    <xf borderId="1" fillId="0" fontId="11" numFmtId="0" xfId="0" applyBorder="1" applyFont="1"/>
    <xf borderId="1" fillId="0" fontId="11" numFmtId="168" xfId="0" applyBorder="1" applyFont="1" applyNumberFormat="1"/>
    <xf borderId="1" fillId="0" fontId="11" numFmtId="14" xfId="0" applyBorder="1" applyFont="1" applyNumberFormat="1"/>
    <xf borderId="1" fillId="17" fontId="18" numFmtId="0" xfId="0" applyAlignment="1" applyBorder="1" applyFill="1" applyFont="1">
      <alignment shrinkToFit="0" wrapText="0"/>
    </xf>
    <xf borderId="1" fillId="17" fontId="18" numFmtId="38" xfId="0" applyAlignment="1" applyBorder="1" applyFont="1" applyNumberFormat="1">
      <alignment shrinkToFit="0" wrapText="0"/>
    </xf>
    <xf borderId="0" fillId="0" fontId="6" numFmtId="38" xfId="0" applyAlignment="1" applyFont="1" applyNumberFormat="1">
      <alignment shrinkToFit="0" wrapText="0"/>
    </xf>
    <xf borderId="1" fillId="0" fontId="19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1" fillId="0" fontId="20" numFmtId="0" xfId="0" applyAlignment="1" applyBorder="1" applyFont="1">
      <alignment horizontal="right"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5" fillId="0" fontId="20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  <xf borderId="1" fillId="0" fontId="20" numFmtId="0" xfId="0" applyAlignment="1" applyBorder="1" applyFont="1">
      <alignment shrinkToFit="0" vertical="bottom" wrapText="0"/>
    </xf>
    <xf borderId="1" fillId="0" fontId="20" numFmtId="49" xfId="0" applyAlignment="1" applyBorder="1" applyFont="1" applyNumberFormat="1">
      <alignment shrinkToFit="0" vertical="bottom" wrapText="0"/>
    </xf>
    <xf borderId="2" fillId="0" fontId="6" numFmtId="49" xfId="0" applyAlignment="1" applyBorder="1" applyFont="1" applyNumberFormat="1">
      <alignment readingOrder="0" shrinkToFit="0" vertical="bottom" wrapText="0"/>
    </xf>
    <xf borderId="2" fillId="0" fontId="20" numFmtId="49" xfId="0" applyAlignment="1" applyBorder="1" applyFont="1" applyNumberFormat="1">
      <alignment readingOrder="0" shrinkToFit="0" vertical="bottom" wrapText="0"/>
    </xf>
    <xf borderId="0" fillId="0" fontId="11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0" fillId="0" fontId="1" numFmtId="0" xfId="0" applyAlignment="1" applyFont="1">
      <alignment shrinkToFit="0" wrapText="1"/>
    </xf>
    <xf borderId="9" fillId="18" fontId="21" numFmtId="0" xfId="0" applyAlignment="1" applyBorder="1" applyFill="1" applyFont="1">
      <alignment readingOrder="0"/>
    </xf>
    <xf borderId="10" fillId="18" fontId="21" numFmtId="0" xfId="0" applyAlignment="1" applyBorder="1" applyFont="1">
      <alignment horizontal="center"/>
    </xf>
    <xf borderId="11" fillId="0" fontId="1" numFmtId="0" xfId="0" applyBorder="1" applyFont="1"/>
    <xf borderId="12" fillId="18" fontId="21" numFmtId="0" xfId="0" applyAlignment="1" applyBorder="1" applyFont="1">
      <alignment readingOrder="0"/>
    </xf>
    <xf borderId="12" fillId="18" fontId="2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0" fillId="19" fontId="1" numFmtId="0" xfId="0" applyAlignment="1" applyFill="1" applyFont="1">
      <alignment horizontal="left" readingOrder="0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0" numFmtId="1" xfId="0" applyAlignment="1" applyBorder="1" applyFont="1" applyNumberFormat="1">
      <alignment shrinkToFit="0" wrapText="0"/>
    </xf>
    <xf borderId="1" fillId="0" fontId="1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5" fillId="19" fontId="19" numFmtId="0" xfId="0" applyAlignment="1" applyBorder="1" applyFont="1">
      <alignment readingOrder="0"/>
    </xf>
    <xf borderId="1" fillId="19" fontId="1" numFmtId="0" xfId="0" applyAlignment="1" applyBorder="1" applyFont="1">
      <alignment readingOrder="0"/>
    </xf>
    <xf borderId="1" fillId="19" fontId="1" numFmtId="0" xfId="0" applyAlignment="1" applyBorder="1" applyFont="1">
      <alignment readingOrder="0" shrinkToFit="0" wrapText="1"/>
    </xf>
    <xf borderId="1" fillId="19" fontId="1" numFmtId="0" xfId="0" applyAlignment="1" applyBorder="1" applyFont="1">
      <alignment horizontal="center" readingOrder="0"/>
    </xf>
    <xf borderId="1" fillId="19" fontId="1" numFmtId="0" xfId="0" applyAlignment="1" applyBorder="1" applyFont="1">
      <alignment horizontal="center"/>
    </xf>
    <xf borderId="1" fillId="0" fontId="6" numFmtId="49" xfId="0" applyAlignment="1" applyBorder="1" applyFont="1" applyNumberFormat="1">
      <alignment horizontal="right" readingOrder="0" shrinkToFit="0" vertical="bottom" wrapText="0"/>
    </xf>
    <xf borderId="4" fillId="0" fontId="22" numFmtId="0" xfId="0" applyAlignment="1" applyBorder="1" applyFont="1">
      <alignment vertical="bottom"/>
    </xf>
    <xf borderId="1" fillId="0" fontId="9" numFmtId="0" xfId="0" applyAlignment="1" applyBorder="1" applyFont="1">
      <alignment horizontal="center"/>
    </xf>
    <xf borderId="4" fillId="0" fontId="22" numFmtId="0" xfId="0" applyAlignment="1" applyBorder="1" applyFont="1">
      <alignment horizontal="right" vertical="bottom"/>
    </xf>
    <xf borderId="4" fillId="0" fontId="22" numFmtId="0" xfId="0" applyAlignment="1" applyBorder="1" applyFont="1">
      <alignment readingOrder="0" vertical="bottom"/>
    </xf>
    <xf borderId="4" fillId="0" fontId="22" numFmtId="165" xfId="0" applyAlignment="1" applyBorder="1" applyFont="1" applyNumberFormat="1">
      <alignment readingOrder="0" vertical="bottom"/>
    </xf>
    <xf borderId="1" fillId="0" fontId="23" numFmtId="0" xfId="0" applyAlignment="1" applyBorder="1" applyFont="1">
      <alignment readingOrder="0"/>
    </xf>
    <xf borderId="1" fillId="0" fontId="1" numFmtId="166" xfId="0" applyBorder="1" applyFont="1" applyNumberFormat="1"/>
    <xf borderId="4" fillId="0" fontId="24" numFmtId="0" xfId="0" applyAlignment="1" applyBorder="1" applyFont="1">
      <alignment readingOrder="0" vertical="bottom"/>
    </xf>
    <xf borderId="0" fillId="20" fontId="25" numFmtId="0" xfId="0" applyAlignment="1" applyFill="1" applyFont="1">
      <alignment readingOrder="0"/>
    </xf>
    <xf borderId="0" fillId="20" fontId="25" numFmtId="0" xfId="0" applyAlignment="1" applyFont="1">
      <alignment horizontal="center" readingOrder="0" vertical="center"/>
    </xf>
    <xf borderId="0" fillId="20" fontId="25" numFmtId="0" xfId="0" applyAlignment="1" applyFont="1">
      <alignment horizontal="center" readingOrder="0" shrinkToFit="0" vertical="center" wrapText="1"/>
    </xf>
    <xf borderId="7" fillId="21" fontId="1" numFmtId="0" xfId="0" applyAlignment="1" applyBorder="1" applyFill="1" applyFont="1">
      <alignment readingOrder="0"/>
    </xf>
    <xf borderId="0" fillId="0" fontId="1" numFmtId="167" xfId="0" applyAlignment="1" applyFont="1" applyNumberFormat="1">
      <alignment readingOrder="0"/>
    </xf>
    <xf borderId="7" fillId="21" fontId="1" numFmtId="0" xfId="0" applyAlignment="1" applyBorder="1" applyFont="1">
      <alignment horizontal="center" readingOrder="0"/>
    </xf>
    <xf borderId="7" fillId="21" fontId="1" numFmtId="0" xfId="0" applyAlignment="1" applyBorder="1" applyFont="1">
      <alignment horizontal="center" readingOrder="0"/>
    </xf>
    <xf borderId="7" fillId="21" fontId="1" numFmtId="0" xfId="0" applyAlignment="1" applyBorder="1" applyFont="1">
      <alignment horizontal="center" readingOrder="0" shrinkToFit="0" wrapText="1"/>
    </xf>
    <xf borderId="1" fillId="22" fontId="1" numFmtId="0" xfId="0" applyBorder="1" applyFill="1" applyFont="1"/>
    <xf borderId="1" fillId="22" fontId="6" numFmtId="0" xfId="0" applyAlignment="1" applyBorder="1" applyFont="1">
      <alignment readingOrder="0" shrinkToFit="0" vertical="bottom" wrapText="1"/>
    </xf>
    <xf borderId="1" fillId="7" fontId="1" numFmtId="0" xfId="0" applyBorder="1" applyFont="1"/>
    <xf borderId="3" fillId="7" fontId="6" numFmtId="0" xfId="0" applyAlignment="1" applyBorder="1" applyFont="1">
      <alignment readingOrder="0" shrinkToFit="0" vertical="bottom" wrapText="1"/>
    </xf>
    <xf borderId="3" fillId="0" fontId="6" numFmtId="0" xfId="0" applyAlignment="1" applyBorder="1" applyFont="1">
      <alignment readingOrder="0" shrinkToFit="0" vertical="bottom" wrapText="1"/>
    </xf>
    <xf borderId="3" fillId="22" fontId="6" numFmtId="0" xfId="0" applyAlignment="1" applyBorder="1" applyFont="1">
      <alignment readingOrder="0" shrinkToFit="0" vertical="bottom" wrapText="1"/>
    </xf>
    <xf borderId="3" fillId="0" fontId="24" numFmtId="0" xfId="0" applyAlignment="1" applyBorder="1" applyFont="1">
      <alignment vertical="bottom"/>
    </xf>
    <xf borderId="4" fillId="0" fontId="24" numFmtId="0" xfId="0" applyAlignment="1" applyBorder="1" applyFont="1">
      <alignment vertical="bottom"/>
    </xf>
    <xf borderId="4" fillId="0" fontId="24" numFmtId="0" xfId="0" applyAlignment="1" applyBorder="1" applyFont="1">
      <alignment horizontal="right" vertical="bottom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horizontal="right" vertical="bottom"/>
    </xf>
    <xf borderId="4" fillId="0" fontId="8" numFmtId="0" xfId="0" applyAlignment="1" applyBorder="1" applyFont="1">
      <alignment readingOrder="0" vertical="bottom"/>
    </xf>
    <xf borderId="4" fillId="0" fontId="24" numFmtId="165" xfId="0" applyAlignment="1" applyBorder="1" applyFont="1" applyNumberFormat="1">
      <alignment readingOrder="0" vertical="bottom"/>
    </xf>
    <xf borderId="0" fillId="0" fontId="6" numFmtId="11" xfId="0" applyAlignment="1" applyFont="1" applyNumberFormat="1">
      <alignment horizontal="right" readingOrder="0" shrinkToFit="0" vertical="bottom" wrapText="0"/>
    </xf>
    <xf borderId="0" fillId="23" fontId="1" numFmtId="0" xfId="0" applyFill="1" applyFont="1"/>
    <xf borderId="0" fillId="24" fontId="1" numFmtId="0" xfId="0" applyAlignment="1" applyFill="1" applyFont="1">
      <alignment readingOrder="0"/>
    </xf>
    <xf borderId="0" fillId="25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1" fillId="23" fontId="1" numFmtId="0" xfId="0" applyBorder="1" applyFont="1"/>
    <xf borderId="1" fillId="24" fontId="1" numFmtId="0" xfId="0" applyAlignment="1" applyBorder="1" applyFont="1">
      <alignment readingOrder="0"/>
    </xf>
    <xf borderId="1" fillId="25" fontId="1" numFmtId="0" xfId="0" applyAlignment="1" applyBorder="1" applyFont="1">
      <alignment readingOrder="0"/>
    </xf>
    <xf borderId="1" fillId="21" fontId="1" numFmtId="0" xfId="0" applyAlignment="1" applyBorder="1" applyFont="1">
      <alignment readingOrder="0"/>
    </xf>
    <xf borderId="1" fillId="21" fontId="1" numFmtId="0" xfId="0" applyAlignment="1" applyBorder="1" applyFont="1">
      <alignment readingOrder="0"/>
    </xf>
    <xf borderId="0" fillId="0" fontId="1" numFmtId="10" xfId="0" applyFont="1" applyNumberFormat="1"/>
    <xf borderId="0" fillId="7" fontId="1" numFmtId="0" xfId="0" applyFont="1"/>
    <xf borderId="3" fillId="25" fontId="6" numFmtId="0" xfId="0" applyAlignment="1" applyBorder="1" applyFont="1">
      <alignment readingOrder="0" shrinkToFit="0" vertical="bottom" wrapText="1"/>
    </xf>
    <xf borderId="0" fillId="22" fontId="1" numFmtId="0" xfId="0" applyFont="1"/>
    <xf borderId="0" fillId="22" fontId="1" numFmtId="0" xfId="0" applyAlignment="1" applyFont="1">
      <alignment readingOrder="0"/>
    </xf>
    <xf borderId="1" fillId="25" fontId="1" numFmtId="0" xfId="0" applyBorder="1" applyFont="1"/>
    <xf borderId="1" fillId="25" fontId="6" numFmtId="0" xfId="0" applyAlignment="1" applyBorder="1" applyFont="1">
      <alignment horizontal="right" readingOrder="0" shrinkToFit="0" vertical="bottom" wrapText="0"/>
    </xf>
    <xf borderId="1" fillId="16" fontId="1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shrinkToFit="0" vertical="bottom" wrapText="1"/>
    </xf>
    <xf borderId="13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1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C2D69B"/>
          <bgColor rgb="FFC2D69B"/>
        </patternFill>
      </fill>
      <border/>
    </dxf>
    <dxf>
      <font>
        <strike/>
      </font>
      <fill>
        <patternFill patternType="solid">
          <fgColor rgb="FFBFBFBF"/>
          <bgColor rgb="FFBFBFB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strike/>
        <color rgb="FF999999"/>
      </font>
      <fill>
        <patternFill patternType="solid">
          <fgColor rgb="FFCCCCCC"/>
          <bgColor rgb="FFCCCCCC"/>
        </patternFill>
      </fill>
      <border/>
    </dxf>
    <dxf>
      <font>
        <color rgb="FFFF0000"/>
      </font>
      <fill>
        <patternFill patternType="solid">
          <fgColor rgb="FFF4C7C3"/>
          <bgColor rgb="FFF4C7C3"/>
        </patternFill>
      </fill>
      <border/>
    </dxf>
  </dxfs>
  <tableStyles count="1">
    <tableStyle count="3" pivot="0" name="SponsorAttendee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3:G14" displayName="Table_1" id="1">
  <tableColumns count="7">
    <tableColumn name="Sponsor Name" id="1"/>
    <tableColumn name="Contact last name" id="2"/>
    <tableColumn name="Contact first name" id="3"/>
    <tableColumn name="Attendees" id="4"/>
    <tableColumn name="Email" id="5"/>
    <tableColumn name="Adults" id="6"/>
    <tableColumn name="Children" id="7"/>
  </tableColumns>
  <tableStyleInfo name="SponsorAttende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  <col customWidth="1" min="7" max="7" width="27.29"/>
    <col customWidth="1" min="8" max="13" width="21.57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6" t="s">
        <v>5</v>
      </c>
      <c r="F1" s="3" t="s">
        <v>6</v>
      </c>
      <c r="G1" s="3" t="s">
        <v>7</v>
      </c>
    </row>
    <row r="2">
      <c r="A2" s="2">
        <v>43384.95067175926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>
      <c r="A3" s="2">
        <v>43384.95106273148</v>
      </c>
      <c r="B3" s="1" t="s">
        <v>15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2">
        <v>43384.95129215278</v>
      </c>
      <c r="B4" s="1" t="s">
        <v>16</v>
      </c>
      <c r="C4" s="1" t="s">
        <v>11</v>
      </c>
      <c r="D4" s="1" t="s">
        <v>12</v>
      </c>
      <c r="E4" s="1" t="s">
        <v>13</v>
      </c>
      <c r="F4" s="1" t="s">
        <v>14</v>
      </c>
    </row>
    <row r="5">
      <c r="A5" s="2">
        <v>43384.95153460648</v>
      </c>
      <c r="B5" s="1" t="s">
        <v>17</v>
      </c>
      <c r="C5" s="1" t="s">
        <v>11</v>
      </c>
      <c r="D5" s="1" t="s">
        <v>18</v>
      </c>
      <c r="E5" s="1" t="s">
        <v>13</v>
      </c>
      <c r="F5" s="1" t="s">
        <v>14</v>
      </c>
    </row>
    <row r="6">
      <c r="A6" s="2">
        <v>43384.95926988426</v>
      </c>
      <c r="B6" s="1" t="s">
        <v>20</v>
      </c>
      <c r="C6" s="1" t="s">
        <v>21</v>
      </c>
      <c r="D6" s="1" t="s">
        <v>18</v>
      </c>
      <c r="E6" s="1" t="s">
        <v>24</v>
      </c>
      <c r="F6" s="1" t="s">
        <v>25</v>
      </c>
    </row>
    <row r="7">
      <c r="A7" s="2">
        <v>43384.959946863426</v>
      </c>
      <c r="B7" s="1" t="s">
        <v>26</v>
      </c>
      <c r="C7" s="1" t="s">
        <v>21</v>
      </c>
      <c r="D7" s="1" t="s">
        <v>12</v>
      </c>
      <c r="E7" s="1" t="s">
        <v>27</v>
      </c>
      <c r="F7" s="1" t="s">
        <v>25</v>
      </c>
    </row>
    <row r="8">
      <c r="A8" s="2">
        <v>43384.96106814815</v>
      </c>
      <c r="B8" s="1" t="s">
        <v>28</v>
      </c>
      <c r="C8" s="1" t="s">
        <v>21</v>
      </c>
      <c r="D8" s="1" t="s">
        <v>12</v>
      </c>
      <c r="E8" s="1" t="s">
        <v>13</v>
      </c>
      <c r="F8" s="1" t="s">
        <v>25</v>
      </c>
    </row>
    <row r="9">
      <c r="A9" s="2">
        <v>43384.9887800463</v>
      </c>
      <c r="B9" s="1" t="s">
        <v>29</v>
      </c>
      <c r="C9" s="1" t="s">
        <v>30</v>
      </c>
      <c r="D9" s="1" t="s">
        <v>12</v>
      </c>
      <c r="E9" s="1" t="s">
        <v>24</v>
      </c>
      <c r="F9" s="1" t="s">
        <v>31</v>
      </c>
    </row>
    <row r="10">
      <c r="A10" s="2">
        <v>43384.98979248843</v>
      </c>
      <c r="B10" s="1" t="s">
        <v>32</v>
      </c>
      <c r="C10" s="1" t="s">
        <v>33</v>
      </c>
      <c r="D10" s="1" t="s">
        <v>12</v>
      </c>
      <c r="E10" s="1" t="s">
        <v>13</v>
      </c>
      <c r="F10" s="1" t="s">
        <v>31</v>
      </c>
    </row>
    <row r="11">
      <c r="A11" s="2">
        <v>43384.99039986111</v>
      </c>
      <c r="B11" s="1" t="s">
        <v>34</v>
      </c>
      <c r="C11" s="1" t="s">
        <v>33</v>
      </c>
      <c r="D11" s="1" t="s">
        <v>12</v>
      </c>
      <c r="E11" s="1" t="s">
        <v>24</v>
      </c>
      <c r="F11" s="1" t="s">
        <v>35</v>
      </c>
    </row>
    <row r="12">
      <c r="A12" s="2">
        <v>43385.115206620365</v>
      </c>
      <c r="B12" s="1" t="s">
        <v>36</v>
      </c>
      <c r="C12" s="1" t="s">
        <v>37</v>
      </c>
      <c r="D12" s="1" t="s">
        <v>12</v>
      </c>
      <c r="E12" s="1" t="s">
        <v>24</v>
      </c>
      <c r="F12" s="1" t="s">
        <v>31</v>
      </c>
    </row>
    <row r="13">
      <c r="A13" s="2">
        <v>43385.11613511574</v>
      </c>
      <c r="B13" s="1" t="s">
        <v>38</v>
      </c>
      <c r="C13" s="1" t="s">
        <v>37</v>
      </c>
      <c r="D13" s="1" t="s">
        <v>18</v>
      </c>
      <c r="E13" s="1" t="s">
        <v>24</v>
      </c>
      <c r="F13" s="1" t="s">
        <v>39</v>
      </c>
    </row>
    <row r="14">
      <c r="A14" s="2">
        <v>43385.11669189815</v>
      </c>
      <c r="B14" s="1" t="s">
        <v>40</v>
      </c>
      <c r="C14" s="1" t="s">
        <v>37</v>
      </c>
      <c r="D14" s="1" t="s">
        <v>12</v>
      </c>
      <c r="E14" s="1" t="s">
        <v>13</v>
      </c>
      <c r="F14" s="1" t="s">
        <v>39</v>
      </c>
    </row>
    <row r="15">
      <c r="A15" s="2">
        <v>43385.11714246528</v>
      </c>
      <c r="B15" s="1" t="s">
        <v>41</v>
      </c>
      <c r="C15" s="1" t="s">
        <v>37</v>
      </c>
      <c r="D15" s="1" t="s">
        <v>12</v>
      </c>
      <c r="E15" s="1" t="s">
        <v>27</v>
      </c>
      <c r="F15" s="1" t="s">
        <v>39</v>
      </c>
    </row>
    <row r="16">
      <c r="A16" s="2">
        <v>43385.268675150466</v>
      </c>
      <c r="B16" s="1" t="s">
        <v>43</v>
      </c>
      <c r="C16" s="1" t="s">
        <v>44</v>
      </c>
      <c r="D16" s="1" t="s">
        <v>12</v>
      </c>
      <c r="E16" s="1" t="s">
        <v>13</v>
      </c>
      <c r="F16" s="1" t="s">
        <v>14</v>
      </c>
    </row>
    <row r="17">
      <c r="A17" s="2">
        <v>43385.269378819445</v>
      </c>
      <c r="B17" s="1" t="s">
        <v>45</v>
      </c>
      <c r="C17" s="1" t="s">
        <v>44</v>
      </c>
      <c r="D17" s="1" t="s">
        <v>12</v>
      </c>
      <c r="E17" s="1" t="s">
        <v>13</v>
      </c>
      <c r="F17" s="1" t="s">
        <v>14</v>
      </c>
    </row>
    <row r="18">
      <c r="A18" s="2">
        <v>43385.26989298611</v>
      </c>
      <c r="B18" s="1" t="s">
        <v>46</v>
      </c>
      <c r="C18" s="1" t="s">
        <v>44</v>
      </c>
      <c r="D18" s="1" t="s">
        <v>12</v>
      </c>
      <c r="E18" s="1" t="s">
        <v>13</v>
      </c>
      <c r="F18" s="1" t="s">
        <v>14</v>
      </c>
    </row>
    <row r="19">
      <c r="A19" s="2">
        <v>43385.27040877315</v>
      </c>
      <c r="B19" s="1" t="s">
        <v>47</v>
      </c>
      <c r="C19" s="1" t="s">
        <v>44</v>
      </c>
      <c r="D19" s="1" t="s">
        <v>18</v>
      </c>
      <c r="E19" s="1" t="s">
        <v>13</v>
      </c>
      <c r="F19" s="1" t="s">
        <v>14</v>
      </c>
    </row>
    <row r="20">
      <c r="A20" s="2">
        <v>43385.32835037037</v>
      </c>
      <c r="B20" s="1" t="s">
        <v>48</v>
      </c>
      <c r="C20" s="1" t="s">
        <v>49</v>
      </c>
      <c r="D20" s="1" t="s">
        <v>12</v>
      </c>
      <c r="E20" s="1" t="s">
        <v>24</v>
      </c>
      <c r="F20" s="1" t="s">
        <v>50</v>
      </c>
    </row>
    <row r="21">
      <c r="A21" s="2">
        <v>43385.33913597222</v>
      </c>
      <c r="B21" s="1" t="s">
        <v>51</v>
      </c>
      <c r="C21" s="1" t="s">
        <v>52</v>
      </c>
      <c r="D21" s="1" t="s">
        <v>12</v>
      </c>
      <c r="E21" s="1" t="s">
        <v>24</v>
      </c>
      <c r="F21" s="1" t="s">
        <v>50</v>
      </c>
    </row>
    <row r="22">
      <c r="A22" s="2">
        <v>43385.34050769676</v>
      </c>
      <c r="B22" s="1" t="s">
        <v>53</v>
      </c>
      <c r="C22" s="1" t="s">
        <v>52</v>
      </c>
      <c r="D22" s="1" t="s">
        <v>18</v>
      </c>
      <c r="E22" s="1" t="s">
        <v>13</v>
      </c>
      <c r="F22" s="1" t="s">
        <v>50</v>
      </c>
    </row>
    <row r="23">
      <c r="A23" s="2">
        <v>43385.657524027774</v>
      </c>
      <c r="B23" s="1" t="s">
        <v>56</v>
      </c>
      <c r="C23" s="1" t="s">
        <v>57</v>
      </c>
      <c r="D23" s="1" t="s">
        <v>18</v>
      </c>
      <c r="E23" s="1" t="s">
        <v>24</v>
      </c>
      <c r="F23" s="1" t="s">
        <v>31</v>
      </c>
    </row>
    <row r="24">
      <c r="A24" s="2">
        <v>43385.65838704861</v>
      </c>
      <c r="B24" s="1" t="s">
        <v>58</v>
      </c>
      <c r="C24" s="1" t="s">
        <v>57</v>
      </c>
      <c r="D24" s="1" t="s">
        <v>12</v>
      </c>
      <c r="E24" s="1" t="s">
        <v>13</v>
      </c>
      <c r="F24" s="1" t="s">
        <v>31</v>
      </c>
    </row>
    <row r="25">
      <c r="A25" s="2">
        <v>43385.65879804398</v>
      </c>
      <c r="B25" s="1" t="s">
        <v>59</v>
      </c>
      <c r="C25" s="1" t="s">
        <v>57</v>
      </c>
      <c r="D25" s="1" t="s">
        <v>12</v>
      </c>
      <c r="E25" s="1" t="s">
        <v>13</v>
      </c>
      <c r="F25" s="1" t="s">
        <v>31</v>
      </c>
    </row>
    <row r="26">
      <c r="A26" s="2">
        <v>43385.660738067134</v>
      </c>
      <c r="B26" s="1" t="s">
        <v>60</v>
      </c>
      <c r="C26" s="1" t="s">
        <v>61</v>
      </c>
      <c r="D26" s="1" t="s">
        <v>12</v>
      </c>
      <c r="E26" s="1" t="s">
        <v>24</v>
      </c>
      <c r="F26" s="1" t="s">
        <v>62</v>
      </c>
    </row>
    <row r="27">
      <c r="A27" s="2">
        <v>43385.66163607639</v>
      </c>
      <c r="B27" s="1" t="s">
        <v>63</v>
      </c>
      <c r="C27" s="1" t="s">
        <v>64</v>
      </c>
      <c r="D27" s="1" t="s">
        <v>12</v>
      </c>
      <c r="E27" s="1" t="s">
        <v>13</v>
      </c>
      <c r="F27" s="1" t="s">
        <v>62</v>
      </c>
    </row>
    <row r="28">
      <c r="A28" s="2">
        <v>43385.98639421296</v>
      </c>
      <c r="B28" s="1" t="s">
        <v>65</v>
      </c>
      <c r="C28" s="1" t="s">
        <v>66</v>
      </c>
      <c r="D28" s="1" t="s">
        <v>18</v>
      </c>
      <c r="E28" s="1" t="s">
        <v>24</v>
      </c>
      <c r="F28" s="1" t="s">
        <v>67</v>
      </c>
    </row>
    <row r="29">
      <c r="A29" s="2">
        <v>43385.9871481713</v>
      </c>
      <c r="B29" s="1" t="s">
        <v>68</v>
      </c>
      <c r="C29" s="1" t="s">
        <v>66</v>
      </c>
      <c r="D29" s="1" t="s">
        <v>12</v>
      </c>
      <c r="E29" s="1" t="s">
        <v>13</v>
      </c>
      <c r="F29" s="1" t="s">
        <v>67</v>
      </c>
    </row>
    <row r="30">
      <c r="A30" s="2">
        <v>43385.98771835648</v>
      </c>
      <c r="B30" s="1" t="s">
        <v>69</v>
      </c>
      <c r="C30" s="1" t="s">
        <v>66</v>
      </c>
      <c r="D30" s="1" t="s">
        <v>12</v>
      </c>
      <c r="E30" s="1" t="s">
        <v>13</v>
      </c>
      <c r="F30" s="1" t="s">
        <v>67</v>
      </c>
    </row>
    <row r="31">
      <c r="A31" s="2">
        <v>43386.36203881944</v>
      </c>
      <c r="B31" s="1" t="s">
        <v>70</v>
      </c>
      <c r="C31" s="1" t="s">
        <v>71</v>
      </c>
      <c r="D31" s="1" t="s">
        <v>18</v>
      </c>
      <c r="E31" s="1" t="s">
        <v>24</v>
      </c>
      <c r="F31" s="1" t="s">
        <v>25</v>
      </c>
    </row>
    <row r="32">
      <c r="A32" s="2">
        <v>43386.36386091435</v>
      </c>
      <c r="B32" s="1" t="s">
        <v>72</v>
      </c>
      <c r="C32" s="1" t="s">
        <v>71</v>
      </c>
      <c r="D32" s="1" t="s">
        <v>12</v>
      </c>
      <c r="E32" s="1" t="s">
        <v>13</v>
      </c>
      <c r="F32" s="1" t="s">
        <v>25</v>
      </c>
    </row>
    <row r="33">
      <c r="A33" s="2">
        <v>43386.36530820602</v>
      </c>
      <c r="B33" s="1" t="s">
        <v>73</v>
      </c>
      <c r="C33" s="1" t="s">
        <v>71</v>
      </c>
      <c r="D33" s="1" t="s">
        <v>12</v>
      </c>
      <c r="E33" s="1" t="s">
        <v>13</v>
      </c>
      <c r="F33" s="1" t="s">
        <v>25</v>
      </c>
    </row>
    <row r="34">
      <c r="A34" s="2">
        <v>43386.386829016206</v>
      </c>
      <c r="B34" s="1" t="s">
        <v>74</v>
      </c>
      <c r="C34" s="1" t="s">
        <v>75</v>
      </c>
      <c r="D34" s="1" t="s">
        <v>18</v>
      </c>
      <c r="E34" s="1" t="s">
        <v>24</v>
      </c>
      <c r="F34" s="1" t="s">
        <v>67</v>
      </c>
    </row>
    <row r="35">
      <c r="A35" s="2">
        <v>43386.38741490741</v>
      </c>
      <c r="B35" s="1" t="s">
        <v>76</v>
      </c>
      <c r="C35" s="1" t="s">
        <v>75</v>
      </c>
      <c r="D35" s="1" t="s">
        <v>18</v>
      </c>
      <c r="E35" s="1" t="s">
        <v>24</v>
      </c>
      <c r="F35" s="1" t="s">
        <v>67</v>
      </c>
    </row>
    <row r="36">
      <c r="A36" s="2">
        <v>43386.38796111111</v>
      </c>
      <c r="B36" s="1" t="s">
        <v>77</v>
      </c>
      <c r="C36" s="1" t="s">
        <v>75</v>
      </c>
      <c r="D36" s="1" t="s">
        <v>12</v>
      </c>
      <c r="E36" s="1" t="s">
        <v>13</v>
      </c>
      <c r="F36" s="1" t="s">
        <v>67</v>
      </c>
    </row>
    <row r="37">
      <c r="A37" s="2">
        <v>43386.38857416667</v>
      </c>
      <c r="B37" s="1" t="s">
        <v>78</v>
      </c>
      <c r="C37" s="1" t="s">
        <v>75</v>
      </c>
      <c r="D37" s="1" t="s">
        <v>12</v>
      </c>
      <c r="E37" s="1" t="s">
        <v>13</v>
      </c>
      <c r="F37" s="1" t="s">
        <v>67</v>
      </c>
    </row>
    <row r="38">
      <c r="A38" s="2">
        <v>43386.42689832176</v>
      </c>
      <c r="B38" s="1" t="s">
        <v>79</v>
      </c>
      <c r="C38" s="1" t="s">
        <v>80</v>
      </c>
      <c r="D38" s="1" t="s">
        <v>18</v>
      </c>
      <c r="E38" s="1" t="s">
        <v>13</v>
      </c>
      <c r="F38" s="1" t="s">
        <v>50</v>
      </c>
    </row>
    <row r="39">
      <c r="A39" s="2">
        <v>43386.427390625</v>
      </c>
      <c r="B39" s="1" t="s">
        <v>81</v>
      </c>
      <c r="C39" s="1" t="s">
        <v>80</v>
      </c>
      <c r="D39" s="1" t="s">
        <v>12</v>
      </c>
      <c r="E39" s="1" t="s">
        <v>82</v>
      </c>
      <c r="F39" s="1" t="s">
        <v>50</v>
      </c>
    </row>
    <row r="40">
      <c r="A40" s="2">
        <v>43386.44171909722</v>
      </c>
      <c r="B40" s="1" t="s">
        <v>83</v>
      </c>
      <c r="C40" s="1" t="s">
        <v>84</v>
      </c>
      <c r="D40" s="1" t="s">
        <v>18</v>
      </c>
      <c r="E40" s="1" t="s">
        <v>24</v>
      </c>
      <c r="F40" s="1" t="s">
        <v>25</v>
      </c>
    </row>
    <row r="41">
      <c r="A41" s="2">
        <v>43386.44275758102</v>
      </c>
      <c r="B41" s="1" t="s">
        <v>85</v>
      </c>
      <c r="C41" s="1" t="s">
        <v>84</v>
      </c>
      <c r="D41" s="1" t="s">
        <v>12</v>
      </c>
      <c r="E41" s="1" t="s">
        <v>13</v>
      </c>
      <c r="F41" s="1" t="s">
        <v>25</v>
      </c>
    </row>
    <row r="42">
      <c r="A42" s="2">
        <v>43386.4457834375</v>
      </c>
      <c r="B42" s="1" t="s">
        <v>86</v>
      </c>
      <c r="C42" s="1" t="s">
        <v>87</v>
      </c>
      <c r="D42" s="1" t="s">
        <v>18</v>
      </c>
      <c r="E42" s="1" t="s">
        <v>24</v>
      </c>
      <c r="F42" s="1" t="s">
        <v>25</v>
      </c>
    </row>
    <row r="43">
      <c r="A43" s="2">
        <v>43386.44739053241</v>
      </c>
      <c r="B43" s="1" t="s">
        <v>88</v>
      </c>
      <c r="C43" s="1" t="s">
        <v>87</v>
      </c>
      <c r="D43" s="1" t="s">
        <v>18</v>
      </c>
      <c r="E43" s="1" t="s">
        <v>24</v>
      </c>
      <c r="F43" s="1" t="s">
        <v>67</v>
      </c>
    </row>
    <row r="44">
      <c r="A44" s="2">
        <v>43386.45081958333</v>
      </c>
      <c r="B44" s="1" t="s">
        <v>89</v>
      </c>
      <c r="C44" s="1" t="s">
        <v>87</v>
      </c>
      <c r="D44" s="1" t="s">
        <v>12</v>
      </c>
      <c r="E44" s="1" t="s">
        <v>13</v>
      </c>
      <c r="F44" s="1" t="s">
        <v>67</v>
      </c>
    </row>
    <row r="45">
      <c r="A45" s="2">
        <v>43386.45236594907</v>
      </c>
      <c r="B45" s="1" t="s">
        <v>90</v>
      </c>
      <c r="C45" s="1" t="s">
        <v>91</v>
      </c>
      <c r="D45" s="1" t="s">
        <v>12</v>
      </c>
      <c r="E45" s="1" t="s">
        <v>13</v>
      </c>
      <c r="F45" s="1" t="s">
        <v>25</v>
      </c>
    </row>
    <row r="46">
      <c r="A46" s="2">
        <v>43386.45289894676</v>
      </c>
      <c r="B46" s="1" t="s">
        <v>92</v>
      </c>
      <c r="C46" s="1" t="s">
        <v>91</v>
      </c>
      <c r="D46" s="1" t="s">
        <v>12</v>
      </c>
      <c r="E46" s="1" t="s">
        <v>13</v>
      </c>
      <c r="F46" s="1" t="s">
        <v>25</v>
      </c>
    </row>
    <row r="47">
      <c r="A47" s="2">
        <v>43386.452918518524</v>
      </c>
      <c r="B47" s="1" t="s">
        <v>93</v>
      </c>
      <c r="C47" s="1" t="s">
        <v>94</v>
      </c>
      <c r="D47" s="1" t="s">
        <v>18</v>
      </c>
      <c r="E47" s="1" t="s">
        <v>24</v>
      </c>
      <c r="F47" s="1" t="s">
        <v>95</v>
      </c>
    </row>
    <row r="48">
      <c r="A48" s="2">
        <v>43386.45329851852</v>
      </c>
      <c r="B48" s="1" t="s">
        <v>96</v>
      </c>
      <c r="C48" s="1" t="s">
        <v>91</v>
      </c>
      <c r="D48" s="1" t="s">
        <v>18</v>
      </c>
      <c r="E48" s="1" t="s">
        <v>24</v>
      </c>
      <c r="F48" s="1" t="s">
        <v>25</v>
      </c>
    </row>
    <row r="49">
      <c r="A49" s="2">
        <v>43386.45502386574</v>
      </c>
      <c r="B49" s="1" t="s">
        <v>97</v>
      </c>
      <c r="C49" s="1" t="s">
        <v>94</v>
      </c>
      <c r="D49" s="1" t="s">
        <v>18</v>
      </c>
      <c r="E49" s="1" t="s">
        <v>24</v>
      </c>
      <c r="F49" s="1" t="s">
        <v>95</v>
      </c>
    </row>
    <row r="50">
      <c r="A50" s="2">
        <v>43386.456009733796</v>
      </c>
      <c r="B50" s="1" t="s">
        <v>98</v>
      </c>
      <c r="C50" s="1" t="s">
        <v>94</v>
      </c>
      <c r="D50" s="1" t="s">
        <v>18</v>
      </c>
      <c r="E50" s="1" t="s">
        <v>24</v>
      </c>
      <c r="F50" s="1" t="s">
        <v>95</v>
      </c>
    </row>
    <row r="51">
      <c r="A51" s="2">
        <v>43386.45687380787</v>
      </c>
      <c r="B51" s="1" t="s">
        <v>99</v>
      </c>
      <c r="C51" s="14" t="s">
        <v>100</v>
      </c>
      <c r="D51" s="1" t="s">
        <v>18</v>
      </c>
      <c r="E51" s="1" t="s">
        <v>24</v>
      </c>
      <c r="F51" s="1" t="s">
        <v>50</v>
      </c>
    </row>
    <row r="52">
      <c r="A52" s="2">
        <v>43386.457506597224</v>
      </c>
      <c r="B52" s="1" t="s">
        <v>101</v>
      </c>
      <c r="C52" s="1" t="s">
        <v>94</v>
      </c>
      <c r="D52" s="1" t="s">
        <v>18</v>
      </c>
      <c r="E52" s="1" t="s">
        <v>24</v>
      </c>
      <c r="F52" s="1" t="s">
        <v>95</v>
      </c>
    </row>
    <row r="53">
      <c r="A53" s="2">
        <v>43386.459769189816</v>
      </c>
      <c r="B53" s="1" t="s">
        <v>102</v>
      </c>
      <c r="C53" s="1" t="s">
        <v>103</v>
      </c>
      <c r="D53" s="1" t="s">
        <v>12</v>
      </c>
      <c r="E53" s="1" t="s">
        <v>13</v>
      </c>
      <c r="F53" s="1" t="s">
        <v>25</v>
      </c>
    </row>
    <row r="54">
      <c r="A54" s="2">
        <v>43386.4608641088</v>
      </c>
      <c r="B54" s="1" t="s">
        <v>104</v>
      </c>
      <c r="C54" s="1" t="s">
        <v>105</v>
      </c>
      <c r="D54" s="1" t="s">
        <v>12</v>
      </c>
      <c r="E54" s="1" t="s">
        <v>13</v>
      </c>
      <c r="F54" s="1" t="s">
        <v>25</v>
      </c>
    </row>
    <row r="55">
      <c r="A55" s="2">
        <v>43386.46219506944</v>
      </c>
      <c r="B55" s="1" t="s">
        <v>106</v>
      </c>
      <c r="C55" s="1" t="s">
        <v>105</v>
      </c>
      <c r="D55" s="1" t="s">
        <v>18</v>
      </c>
      <c r="E55" s="1" t="s">
        <v>24</v>
      </c>
      <c r="F55" s="1" t="s">
        <v>25</v>
      </c>
    </row>
    <row r="56">
      <c r="A56" s="2">
        <v>43386.46295891204</v>
      </c>
      <c r="B56" s="1" t="s">
        <v>107</v>
      </c>
      <c r="C56" s="1" t="s">
        <v>105</v>
      </c>
      <c r="D56" s="1" t="s">
        <v>18</v>
      </c>
      <c r="E56" s="1" t="s">
        <v>13</v>
      </c>
      <c r="F56" s="1" t="s">
        <v>25</v>
      </c>
    </row>
    <row r="57">
      <c r="A57" s="2">
        <v>43386.466191875</v>
      </c>
      <c r="B57" s="1" t="s">
        <v>108</v>
      </c>
      <c r="C57" s="1" t="s">
        <v>109</v>
      </c>
      <c r="D57" s="1" t="s">
        <v>12</v>
      </c>
      <c r="E57" s="1" t="s">
        <v>82</v>
      </c>
      <c r="F57" s="1" t="s">
        <v>35</v>
      </c>
    </row>
    <row r="58">
      <c r="A58" s="2">
        <v>43386.466642824074</v>
      </c>
      <c r="B58" s="1" t="s">
        <v>110</v>
      </c>
      <c r="C58" s="1" t="s">
        <v>109</v>
      </c>
      <c r="D58" s="1" t="s">
        <v>18</v>
      </c>
      <c r="E58" s="1" t="s">
        <v>24</v>
      </c>
      <c r="F58" s="1" t="s">
        <v>25</v>
      </c>
    </row>
    <row r="59">
      <c r="A59" s="2">
        <v>43386.467235069445</v>
      </c>
      <c r="B59" s="1" t="s">
        <v>111</v>
      </c>
      <c r="C59" s="1" t="s">
        <v>109</v>
      </c>
      <c r="D59" s="1" t="s">
        <v>12</v>
      </c>
      <c r="E59" s="1" t="s">
        <v>13</v>
      </c>
      <c r="F59" s="1" t="s">
        <v>25</v>
      </c>
    </row>
    <row r="60">
      <c r="A60" s="2">
        <v>43386.47435325231</v>
      </c>
      <c r="B60" s="1" t="s">
        <v>112</v>
      </c>
      <c r="C60" s="1" t="s">
        <v>94</v>
      </c>
      <c r="D60" s="1" t="s">
        <v>12</v>
      </c>
      <c r="E60" s="1" t="s">
        <v>27</v>
      </c>
      <c r="F60" s="1" t="s">
        <v>95</v>
      </c>
    </row>
    <row r="61">
      <c r="A61" s="2">
        <v>43386.48008313657</v>
      </c>
      <c r="B61" s="1" t="s">
        <v>113</v>
      </c>
      <c r="C61" s="1" t="s">
        <v>94</v>
      </c>
      <c r="D61" s="1" t="s">
        <v>12</v>
      </c>
      <c r="E61" s="1" t="s">
        <v>13</v>
      </c>
      <c r="F61" s="1" t="s">
        <v>95</v>
      </c>
    </row>
    <row r="62">
      <c r="A62" s="2">
        <v>43386.48187819445</v>
      </c>
      <c r="B62" s="1" t="s">
        <v>114</v>
      </c>
      <c r="C62" s="1" t="s">
        <v>94</v>
      </c>
      <c r="D62" s="1" t="s">
        <v>12</v>
      </c>
      <c r="E62" s="1" t="s">
        <v>13</v>
      </c>
      <c r="F62" s="1" t="s">
        <v>95</v>
      </c>
    </row>
    <row r="63">
      <c r="A63" s="2">
        <v>43386.482564571765</v>
      </c>
      <c r="B63" s="1" t="s">
        <v>115</v>
      </c>
      <c r="C63" s="1" t="s">
        <v>116</v>
      </c>
      <c r="D63" s="1" t="s">
        <v>18</v>
      </c>
      <c r="E63" s="1" t="s">
        <v>13</v>
      </c>
      <c r="F63" s="1" t="s">
        <v>95</v>
      </c>
    </row>
    <row r="64">
      <c r="A64" s="2">
        <v>43386.48440770833</v>
      </c>
      <c r="B64" s="1" t="s">
        <v>117</v>
      </c>
      <c r="C64" s="1" t="s">
        <v>118</v>
      </c>
      <c r="D64" s="1" t="s">
        <v>12</v>
      </c>
      <c r="E64" s="1" t="s">
        <v>27</v>
      </c>
      <c r="F64" s="1" t="s">
        <v>119</v>
      </c>
    </row>
    <row r="65">
      <c r="A65" s="2">
        <v>43386.49204052083</v>
      </c>
      <c r="B65" s="1" t="s">
        <v>120</v>
      </c>
      <c r="C65" s="1" t="s">
        <v>52</v>
      </c>
      <c r="D65" s="1" t="s">
        <v>18</v>
      </c>
      <c r="E65" s="1" t="s">
        <v>24</v>
      </c>
      <c r="F65" s="1" t="s">
        <v>119</v>
      </c>
    </row>
    <row r="66">
      <c r="A66" s="2">
        <v>43386.492646886574</v>
      </c>
      <c r="B66" s="1" t="s">
        <v>121</v>
      </c>
      <c r="C66" s="1" t="s">
        <v>52</v>
      </c>
      <c r="D66" s="1" t="s">
        <v>12</v>
      </c>
      <c r="E66" s="1" t="s">
        <v>13</v>
      </c>
      <c r="F66" s="1" t="s">
        <v>119</v>
      </c>
    </row>
    <row r="67">
      <c r="A67" s="2">
        <v>43386.49525386574</v>
      </c>
      <c r="B67" s="1" t="s">
        <v>122</v>
      </c>
      <c r="C67" s="1" t="s">
        <v>94</v>
      </c>
      <c r="D67" s="1" t="s">
        <v>18</v>
      </c>
      <c r="E67" s="1" t="s">
        <v>24</v>
      </c>
      <c r="F67" s="1" t="s">
        <v>95</v>
      </c>
    </row>
    <row r="68">
      <c r="A68" s="2">
        <v>43386.50122627315</v>
      </c>
      <c r="B68" s="1" t="s">
        <v>123</v>
      </c>
      <c r="C68" s="1" t="s">
        <v>124</v>
      </c>
      <c r="D68" s="1" t="s">
        <v>12</v>
      </c>
      <c r="E68" s="1" t="s">
        <v>24</v>
      </c>
      <c r="F68" s="1" t="s">
        <v>50</v>
      </c>
    </row>
    <row r="69">
      <c r="A69" s="2">
        <v>43386.51180716435</v>
      </c>
      <c r="B69" s="1" t="s">
        <v>125</v>
      </c>
      <c r="C69" s="1" t="s">
        <v>126</v>
      </c>
      <c r="D69" s="1" t="s">
        <v>18</v>
      </c>
      <c r="E69" s="1" t="s">
        <v>24</v>
      </c>
      <c r="F69" s="1" t="s">
        <v>127</v>
      </c>
    </row>
    <row r="70">
      <c r="A70" s="2">
        <v>43386.51244832176</v>
      </c>
      <c r="B70" s="1" t="s">
        <v>128</v>
      </c>
      <c r="C70" s="1" t="s">
        <v>126</v>
      </c>
      <c r="D70" s="1" t="s">
        <v>12</v>
      </c>
      <c r="E70" s="1" t="s">
        <v>13</v>
      </c>
      <c r="F70" s="1" t="s">
        <v>127</v>
      </c>
    </row>
    <row r="71">
      <c r="A71" s="2">
        <v>43386.51293378472</v>
      </c>
      <c r="B71" s="1" t="s">
        <v>130</v>
      </c>
      <c r="C71" s="1" t="s">
        <v>100</v>
      </c>
      <c r="D71" s="1" t="s">
        <v>12</v>
      </c>
      <c r="E71" s="1" t="s">
        <v>13</v>
      </c>
      <c r="F71" s="1" t="s">
        <v>50</v>
      </c>
    </row>
    <row r="72">
      <c r="A72" s="2">
        <v>43386.51320079861</v>
      </c>
      <c r="B72" s="1" t="s">
        <v>131</v>
      </c>
      <c r="C72" s="1" t="s">
        <v>126</v>
      </c>
      <c r="D72" s="1" t="s">
        <v>12</v>
      </c>
      <c r="E72" s="1" t="s">
        <v>13</v>
      </c>
      <c r="F72" s="1" t="s">
        <v>127</v>
      </c>
    </row>
    <row r="73">
      <c r="A73" s="2">
        <v>43386.51371534722</v>
      </c>
      <c r="B73" s="1" t="s">
        <v>132</v>
      </c>
      <c r="C73" s="1" t="s">
        <v>126</v>
      </c>
      <c r="D73" s="1" t="s">
        <v>18</v>
      </c>
      <c r="E73" s="1" t="s">
        <v>13</v>
      </c>
      <c r="F73" s="1" t="s">
        <v>127</v>
      </c>
    </row>
    <row r="74">
      <c r="A74" s="2">
        <v>43386.51455258102</v>
      </c>
      <c r="B74" s="1" t="s">
        <v>133</v>
      </c>
      <c r="C74" s="1" t="s">
        <v>134</v>
      </c>
      <c r="D74" s="1" t="s">
        <v>18</v>
      </c>
      <c r="E74" s="1" t="s">
        <v>24</v>
      </c>
      <c r="F74" s="1" t="s">
        <v>135</v>
      </c>
    </row>
    <row r="75">
      <c r="A75" s="2">
        <v>43386.52352826389</v>
      </c>
      <c r="B75" s="1" t="s">
        <v>136</v>
      </c>
      <c r="C75" s="1" t="s">
        <v>137</v>
      </c>
      <c r="D75" s="1" t="s">
        <v>18</v>
      </c>
      <c r="E75" s="1" t="s">
        <v>24</v>
      </c>
      <c r="F75" s="1" t="s">
        <v>119</v>
      </c>
    </row>
    <row r="76">
      <c r="A76" s="2">
        <v>43386.53777833333</v>
      </c>
      <c r="B76" s="1" t="s">
        <v>138</v>
      </c>
      <c r="C76" s="1" t="s">
        <v>134</v>
      </c>
      <c r="D76" s="1" t="s">
        <v>12</v>
      </c>
      <c r="E76" s="1" t="s">
        <v>13</v>
      </c>
      <c r="F76" s="1" t="s">
        <v>135</v>
      </c>
    </row>
    <row r="77">
      <c r="A77" s="2">
        <v>43386.556523541665</v>
      </c>
      <c r="B77" s="1" t="s">
        <v>139</v>
      </c>
      <c r="C77" s="1" t="s">
        <v>140</v>
      </c>
      <c r="D77" s="1" t="s">
        <v>12</v>
      </c>
      <c r="E77" s="1" t="s">
        <v>24</v>
      </c>
      <c r="F77" s="1" t="s">
        <v>62</v>
      </c>
    </row>
    <row r="78">
      <c r="A78" s="2">
        <v>43386.5703505787</v>
      </c>
      <c r="B78" s="1" t="s">
        <v>141</v>
      </c>
      <c r="C78" s="1" t="s">
        <v>142</v>
      </c>
      <c r="D78" s="1" t="s">
        <v>12</v>
      </c>
      <c r="E78" s="1" t="s">
        <v>24</v>
      </c>
      <c r="F78" s="1" t="s">
        <v>143</v>
      </c>
    </row>
    <row r="79">
      <c r="A79" s="2">
        <v>43386.57716346065</v>
      </c>
      <c r="B79" s="1" t="s">
        <v>113</v>
      </c>
      <c r="C79" s="1" t="s">
        <v>144</v>
      </c>
      <c r="D79" s="1" t="s">
        <v>12</v>
      </c>
      <c r="E79" s="1" t="s">
        <v>13</v>
      </c>
      <c r="F79" s="1" t="s">
        <v>95</v>
      </c>
    </row>
    <row r="80">
      <c r="A80" s="2">
        <v>43386.578030625</v>
      </c>
      <c r="B80" s="1" t="s">
        <v>101</v>
      </c>
      <c r="C80" s="1" t="s">
        <v>144</v>
      </c>
      <c r="D80" s="1" t="s">
        <v>18</v>
      </c>
      <c r="E80" s="1" t="s">
        <v>24</v>
      </c>
      <c r="F80" s="1" t="s">
        <v>95</v>
      </c>
    </row>
    <row r="81">
      <c r="A81" s="2">
        <v>43386.57936369213</v>
      </c>
      <c r="B81" s="1" t="s">
        <v>98</v>
      </c>
      <c r="C81" s="1" t="s">
        <v>145</v>
      </c>
      <c r="D81" s="1" t="s">
        <v>18</v>
      </c>
      <c r="E81" s="1" t="s">
        <v>24</v>
      </c>
      <c r="F81" s="1" t="s">
        <v>95</v>
      </c>
    </row>
    <row r="82">
      <c r="A82" s="2">
        <v>43386.58097509259</v>
      </c>
      <c r="B82" s="1" t="s">
        <v>122</v>
      </c>
      <c r="C82" s="1" t="s">
        <v>146</v>
      </c>
      <c r="D82" s="1" t="s">
        <v>18</v>
      </c>
      <c r="E82" s="1" t="s">
        <v>24</v>
      </c>
      <c r="F82" s="1" t="s">
        <v>95</v>
      </c>
    </row>
    <row r="83">
      <c r="A83" s="2">
        <v>43386.593615405094</v>
      </c>
      <c r="B83" s="1" t="s">
        <v>147</v>
      </c>
      <c r="C83" s="1" t="s">
        <v>148</v>
      </c>
      <c r="D83" s="1" t="s">
        <v>12</v>
      </c>
      <c r="E83" s="1" t="s">
        <v>24</v>
      </c>
      <c r="F83" s="1" t="s">
        <v>143</v>
      </c>
    </row>
    <row r="84">
      <c r="A84" s="2">
        <v>43386.593957731486</v>
      </c>
      <c r="B84" s="1" t="s">
        <v>147</v>
      </c>
      <c r="C84" s="1" t="s">
        <v>148</v>
      </c>
      <c r="D84" s="1" t="s">
        <v>12</v>
      </c>
      <c r="E84" s="1" t="s">
        <v>24</v>
      </c>
      <c r="F84" s="1" t="s">
        <v>143</v>
      </c>
    </row>
    <row r="85">
      <c r="A85" s="2">
        <v>43386.6047337037</v>
      </c>
      <c r="B85" s="1" t="s">
        <v>149</v>
      </c>
      <c r="C85" s="1" t="s">
        <v>150</v>
      </c>
      <c r="D85" s="1" t="s">
        <v>18</v>
      </c>
      <c r="E85" s="1" t="s">
        <v>24</v>
      </c>
      <c r="F85" s="1" t="s">
        <v>67</v>
      </c>
    </row>
    <row r="86">
      <c r="A86" s="2">
        <v>43386.605921759256</v>
      </c>
      <c r="B86" s="1" t="s">
        <v>151</v>
      </c>
      <c r="C86" s="1" t="s">
        <v>150</v>
      </c>
      <c r="D86" s="1" t="s">
        <v>18</v>
      </c>
      <c r="E86" s="1" t="s">
        <v>13</v>
      </c>
      <c r="F86" s="1" t="s">
        <v>67</v>
      </c>
    </row>
    <row r="87">
      <c r="A87" s="2">
        <v>43386.606785173615</v>
      </c>
      <c r="B87" s="1" t="s">
        <v>152</v>
      </c>
      <c r="C87" s="1" t="s">
        <v>150</v>
      </c>
      <c r="D87" s="1" t="s">
        <v>12</v>
      </c>
      <c r="E87" s="1" t="s">
        <v>13</v>
      </c>
      <c r="F87" s="1" t="s">
        <v>67</v>
      </c>
    </row>
    <row r="88">
      <c r="A88" s="2">
        <v>43386.607277766205</v>
      </c>
      <c r="B88" s="1" t="s">
        <v>153</v>
      </c>
      <c r="C88" s="1" t="s">
        <v>150</v>
      </c>
      <c r="D88" s="1" t="s">
        <v>12</v>
      </c>
      <c r="E88" s="1" t="s">
        <v>13</v>
      </c>
      <c r="F88" s="1" t="s">
        <v>67</v>
      </c>
    </row>
    <row r="89">
      <c r="A89" s="2">
        <v>43386.61467473379</v>
      </c>
      <c r="B89" s="1" t="s">
        <v>154</v>
      </c>
      <c r="C89" s="1" t="s">
        <v>155</v>
      </c>
      <c r="D89" s="1" t="s">
        <v>12</v>
      </c>
      <c r="E89" s="1" t="s">
        <v>13</v>
      </c>
      <c r="F89" s="1" t="s">
        <v>156</v>
      </c>
      <c r="G89" s="1" t="s">
        <v>157</v>
      </c>
    </row>
    <row r="90">
      <c r="A90" s="2">
        <v>43386.61557711806</v>
      </c>
      <c r="B90" s="1" t="s">
        <v>158</v>
      </c>
      <c r="C90" s="1" t="s">
        <v>155</v>
      </c>
      <c r="D90" s="1" t="s">
        <v>12</v>
      </c>
      <c r="E90" s="1" t="s">
        <v>13</v>
      </c>
      <c r="F90" s="1" t="s">
        <v>156</v>
      </c>
      <c r="G90" s="1" t="s">
        <v>159</v>
      </c>
    </row>
    <row r="91">
      <c r="A91" s="2">
        <v>43386.61628127315</v>
      </c>
      <c r="B91" s="1" t="s">
        <v>160</v>
      </c>
      <c r="C91" s="1" t="s">
        <v>155</v>
      </c>
      <c r="D91" s="1" t="s">
        <v>18</v>
      </c>
      <c r="E91" s="1" t="s">
        <v>13</v>
      </c>
      <c r="F91" s="1" t="s">
        <v>156</v>
      </c>
      <c r="G91" s="1" t="s">
        <v>161</v>
      </c>
    </row>
    <row r="92">
      <c r="A92" s="2">
        <v>43386.61684966435</v>
      </c>
      <c r="B92" s="1" t="s">
        <v>162</v>
      </c>
      <c r="C92" s="1" t="s">
        <v>155</v>
      </c>
      <c r="D92" s="1" t="s">
        <v>18</v>
      </c>
      <c r="E92" s="1" t="s">
        <v>24</v>
      </c>
      <c r="F92" s="1" t="s">
        <v>156</v>
      </c>
      <c r="G92" s="1" t="s">
        <v>163</v>
      </c>
    </row>
    <row r="93">
      <c r="A93" s="2">
        <v>43386.619152430554</v>
      </c>
      <c r="B93" s="1" t="s">
        <v>164</v>
      </c>
      <c r="C93" s="1" t="s">
        <v>165</v>
      </c>
      <c r="D93" s="1" t="s">
        <v>18</v>
      </c>
      <c r="E93" s="1" t="s">
        <v>24</v>
      </c>
      <c r="F93" s="1" t="s">
        <v>67</v>
      </c>
    </row>
    <row r="94">
      <c r="A94" s="2">
        <v>43386.61982255787</v>
      </c>
      <c r="B94" s="1" t="s">
        <v>166</v>
      </c>
      <c r="C94" s="1" t="s">
        <v>165</v>
      </c>
      <c r="D94" s="1" t="s">
        <v>12</v>
      </c>
      <c r="E94" s="1" t="s">
        <v>13</v>
      </c>
      <c r="F94" s="1" t="s">
        <v>67</v>
      </c>
    </row>
    <row r="95">
      <c r="A95" s="2">
        <v>43386.62041173611</v>
      </c>
      <c r="B95" s="1" t="s">
        <v>167</v>
      </c>
      <c r="C95" s="1" t="s">
        <v>165</v>
      </c>
      <c r="D95" s="1" t="s">
        <v>12</v>
      </c>
      <c r="E95" s="1" t="s">
        <v>13</v>
      </c>
      <c r="F95" s="1" t="s">
        <v>67</v>
      </c>
    </row>
    <row r="96">
      <c r="A96" s="2">
        <v>43386.660782824074</v>
      </c>
      <c r="B96" s="1" t="s">
        <v>168</v>
      </c>
      <c r="C96" s="1" t="s">
        <v>140</v>
      </c>
      <c r="D96" s="1" t="s">
        <v>18</v>
      </c>
      <c r="E96" s="1" t="s">
        <v>13</v>
      </c>
      <c r="F96" s="1" t="s">
        <v>62</v>
      </c>
    </row>
    <row r="97">
      <c r="A97" s="2">
        <v>43386.66767340278</v>
      </c>
      <c r="B97" s="1" t="s">
        <v>169</v>
      </c>
      <c r="C97" s="1" t="s">
        <v>170</v>
      </c>
      <c r="D97" s="1" t="s">
        <v>18</v>
      </c>
      <c r="E97" s="1" t="s">
        <v>24</v>
      </c>
      <c r="F97" s="1" t="s">
        <v>119</v>
      </c>
    </row>
    <row r="98">
      <c r="A98" s="2">
        <v>43386.70947135417</v>
      </c>
      <c r="B98" s="1" t="s">
        <v>171</v>
      </c>
      <c r="C98" s="1" t="s">
        <v>172</v>
      </c>
      <c r="D98" s="1" t="s">
        <v>18</v>
      </c>
      <c r="E98" s="1" t="s">
        <v>24</v>
      </c>
      <c r="F98" s="1" t="s">
        <v>156</v>
      </c>
    </row>
    <row r="99">
      <c r="A99" s="2">
        <v>43386.70996432871</v>
      </c>
      <c r="B99" s="1" t="s">
        <v>173</v>
      </c>
      <c r="C99" s="1" t="s">
        <v>172</v>
      </c>
      <c r="D99" s="1" t="s">
        <v>12</v>
      </c>
      <c r="E99" s="1" t="s">
        <v>13</v>
      </c>
      <c r="F99" s="1" t="s">
        <v>156</v>
      </c>
    </row>
    <row r="100">
      <c r="A100" s="2">
        <v>43386.71039775463</v>
      </c>
      <c r="B100" s="1" t="s">
        <v>174</v>
      </c>
      <c r="C100" s="1" t="s">
        <v>172</v>
      </c>
      <c r="D100" s="1" t="s">
        <v>12</v>
      </c>
      <c r="E100" s="1" t="s">
        <v>13</v>
      </c>
      <c r="F100" s="1" t="s">
        <v>156</v>
      </c>
    </row>
    <row r="101">
      <c r="A101" s="2">
        <v>43386.71051607639</v>
      </c>
      <c r="B101" s="1" t="s">
        <v>175</v>
      </c>
      <c r="C101" s="1" t="s">
        <v>176</v>
      </c>
      <c r="D101" s="1" t="s">
        <v>18</v>
      </c>
      <c r="E101" s="1" t="s">
        <v>24</v>
      </c>
      <c r="F101" s="1" t="s">
        <v>135</v>
      </c>
    </row>
    <row r="102">
      <c r="A102" s="2">
        <v>43386.71077344907</v>
      </c>
      <c r="B102" s="1" t="s">
        <v>177</v>
      </c>
      <c r="C102" s="1" t="s">
        <v>172</v>
      </c>
      <c r="D102" s="1" t="s">
        <v>12</v>
      </c>
      <c r="E102" s="1" t="s">
        <v>13</v>
      </c>
      <c r="F102" s="1" t="s">
        <v>156</v>
      </c>
    </row>
    <row r="103">
      <c r="A103" s="2">
        <v>43386.71110340278</v>
      </c>
      <c r="B103" s="1" t="s">
        <v>178</v>
      </c>
      <c r="C103" s="1" t="s">
        <v>172</v>
      </c>
      <c r="D103" s="1" t="s">
        <v>12</v>
      </c>
      <c r="E103" s="1" t="s">
        <v>13</v>
      </c>
      <c r="F103" s="1" t="s">
        <v>156</v>
      </c>
    </row>
    <row r="104">
      <c r="A104" s="2">
        <v>43386.711165</v>
      </c>
      <c r="B104" s="1" t="s">
        <v>179</v>
      </c>
      <c r="C104" s="1" t="s">
        <v>176</v>
      </c>
      <c r="D104" s="1" t="s">
        <v>12</v>
      </c>
      <c r="E104" s="1" t="s">
        <v>13</v>
      </c>
      <c r="F104" s="1" t="s">
        <v>135</v>
      </c>
    </row>
    <row r="105">
      <c r="A105" s="2">
        <v>43386.73097877315</v>
      </c>
      <c r="B105" s="1" t="s">
        <v>180</v>
      </c>
      <c r="C105" s="1" t="s">
        <v>181</v>
      </c>
      <c r="D105" s="1" t="s">
        <v>18</v>
      </c>
      <c r="E105" s="1" t="s">
        <v>24</v>
      </c>
      <c r="F105" s="1" t="s">
        <v>182</v>
      </c>
    </row>
    <row r="106">
      <c r="A106" s="2">
        <v>43386.73154579861</v>
      </c>
      <c r="B106" s="1" t="s">
        <v>183</v>
      </c>
      <c r="C106" s="1" t="s">
        <v>181</v>
      </c>
      <c r="D106" s="1" t="s">
        <v>18</v>
      </c>
      <c r="E106" s="1" t="s">
        <v>13</v>
      </c>
      <c r="F106" s="1" t="s">
        <v>182</v>
      </c>
    </row>
    <row r="107">
      <c r="A107" s="2">
        <v>43386.73218569445</v>
      </c>
      <c r="B107" s="1" t="s">
        <v>184</v>
      </c>
      <c r="C107" s="1" t="s">
        <v>181</v>
      </c>
      <c r="D107" s="1" t="s">
        <v>12</v>
      </c>
      <c r="E107" s="1" t="s">
        <v>13</v>
      </c>
      <c r="F107" s="1" t="s">
        <v>182</v>
      </c>
    </row>
    <row r="108">
      <c r="A108" s="2">
        <v>43386.73253734954</v>
      </c>
      <c r="B108" s="1" t="s">
        <v>185</v>
      </c>
      <c r="C108" s="1" t="s">
        <v>181</v>
      </c>
      <c r="D108" s="1" t="s">
        <v>12</v>
      </c>
      <c r="E108" s="1" t="s">
        <v>13</v>
      </c>
      <c r="F108" s="1" t="s">
        <v>182</v>
      </c>
    </row>
    <row r="109">
      <c r="A109" s="2">
        <v>43386.7846062037</v>
      </c>
      <c r="B109" s="1" t="s">
        <v>97</v>
      </c>
      <c r="C109" s="1" t="s">
        <v>186</v>
      </c>
      <c r="D109" s="1" t="s">
        <v>18</v>
      </c>
      <c r="E109" s="1" t="s">
        <v>24</v>
      </c>
      <c r="F109" s="1" t="s">
        <v>95</v>
      </c>
    </row>
    <row r="110">
      <c r="A110" s="2">
        <v>43386.785622951385</v>
      </c>
      <c r="B110" s="1" t="s">
        <v>187</v>
      </c>
      <c r="C110" s="1" t="s">
        <v>186</v>
      </c>
      <c r="D110" s="1" t="s">
        <v>12</v>
      </c>
      <c r="E110" s="1" t="s">
        <v>13</v>
      </c>
      <c r="F110" s="1" t="s">
        <v>95</v>
      </c>
    </row>
    <row r="111">
      <c r="A111" s="2">
        <v>43386.78707399305</v>
      </c>
      <c r="B111" s="1" t="s">
        <v>188</v>
      </c>
      <c r="C111" s="1" t="s">
        <v>146</v>
      </c>
      <c r="D111" s="1" t="s">
        <v>12</v>
      </c>
      <c r="E111" s="1" t="s">
        <v>13</v>
      </c>
      <c r="F111" s="1" t="s">
        <v>95</v>
      </c>
    </row>
    <row r="112">
      <c r="A112" s="2">
        <v>43386.796724837965</v>
      </c>
      <c r="B112" s="1" t="s">
        <v>189</v>
      </c>
      <c r="C112" s="1" t="s">
        <v>190</v>
      </c>
      <c r="D112" s="1" t="s">
        <v>12</v>
      </c>
      <c r="E112" s="1" t="s">
        <v>24</v>
      </c>
      <c r="F112" s="1" t="s">
        <v>67</v>
      </c>
    </row>
    <row r="113">
      <c r="A113" s="2">
        <v>43386.79726724537</v>
      </c>
      <c r="B113" s="1" t="s">
        <v>191</v>
      </c>
      <c r="C113" s="1" t="s">
        <v>190</v>
      </c>
      <c r="D113" s="1" t="s">
        <v>18</v>
      </c>
      <c r="E113" s="1" t="s">
        <v>24</v>
      </c>
      <c r="F113" s="1" t="s">
        <v>25</v>
      </c>
    </row>
    <row r="114">
      <c r="A114" s="2">
        <v>43386.798182928236</v>
      </c>
      <c r="B114" s="1" t="s">
        <v>192</v>
      </c>
      <c r="C114" s="1" t="s">
        <v>190</v>
      </c>
      <c r="D114" s="1" t="s">
        <v>12</v>
      </c>
      <c r="E114" s="1" t="s">
        <v>13</v>
      </c>
      <c r="F114" s="1" t="s">
        <v>67</v>
      </c>
    </row>
    <row r="115">
      <c r="A115" s="2">
        <v>43386.83820789352</v>
      </c>
      <c r="B115" s="1" t="s">
        <v>193</v>
      </c>
      <c r="C115" s="1" t="s">
        <v>194</v>
      </c>
      <c r="D115" s="1" t="s">
        <v>18</v>
      </c>
      <c r="E115" s="1" t="s">
        <v>24</v>
      </c>
      <c r="F115" s="1" t="s">
        <v>127</v>
      </c>
    </row>
    <row r="116">
      <c r="A116" s="2">
        <v>43386.84354056713</v>
      </c>
      <c r="B116" s="1" t="s">
        <v>195</v>
      </c>
      <c r="C116" s="1" t="s">
        <v>196</v>
      </c>
      <c r="D116" s="1" t="s">
        <v>12</v>
      </c>
      <c r="E116" s="1" t="s">
        <v>24</v>
      </c>
      <c r="F116" s="1" t="s">
        <v>127</v>
      </c>
    </row>
    <row r="117">
      <c r="A117" s="2">
        <v>43386.848016840275</v>
      </c>
      <c r="B117" s="1" t="s">
        <v>197</v>
      </c>
      <c r="C117" s="1" t="s">
        <v>198</v>
      </c>
      <c r="D117" s="1" t="s">
        <v>18</v>
      </c>
      <c r="E117" s="1" t="s">
        <v>24</v>
      </c>
      <c r="F117" s="1" t="s">
        <v>127</v>
      </c>
    </row>
    <row r="118">
      <c r="A118" s="2">
        <v>43386.85009813657</v>
      </c>
      <c r="B118" s="1" t="s">
        <v>199</v>
      </c>
      <c r="C118" s="1" t="s">
        <v>198</v>
      </c>
      <c r="D118" s="1" t="s">
        <v>12</v>
      </c>
      <c r="E118" s="1" t="s">
        <v>24</v>
      </c>
      <c r="F118" s="1" t="s">
        <v>135</v>
      </c>
    </row>
    <row r="119">
      <c r="A119" s="2">
        <v>43386.851710856485</v>
      </c>
      <c r="B119" s="1" t="s">
        <v>200</v>
      </c>
      <c r="C119" s="1" t="s">
        <v>198</v>
      </c>
      <c r="D119" s="1" t="s">
        <v>12</v>
      </c>
      <c r="E119" s="1" t="s">
        <v>13</v>
      </c>
      <c r="F119" s="1" t="s">
        <v>135</v>
      </c>
    </row>
    <row r="120">
      <c r="A120" s="2">
        <v>43386.85497739584</v>
      </c>
      <c r="B120" s="1" t="s">
        <v>201</v>
      </c>
      <c r="C120" s="1" t="s">
        <v>202</v>
      </c>
      <c r="D120" s="1" t="s">
        <v>18</v>
      </c>
      <c r="E120" s="1" t="s">
        <v>24</v>
      </c>
      <c r="F120" s="1" t="s">
        <v>127</v>
      </c>
    </row>
    <row r="121">
      <c r="A121" s="2">
        <v>43386.8557221875</v>
      </c>
      <c r="B121" s="1" t="s">
        <v>203</v>
      </c>
      <c r="C121" s="1" t="s">
        <v>202</v>
      </c>
      <c r="D121" s="1" t="s">
        <v>12</v>
      </c>
      <c r="E121" s="1" t="s">
        <v>13</v>
      </c>
      <c r="F121" s="1" t="s">
        <v>127</v>
      </c>
    </row>
    <row r="122">
      <c r="A122" s="2">
        <v>43386.87486991898</v>
      </c>
      <c r="B122" s="1" t="s">
        <v>204</v>
      </c>
      <c r="C122" s="1" t="s">
        <v>205</v>
      </c>
      <c r="D122" s="1" t="s">
        <v>12</v>
      </c>
      <c r="E122" s="1" t="s">
        <v>13</v>
      </c>
      <c r="F122" s="1" t="s">
        <v>135</v>
      </c>
    </row>
    <row r="123">
      <c r="A123" s="2">
        <v>43386.892550115736</v>
      </c>
      <c r="B123" s="1" t="s">
        <v>206</v>
      </c>
      <c r="C123" s="1" t="s">
        <v>207</v>
      </c>
      <c r="D123" s="1" t="s">
        <v>18</v>
      </c>
      <c r="E123" s="1" t="s">
        <v>24</v>
      </c>
      <c r="F123" s="1" t="s">
        <v>135</v>
      </c>
    </row>
    <row r="124">
      <c r="A124" s="2">
        <v>43386.89321368055</v>
      </c>
      <c r="B124" s="1" t="s">
        <v>208</v>
      </c>
      <c r="C124" s="1" t="s">
        <v>207</v>
      </c>
      <c r="D124" s="1" t="s">
        <v>12</v>
      </c>
      <c r="E124" s="1" t="s">
        <v>13</v>
      </c>
      <c r="F124" s="1" t="s">
        <v>135</v>
      </c>
    </row>
    <row r="125">
      <c r="A125" s="2">
        <v>43386.89487094907</v>
      </c>
      <c r="B125" s="1" t="s">
        <v>209</v>
      </c>
      <c r="C125" s="1" t="s">
        <v>210</v>
      </c>
      <c r="D125" s="1" t="s">
        <v>18</v>
      </c>
      <c r="E125" s="1" t="s">
        <v>24</v>
      </c>
      <c r="F125" s="1" t="s">
        <v>127</v>
      </c>
    </row>
    <row r="126">
      <c r="A126" s="2">
        <v>43386.896413344904</v>
      </c>
      <c r="B126" s="1" t="s">
        <v>211</v>
      </c>
      <c r="C126" s="1" t="s">
        <v>212</v>
      </c>
      <c r="D126" s="1" t="s">
        <v>18</v>
      </c>
      <c r="E126" s="1" t="s">
        <v>24</v>
      </c>
      <c r="F126" s="1" t="s">
        <v>127</v>
      </c>
    </row>
    <row r="127">
      <c r="A127" s="2">
        <v>43386.89689403935</v>
      </c>
      <c r="B127" s="1" t="s">
        <v>213</v>
      </c>
      <c r="C127" s="1" t="s">
        <v>210</v>
      </c>
      <c r="D127" s="1" t="s">
        <v>12</v>
      </c>
      <c r="E127" s="1" t="s">
        <v>13</v>
      </c>
      <c r="F127" s="1" t="s">
        <v>127</v>
      </c>
    </row>
    <row r="128">
      <c r="A128" s="2">
        <v>43386.89998376157</v>
      </c>
      <c r="B128" s="1" t="s">
        <v>214</v>
      </c>
      <c r="C128" s="1" t="s">
        <v>212</v>
      </c>
      <c r="D128" s="1" t="s">
        <v>12</v>
      </c>
      <c r="E128" s="1" t="s">
        <v>13</v>
      </c>
      <c r="F128" s="1" t="s">
        <v>127</v>
      </c>
    </row>
    <row r="129">
      <c r="A129" s="2">
        <v>43386.95654953703</v>
      </c>
      <c r="B129" s="1" t="s">
        <v>215</v>
      </c>
      <c r="C129" s="1" t="s">
        <v>216</v>
      </c>
      <c r="D129" s="1" t="s">
        <v>18</v>
      </c>
      <c r="E129" s="1" t="s">
        <v>24</v>
      </c>
      <c r="F129" s="1" t="s">
        <v>127</v>
      </c>
    </row>
    <row r="130">
      <c r="A130" s="2">
        <v>43386.95832017361</v>
      </c>
      <c r="B130" s="1" t="s">
        <v>217</v>
      </c>
      <c r="C130" s="1" t="s">
        <v>216</v>
      </c>
      <c r="D130" s="1" t="s">
        <v>12</v>
      </c>
      <c r="E130" s="1" t="s">
        <v>13</v>
      </c>
      <c r="F130" s="1" t="s">
        <v>127</v>
      </c>
    </row>
    <row r="131">
      <c r="A131" s="2">
        <v>43386.95946592593</v>
      </c>
      <c r="B131" s="1" t="s">
        <v>218</v>
      </c>
      <c r="C131" s="1" t="s">
        <v>216</v>
      </c>
      <c r="D131" s="1" t="s">
        <v>12</v>
      </c>
      <c r="E131" s="1" t="s">
        <v>13</v>
      </c>
      <c r="F131" s="1" t="s">
        <v>127</v>
      </c>
    </row>
    <row r="132">
      <c r="A132" s="2">
        <v>43386.960024733795</v>
      </c>
      <c r="B132" s="1" t="s">
        <v>219</v>
      </c>
      <c r="C132" s="1" t="s">
        <v>216</v>
      </c>
      <c r="D132" s="1" t="s">
        <v>12</v>
      </c>
      <c r="E132" s="1" t="s">
        <v>13</v>
      </c>
      <c r="F132" s="1" t="s">
        <v>127</v>
      </c>
    </row>
    <row r="133">
      <c r="A133" s="2">
        <v>43386.989628738425</v>
      </c>
      <c r="B133" s="1" t="s">
        <v>220</v>
      </c>
      <c r="C133" s="1" t="s">
        <v>196</v>
      </c>
      <c r="D133" s="1" t="s">
        <v>12</v>
      </c>
      <c r="E133" s="1" t="s">
        <v>13</v>
      </c>
      <c r="F133" s="1" t="s">
        <v>127</v>
      </c>
    </row>
    <row r="134">
      <c r="A134" s="2">
        <v>43387.368531354165</v>
      </c>
      <c r="B134" s="1" t="s">
        <v>221</v>
      </c>
      <c r="C134" s="1" t="s">
        <v>222</v>
      </c>
      <c r="D134" s="1" t="s">
        <v>12</v>
      </c>
      <c r="E134" s="1" t="s">
        <v>13</v>
      </c>
      <c r="F134" s="1" t="s">
        <v>67</v>
      </c>
    </row>
    <row r="135">
      <c r="A135" s="2">
        <v>43387.37249152778</v>
      </c>
      <c r="B135" s="1" t="s">
        <v>223</v>
      </c>
      <c r="C135" s="1" t="s">
        <v>222</v>
      </c>
      <c r="D135" s="1" t="s">
        <v>12</v>
      </c>
      <c r="E135" s="1" t="s">
        <v>82</v>
      </c>
      <c r="F135" s="1" t="s">
        <v>67</v>
      </c>
      <c r="G135" s="1" t="s">
        <v>224</v>
      </c>
    </row>
    <row r="136">
      <c r="A136" s="2">
        <v>43387.372975624996</v>
      </c>
      <c r="B136" s="1" t="s">
        <v>225</v>
      </c>
      <c r="C136" s="1" t="s">
        <v>222</v>
      </c>
      <c r="D136" s="1" t="s">
        <v>18</v>
      </c>
      <c r="E136" s="1" t="s">
        <v>24</v>
      </c>
      <c r="F136" s="1" t="s">
        <v>67</v>
      </c>
    </row>
    <row r="137">
      <c r="A137" s="2">
        <v>43387.4499042824</v>
      </c>
      <c r="B137" s="1" t="s">
        <v>226</v>
      </c>
      <c r="C137" s="1" t="s">
        <v>227</v>
      </c>
      <c r="D137" s="1" t="s">
        <v>12</v>
      </c>
      <c r="E137" s="1" t="s">
        <v>27</v>
      </c>
      <c r="F137" s="1" t="s">
        <v>31</v>
      </c>
    </row>
    <row r="138">
      <c r="A138" s="2">
        <v>43387.450286527775</v>
      </c>
      <c r="B138" s="1" t="s">
        <v>228</v>
      </c>
      <c r="C138" s="1" t="s">
        <v>227</v>
      </c>
      <c r="D138" s="1" t="s">
        <v>12</v>
      </c>
      <c r="E138" s="1" t="s">
        <v>13</v>
      </c>
      <c r="F138" s="1" t="s">
        <v>31</v>
      </c>
    </row>
    <row r="139">
      <c r="A139" s="2">
        <v>43387.450726435185</v>
      </c>
      <c r="B139" s="1" t="s">
        <v>229</v>
      </c>
      <c r="C139" s="1" t="s">
        <v>227</v>
      </c>
      <c r="D139" s="1" t="s">
        <v>12</v>
      </c>
      <c r="E139" s="1" t="s">
        <v>24</v>
      </c>
      <c r="F139" s="1" t="s">
        <v>31</v>
      </c>
    </row>
    <row r="140">
      <c r="A140" s="2">
        <v>43387.45104958334</v>
      </c>
      <c r="B140" s="1" t="s">
        <v>230</v>
      </c>
      <c r="C140" s="1" t="s">
        <v>227</v>
      </c>
      <c r="D140" s="1" t="s">
        <v>18</v>
      </c>
      <c r="E140" s="1" t="s">
        <v>24</v>
      </c>
      <c r="F140" s="1" t="s">
        <v>25</v>
      </c>
    </row>
    <row r="141">
      <c r="A141" s="2">
        <v>43387.465625729164</v>
      </c>
      <c r="B141" s="1" t="s">
        <v>231</v>
      </c>
      <c r="C141" s="1" t="s">
        <v>232</v>
      </c>
      <c r="D141" s="1" t="s">
        <v>12</v>
      </c>
      <c r="E141" s="1" t="s">
        <v>13</v>
      </c>
      <c r="F141" s="1" t="s">
        <v>31</v>
      </c>
    </row>
    <row r="142">
      <c r="A142" s="2">
        <v>43387.46611076389</v>
      </c>
      <c r="B142" s="1" t="s">
        <v>233</v>
      </c>
      <c r="C142" s="1" t="s">
        <v>232</v>
      </c>
      <c r="D142" s="1" t="s">
        <v>12</v>
      </c>
      <c r="E142" s="1" t="s">
        <v>24</v>
      </c>
      <c r="F142" s="1" t="s">
        <v>31</v>
      </c>
    </row>
    <row r="143">
      <c r="A143" s="2">
        <v>43387.46654659722</v>
      </c>
      <c r="B143" s="1" t="s">
        <v>234</v>
      </c>
      <c r="C143" s="1" t="s">
        <v>232</v>
      </c>
      <c r="D143" s="1" t="s">
        <v>12</v>
      </c>
      <c r="E143" s="1" t="s">
        <v>13</v>
      </c>
      <c r="F143" s="1" t="s">
        <v>31</v>
      </c>
    </row>
    <row r="144">
      <c r="A144" s="2">
        <v>43387.46863452546</v>
      </c>
      <c r="B144" s="1" t="s">
        <v>235</v>
      </c>
      <c r="C144" s="1" t="s">
        <v>124</v>
      </c>
      <c r="D144" s="1" t="s">
        <v>18</v>
      </c>
      <c r="E144" s="1" t="s">
        <v>24</v>
      </c>
      <c r="F144" s="1" t="s">
        <v>119</v>
      </c>
    </row>
    <row r="145">
      <c r="A145" s="2">
        <v>43387.47294076389</v>
      </c>
      <c r="B145" s="1" t="s">
        <v>236</v>
      </c>
      <c r="C145" s="1" t="s">
        <v>124</v>
      </c>
      <c r="D145" s="1" t="s">
        <v>12</v>
      </c>
      <c r="E145" s="1" t="s">
        <v>13</v>
      </c>
      <c r="F145" s="1" t="s">
        <v>119</v>
      </c>
    </row>
    <row r="146">
      <c r="A146" s="2">
        <v>43387.473337476855</v>
      </c>
      <c r="B146" s="1" t="s">
        <v>237</v>
      </c>
      <c r="C146" s="1" t="s">
        <v>124</v>
      </c>
      <c r="D146" s="1" t="s">
        <v>18</v>
      </c>
      <c r="E146" s="1" t="s">
        <v>13</v>
      </c>
      <c r="F146" s="1" t="s">
        <v>50</v>
      </c>
    </row>
    <row r="147">
      <c r="A147" s="2">
        <v>43387.48604534722</v>
      </c>
      <c r="B147" s="1" t="s">
        <v>238</v>
      </c>
      <c r="C147" s="1" t="s">
        <v>239</v>
      </c>
      <c r="D147" s="1" t="s">
        <v>12</v>
      </c>
      <c r="E147" s="1" t="s">
        <v>82</v>
      </c>
      <c r="F147" s="1" t="s">
        <v>62</v>
      </c>
    </row>
    <row r="148">
      <c r="A148" s="2">
        <v>43387.48741743056</v>
      </c>
      <c r="B148" s="1" t="s">
        <v>240</v>
      </c>
      <c r="C148" s="1" t="s">
        <v>239</v>
      </c>
      <c r="D148" s="1" t="s">
        <v>12</v>
      </c>
      <c r="E148" s="1" t="s">
        <v>13</v>
      </c>
      <c r="F148" s="1" t="s">
        <v>62</v>
      </c>
    </row>
    <row r="149">
      <c r="A149" s="2">
        <v>43387.48985524305</v>
      </c>
      <c r="B149" s="1" t="s">
        <v>242</v>
      </c>
      <c r="C149" s="1" t="s">
        <v>239</v>
      </c>
      <c r="D149" s="1" t="s">
        <v>18</v>
      </c>
      <c r="E149" s="1" t="s">
        <v>24</v>
      </c>
      <c r="F149" s="1" t="s">
        <v>156</v>
      </c>
    </row>
    <row r="150">
      <c r="A150" s="2">
        <v>43387.49738480324</v>
      </c>
      <c r="B150" s="1" t="s">
        <v>243</v>
      </c>
      <c r="C150" s="1" t="s">
        <v>244</v>
      </c>
      <c r="D150" s="1" t="s">
        <v>12</v>
      </c>
      <c r="E150" s="1" t="s">
        <v>13</v>
      </c>
      <c r="F150" s="1" t="s">
        <v>62</v>
      </c>
    </row>
    <row r="151">
      <c r="A151" s="2">
        <v>43387.4987228588</v>
      </c>
      <c r="B151" s="1" t="s">
        <v>245</v>
      </c>
      <c r="C151" s="1" t="s">
        <v>244</v>
      </c>
      <c r="D151" s="1" t="s">
        <v>12</v>
      </c>
      <c r="E151" s="1" t="s">
        <v>24</v>
      </c>
      <c r="F151" s="1" t="s">
        <v>62</v>
      </c>
    </row>
    <row r="152">
      <c r="A152" s="2">
        <v>43387.499531678244</v>
      </c>
      <c r="B152" s="1" t="s">
        <v>246</v>
      </c>
      <c r="C152" s="1" t="s">
        <v>244</v>
      </c>
      <c r="D152" s="1" t="s">
        <v>18</v>
      </c>
      <c r="E152" s="1" t="s">
        <v>13</v>
      </c>
      <c r="F152" s="1" t="s">
        <v>156</v>
      </c>
    </row>
    <row r="153">
      <c r="A153" s="2">
        <v>43387.50004387731</v>
      </c>
      <c r="B153" s="1" t="s">
        <v>247</v>
      </c>
      <c r="C153" s="1" t="s">
        <v>244</v>
      </c>
      <c r="D153" s="1" t="s">
        <v>18</v>
      </c>
      <c r="E153" s="1" t="s">
        <v>24</v>
      </c>
      <c r="F153" s="1" t="s">
        <v>156</v>
      </c>
    </row>
    <row r="154">
      <c r="A154" s="2">
        <v>43387.51279163195</v>
      </c>
      <c r="B154" s="1" t="s">
        <v>248</v>
      </c>
      <c r="C154" s="1" t="s">
        <v>249</v>
      </c>
      <c r="D154" s="1" t="s">
        <v>18</v>
      </c>
      <c r="E154" s="1" t="s">
        <v>24</v>
      </c>
      <c r="F154" s="1" t="s">
        <v>119</v>
      </c>
    </row>
    <row r="155">
      <c r="A155" s="2">
        <v>43387.51362221065</v>
      </c>
      <c r="B155" s="1" t="s">
        <v>250</v>
      </c>
      <c r="C155" s="1" t="s">
        <v>249</v>
      </c>
      <c r="D155" s="1" t="s">
        <v>12</v>
      </c>
      <c r="E155" s="1" t="s">
        <v>13</v>
      </c>
      <c r="F155" s="1" t="s">
        <v>119</v>
      </c>
    </row>
    <row r="156">
      <c r="A156" s="2">
        <v>43387.533730324074</v>
      </c>
      <c r="B156" s="1" t="s">
        <v>251</v>
      </c>
      <c r="C156" s="1" t="s">
        <v>252</v>
      </c>
      <c r="D156" s="1" t="s">
        <v>12</v>
      </c>
      <c r="E156" s="1" t="s">
        <v>82</v>
      </c>
      <c r="F156" s="1" t="s">
        <v>182</v>
      </c>
      <c r="G156" s="1" t="s">
        <v>253</v>
      </c>
    </row>
    <row r="157">
      <c r="A157" s="2">
        <v>43387.53517712963</v>
      </c>
      <c r="B157" s="1" t="s">
        <v>254</v>
      </c>
      <c r="C157" s="1" t="s">
        <v>252</v>
      </c>
      <c r="D157" s="1" t="s">
        <v>18</v>
      </c>
      <c r="E157" s="1" t="s">
        <v>24</v>
      </c>
      <c r="F157" s="1" t="s">
        <v>182</v>
      </c>
    </row>
    <row r="158">
      <c r="A158" s="2">
        <v>43387.537567962965</v>
      </c>
      <c r="B158" s="1" t="s">
        <v>255</v>
      </c>
      <c r="C158" s="1" t="s">
        <v>252</v>
      </c>
      <c r="D158" s="1" t="s">
        <v>12</v>
      </c>
      <c r="E158" s="1" t="s">
        <v>13</v>
      </c>
      <c r="F158" s="1" t="s">
        <v>182</v>
      </c>
    </row>
    <row r="159">
      <c r="A159" s="2">
        <v>43387.53845152778</v>
      </c>
      <c r="B159" s="1" t="s">
        <v>256</v>
      </c>
      <c r="C159" s="1" t="s">
        <v>257</v>
      </c>
      <c r="D159" s="1" t="s">
        <v>12</v>
      </c>
      <c r="E159" s="1" t="s">
        <v>13</v>
      </c>
      <c r="F159" s="1" t="s">
        <v>182</v>
      </c>
    </row>
    <row r="160">
      <c r="A160" s="2">
        <v>43387.55493908565</v>
      </c>
      <c r="B160" s="1" t="s">
        <v>258</v>
      </c>
      <c r="C160" s="1" t="s">
        <v>259</v>
      </c>
      <c r="D160" s="1" t="s">
        <v>18</v>
      </c>
      <c r="E160" s="1" t="s">
        <v>24</v>
      </c>
      <c r="F160" s="1" t="s">
        <v>119</v>
      </c>
    </row>
    <row r="161">
      <c r="A161" s="2">
        <v>43387.55651650463</v>
      </c>
      <c r="B161" s="1" t="s">
        <v>260</v>
      </c>
      <c r="C161" s="1" t="s">
        <v>259</v>
      </c>
      <c r="D161" s="1" t="s">
        <v>12</v>
      </c>
      <c r="E161" s="1" t="s">
        <v>13</v>
      </c>
      <c r="F161" s="1" t="s">
        <v>119</v>
      </c>
    </row>
    <row r="162">
      <c r="A162" s="2">
        <v>43387.58318178241</v>
      </c>
      <c r="B162" s="1" t="s">
        <v>261</v>
      </c>
      <c r="C162" s="1" t="s">
        <v>262</v>
      </c>
      <c r="D162" s="1" t="s">
        <v>18</v>
      </c>
      <c r="E162" s="1" t="s">
        <v>24</v>
      </c>
      <c r="F162" s="1" t="s">
        <v>156</v>
      </c>
    </row>
    <row r="163">
      <c r="A163" s="2">
        <v>43387.58392222223</v>
      </c>
      <c r="B163" s="1" t="s">
        <v>261</v>
      </c>
      <c r="C163" s="1" t="s">
        <v>262</v>
      </c>
      <c r="D163" s="1" t="s">
        <v>12</v>
      </c>
      <c r="E163" s="1" t="s">
        <v>13</v>
      </c>
      <c r="F163" s="1" t="s">
        <v>156</v>
      </c>
    </row>
    <row r="164">
      <c r="A164" s="2">
        <v>43387.58436541667</v>
      </c>
      <c r="B164" s="1" t="s">
        <v>261</v>
      </c>
      <c r="C164" s="1" t="s">
        <v>262</v>
      </c>
      <c r="D164" s="1" t="s">
        <v>12</v>
      </c>
      <c r="E164" s="1" t="s">
        <v>13</v>
      </c>
      <c r="F164" s="1" t="s">
        <v>156</v>
      </c>
    </row>
    <row r="165">
      <c r="A165" s="2">
        <v>43387.606538321765</v>
      </c>
      <c r="B165" s="1" t="s">
        <v>263</v>
      </c>
      <c r="C165" s="1" t="s">
        <v>264</v>
      </c>
      <c r="D165" s="1" t="s">
        <v>12</v>
      </c>
      <c r="E165" s="1" t="s">
        <v>82</v>
      </c>
      <c r="F165" s="1" t="s">
        <v>265</v>
      </c>
    </row>
    <row r="166">
      <c r="A166" s="2">
        <v>43387.607188553244</v>
      </c>
      <c r="B166" s="1" t="s">
        <v>266</v>
      </c>
      <c r="C166" s="1" t="s">
        <v>264</v>
      </c>
      <c r="D166" s="1" t="s">
        <v>12</v>
      </c>
      <c r="E166" s="1" t="s">
        <v>13</v>
      </c>
      <c r="F166" s="1" t="s">
        <v>265</v>
      </c>
    </row>
    <row r="167">
      <c r="A167" s="2">
        <v>43387.60803278935</v>
      </c>
      <c r="B167" s="1" t="s">
        <v>267</v>
      </c>
      <c r="C167" s="1" t="s">
        <v>264</v>
      </c>
      <c r="D167" s="1" t="s">
        <v>12</v>
      </c>
      <c r="E167" s="1" t="s">
        <v>24</v>
      </c>
      <c r="F167" s="1" t="s">
        <v>265</v>
      </c>
    </row>
    <row r="168">
      <c r="A168" s="2">
        <v>43387.60979163194</v>
      </c>
      <c r="B168" s="1" t="s">
        <v>268</v>
      </c>
      <c r="C168" s="1" t="s">
        <v>264</v>
      </c>
      <c r="D168" s="1" t="s">
        <v>18</v>
      </c>
      <c r="E168" s="1" t="s">
        <v>24</v>
      </c>
      <c r="F168" s="1" t="s">
        <v>265</v>
      </c>
    </row>
    <row r="169">
      <c r="A169" s="2">
        <v>43387.610386203705</v>
      </c>
      <c r="B169" s="1" t="s">
        <v>269</v>
      </c>
      <c r="C169" s="1" t="s">
        <v>264</v>
      </c>
      <c r="D169" s="1" t="s">
        <v>12</v>
      </c>
      <c r="E169" s="1" t="s">
        <v>13</v>
      </c>
      <c r="F169" s="1" t="s">
        <v>265</v>
      </c>
    </row>
    <row r="170">
      <c r="A170" s="2">
        <v>43387.63162579861</v>
      </c>
      <c r="B170" s="1" t="s">
        <v>270</v>
      </c>
      <c r="C170" s="1" t="s">
        <v>271</v>
      </c>
      <c r="D170" s="1" t="s">
        <v>12</v>
      </c>
      <c r="E170" s="1" t="s">
        <v>24</v>
      </c>
      <c r="F170" s="1" t="s">
        <v>265</v>
      </c>
    </row>
    <row r="171">
      <c r="A171" s="2">
        <v>43387.632360567135</v>
      </c>
      <c r="B171" s="1" t="s">
        <v>272</v>
      </c>
      <c r="C171" s="1" t="s">
        <v>271</v>
      </c>
      <c r="D171" s="1" t="s">
        <v>12</v>
      </c>
      <c r="E171" s="1" t="s">
        <v>13</v>
      </c>
      <c r="F171" s="1" t="s">
        <v>265</v>
      </c>
    </row>
    <row r="172">
      <c r="A172" s="2">
        <v>43387.632858854166</v>
      </c>
      <c r="B172" s="1" t="s">
        <v>273</v>
      </c>
      <c r="C172" s="1" t="s">
        <v>271</v>
      </c>
      <c r="D172" s="1" t="s">
        <v>18</v>
      </c>
      <c r="E172" s="1" t="s">
        <v>13</v>
      </c>
      <c r="F172" s="1" t="s">
        <v>265</v>
      </c>
    </row>
    <row r="173">
      <c r="A173" s="2">
        <v>43387.63322819445</v>
      </c>
      <c r="B173" s="1" t="s">
        <v>274</v>
      </c>
      <c r="C173" s="1" t="s">
        <v>271</v>
      </c>
      <c r="D173" s="1" t="s">
        <v>12</v>
      </c>
      <c r="E173" s="1" t="s">
        <v>13</v>
      </c>
      <c r="F173" s="1" t="s">
        <v>265</v>
      </c>
    </row>
    <row r="174">
      <c r="A174" s="2">
        <v>43387.63506804398</v>
      </c>
      <c r="B174" s="1" t="s">
        <v>275</v>
      </c>
      <c r="C174" s="1" t="s">
        <v>264</v>
      </c>
      <c r="D174" s="1" t="s">
        <v>12</v>
      </c>
      <c r="E174" s="1" t="s">
        <v>24</v>
      </c>
      <c r="F174" s="1" t="s">
        <v>265</v>
      </c>
    </row>
    <row r="175">
      <c r="A175" s="2">
        <v>43387.635525543985</v>
      </c>
      <c r="B175" s="1" t="s">
        <v>276</v>
      </c>
      <c r="C175" s="1" t="s">
        <v>264</v>
      </c>
      <c r="D175" s="1" t="s">
        <v>12</v>
      </c>
      <c r="E175" s="1" t="s">
        <v>13</v>
      </c>
      <c r="F175" s="1" t="s">
        <v>265</v>
      </c>
    </row>
    <row r="176">
      <c r="A176" s="2">
        <v>43387.63963625</v>
      </c>
      <c r="B176" s="1" t="s">
        <v>277</v>
      </c>
      <c r="C176" s="1" t="s">
        <v>278</v>
      </c>
      <c r="D176" s="1" t="s">
        <v>12</v>
      </c>
      <c r="E176" s="1" t="s">
        <v>13</v>
      </c>
      <c r="F176" s="1" t="s">
        <v>39</v>
      </c>
    </row>
    <row r="177">
      <c r="A177" s="2">
        <v>43387.63972251157</v>
      </c>
      <c r="B177" s="1" t="s">
        <v>277</v>
      </c>
      <c r="C177" s="1" t="s">
        <v>278</v>
      </c>
      <c r="D177" s="1" t="s">
        <v>12</v>
      </c>
      <c r="E177" s="1" t="s">
        <v>13</v>
      </c>
      <c r="F177" s="1" t="s">
        <v>39</v>
      </c>
    </row>
    <row r="178">
      <c r="A178" s="2">
        <v>43387.640293136574</v>
      </c>
      <c r="B178" s="1" t="s">
        <v>279</v>
      </c>
      <c r="C178" s="1" t="s">
        <v>278</v>
      </c>
      <c r="D178" s="1" t="s">
        <v>12</v>
      </c>
      <c r="E178" s="1" t="s">
        <v>13</v>
      </c>
      <c r="F178" s="1" t="s">
        <v>39</v>
      </c>
    </row>
    <row r="179">
      <c r="A179" s="2">
        <v>43387.64034925926</v>
      </c>
      <c r="B179" s="1" t="s">
        <v>279</v>
      </c>
      <c r="C179" s="1" t="s">
        <v>278</v>
      </c>
      <c r="D179" s="1" t="s">
        <v>12</v>
      </c>
      <c r="E179" s="1" t="s">
        <v>13</v>
      </c>
      <c r="F179" s="1" t="s">
        <v>39</v>
      </c>
    </row>
    <row r="180">
      <c r="A180" s="2">
        <v>43387.640805324074</v>
      </c>
      <c r="B180" s="1" t="s">
        <v>280</v>
      </c>
      <c r="C180" s="1" t="s">
        <v>278</v>
      </c>
      <c r="D180" s="1" t="s">
        <v>18</v>
      </c>
      <c r="E180" s="1" t="s">
        <v>24</v>
      </c>
      <c r="F180" s="1" t="s">
        <v>39</v>
      </c>
    </row>
    <row r="181">
      <c r="A181" s="2">
        <v>43387.64124621528</v>
      </c>
      <c r="B181" s="1" t="s">
        <v>281</v>
      </c>
      <c r="C181" s="1" t="s">
        <v>278</v>
      </c>
      <c r="D181" s="1" t="s">
        <v>18</v>
      </c>
      <c r="E181" s="1" t="s">
        <v>13</v>
      </c>
      <c r="F181" s="1" t="s">
        <v>39</v>
      </c>
    </row>
    <row r="182">
      <c r="A182" s="2">
        <v>43387.64177194444</v>
      </c>
      <c r="B182" s="1" t="s">
        <v>282</v>
      </c>
      <c r="C182" s="1" t="s">
        <v>278</v>
      </c>
      <c r="D182" s="1" t="s">
        <v>18</v>
      </c>
      <c r="E182" s="1" t="s">
        <v>24</v>
      </c>
      <c r="F182" s="1" t="s">
        <v>39</v>
      </c>
    </row>
    <row r="183">
      <c r="A183" s="2">
        <v>43387.64179311343</v>
      </c>
      <c r="B183" s="1" t="s">
        <v>283</v>
      </c>
      <c r="C183" s="1" t="s">
        <v>170</v>
      </c>
      <c r="D183" s="1" t="s">
        <v>12</v>
      </c>
      <c r="E183" s="1" t="s">
        <v>13</v>
      </c>
      <c r="F183" s="1" t="s">
        <v>119</v>
      </c>
    </row>
    <row r="184">
      <c r="A184" s="2">
        <v>43387.66570429398</v>
      </c>
      <c r="B184" s="1" t="s">
        <v>284</v>
      </c>
      <c r="C184" s="1" t="s">
        <v>285</v>
      </c>
      <c r="D184" s="1" t="s">
        <v>18</v>
      </c>
      <c r="E184" s="1" t="s">
        <v>24</v>
      </c>
      <c r="F184" s="1" t="s">
        <v>39</v>
      </c>
    </row>
    <row r="185">
      <c r="A185" s="2">
        <v>43387.66717320602</v>
      </c>
      <c r="B185" s="1" t="s">
        <v>286</v>
      </c>
      <c r="C185" s="1" t="s">
        <v>285</v>
      </c>
      <c r="D185" s="1" t="s">
        <v>12</v>
      </c>
      <c r="E185" s="1" t="s">
        <v>13</v>
      </c>
      <c r="F185" s="1" t="s">
        <v>39</v>
      </c>
    </row>
    <row r="186">
      <c r="A186" s="2">
        <v>43387.667812314816</v>
      </c>
      <c r="B186" s="1" t="s">
        <v>287</v>
      </c>
      <c r="C186" s="1" t="s">
        <v>285</v>
      </c>
      <c r="D186" s="1" t="s">
        <v>12</v>
      </c>
      <c r="E186" s="1" t="s">
        <v>13</v>
      </c>
      <c r="F186" s="1" t="s">
        <v>39</v>
      </c>
    </row>
    <row r="187">
      <c r="A187" s="2">
        <v>43387.67238471065</v>
      </c>
      <c r="B187" s="1" t="s">
        <v>288</v>
      </c>
      <c r="C187" s="1" t="s">
        <v>285</v>
      </c>
      <c r="D187" s="1" t="s">
        <v>18</v>
      </c>
      <c r="E187" s="1" t="s">
        <v>13</v>
      </c>
      <c r="F187" s="1" t="s">
        <v>39</v>
      </c>
    </row>
    <row r="188">
      <c r="A188" s="2">
        <v>43387.673046412034</v>
      </c>
      <c r="B188" s="1" t="s">
        <v>289</v>
      </c>
      <c r="C188" s="1" t="s">
        <v>290</v>
      </c>
      <c r="D188" s="1" t="s">
        <v>18</v>
      </c>
      <c r="E188" s="1" t="s">
        <v>24</v>
      </c>
      <c r="F188" s="1" t="s">
        <v>135</v>
      </c>
    </row>
    <row r="189">
      <c r="A189" s="2">
        <v>43387.67483122685</v>
      </c>
      <c r="B189" s="1" t="s">
        <v>291</v>
      </c>
      <c r="C189" s="1" t="s">
        <v>290</v>
      </c>
      <c r="D189" s="1" t="s">
        <v>12</v>
      </c>
      <c r="E189" s="1" t="s">
        <v>24</v>
      </c>
      <c r="F189" s="1" t="s">
        <v>135</v>
      </c>
    </row>
    <row r="190">
      <c r="A190" s="2">
        <v>43387.67522253472</v>
      </c>
      <c r="B190" s="1" t="s">
        <v>292</v>
      </c>
      <c r="C190" s="1" t="s">
        <v>290</v>
      </c>
      <c r="D190" s="1" t="s">
        <v>12</v>
      </c>
      <c r="E190" s="1" t="s">
        <v>13</v>
      </c>
      <c r="F190" s="1" t="s">
        <v>135</v>
      </c>
    </row>
    <row r="191">
      <c r="A191" s="2">
        <v>43387.675614293985</v>
      </c>
      <c r="B191" s="1" t="s">
        <v>293</v>
      </c>
      <c r="C191" s="1" t="s">
        <v>290</v>
      </c>
      <c r="D191" s="1" t="s">
        <v>12</v>
      </c>
      <c r="E191" s="1" t="s">
        <v>82</v>
      </c>
      <c r="F191" s="1" t="s">
        <v>135</v>
      </c>
    </row>
    <row r="192">
      <c r="A192" s="2">
        <v>43387.69813484953</v>
      </c>
      <c r="B192" s="1" t="s">
        <v>294</v>
      </c>
      <c r="C192" s="1" t="s">
        <v>295</v>
      </c>
      <c r="D192" s="1" t="s">
        <v>18</v>
      </c>
      <c r="E192" s="1" t="s">
        <v>24</v>
      </c>
      <c r="F192" s="1" t="s">
        <v>50</v>
      </c>
    </row>
    <row r="193">
      <c r="A193" s="2">
        <v>43387.69878413195</v>
      </c>
      <c r="B193" s="1" t="s">
        <v>296</v>
      </c>
      <c r="C193" s="1" t="s">
        <v>297</v>
      </c>
      <c r="D193" s="1" t="s">
        <v>12</v>
      </c>
      <c r="E193" s="1" t="s">
        <v>13</v>
      </c>
      <c r="F193" s="1" t="s">
        <v>50</v>
      </c>
    </row>
    <row r="194">
      <c r="A194" s="2">
        <v>43387.69881569444</v>
      </c>
      <c r="B194" s="1" t="s">
        <v>298</v>
      </c>
      <c r="C194" s="1" t="s">
        <v>299</v>
      </c>
      <c r="D194" s="1" t="s">
        <v>12</v>
      </c>
      <c r="E194" s="1" t="s">
        <v>13</v>
      </c>
      <c r="F194" s="1" t="s">
        <v>156</v>
      </c>
    </row>
    <row r="195">
      <c r="A195" s="2">
        <v>43387.69944914352</v>
      </c>
      <c r="B195" s="1" t="s">
        <v>300</v>
      </c>
      <c r="C195" s="1" t="s">
        <v>299</v>
      </c>
      <c r="D195" s="1" t="s">
        <v>12</v>
      </c>
      <c r="E195" s="1" t="s">
        <v>13</v>
      </c>
      <c r="F195" s="1" t="s">
        <v>156</v>
      </c>
    </row>
    <row r="196">
      <c r="A196" s="2">
        <v>43387.700227152774</v>
      </c>
      <c r="B196" s="1" t="s">
        <v>301</v>
      </c>
      <c r="C196" s="1" t="s">
        <v>299</v>
      </c>
      <c r="D196" s="1" t="s">
        <v>18</v>
      </c>
      <c r="E196" s="1" t="s">
        <v>24</v>
      </c>
      <c r="F196" s="1" t="s">
        <v>156</v>
      </c>
    </row>
    <row r="197">
      <c r="A197" s="2">
        <v>43387.74677200231</v>
      </c>
      <c r="B197" s="1" t="s">
        <v>302</v>
      </c>
      <c r="C197" s="1" t="s">
        <v>303</v>
      </c>
      <c r="D197" s="1" t="s">
        <v>18</v>
      </c>
      <c r="E197" s="1" t="s">
        <v>24</v>
      </c>
      <c r="F197" s="1" t="s">
        <v>31</v>
      </c>
    </row>
    <row r="198">
      <c r="A198" s="2">
        <v>43387.7493471875</v>
      </c>
      <c r="B198" s="1" t="s">
        <v>304</v>
      </c>
      <c r="C198" s="1" t="s">
        <v>303</v>
      </c>
      <c r="D198" s="1" t="s">
        <v>12</v>
      </c>
      <c r="E198" s="1" t="s">
        <v>13</v>
      </c>
      <c r="F198" s="1" t="s">
        <v>31</v>
      </c>
    </row>
    <row r="199">
      <c r="A199" s="2">
        <v>43387.77213194444</v>
      </c>
      <c r="B199" s="1" t="s">
        <v>305</v>
      </c>
      <c r="C199" s="1" t="s">
        <v>306</v>
      </c>
      <c r="D199" s="1" t="s">
        <v>18</v>
      </c>
      <c r="E199" s="1" t="s">
        <v>24</v>
      </c>
      <c r="F199" s="1" t="s">
        <v>135</v>
      </c>
    </row>
    <row r="200">
      <c r="A200" s="2">
        <v>43387.77247894676</v>
      </c>
      <c r="B200" s="1" t="s">
        <v>307</v>
      </c>
      <c r="C200" s="1" t="s">
        <v>308</v>
      </c>
      <c r="D200" s="1" t="s">
        <v>18</v>
      </c>
      <c r="E200" s="1" t="s">
        <v>24</v>
      </c>
      <c r="F200" s="1" t="s">
        <v>135</v>
      </c>
    </row>
    <row r="201">
      <c r="A201" s="2">
        <v>43387.772755162034</v>
      </c>
      <c r="B201" s="1" t="s">
        <v>309</v>
      </c>
      <c r="C201" s="1" t="s">
        <v>306</v>
      </c>
      <c r="D201" s="1" t="s">
        <v>18</v>
      </c>
      <c r="E201" s="1" t="s">
        <v>24</v>
      </c>
      <c r="F201" s="1" t="s">
        <v>50</v>
      </c>
    </row>
    <row r="202">
      <c r="A202" s="2">
        <v>43387.77318548611</v>
      </c>
      <c r="B202" s="1" t="s">
        <v>310</v>
      </c>
      <c r="C202" s="1" t="s">
        <v>306</v>
      </c>
      <c r="D202" s="1" t="s">
        <v>12</v>
      </c>
      <c r="E202" s="1" t="s">
        <v>13</v>
      </c>
      <c r="F202" s="1" t="s">
        <v>50</v>
      </c>
    </row>
    <row r="203">
      <c r="A203" s="2">
        <v>43387.773405659726</v>
      </c>
      <c r="B203" s="1" t="s">
        <v>311</v>
      </c>
      <c r="C203" s="1" t="s">
        <v>308</v>
      </c>
      <c r="D203" s="1" t="s">
        <v>12</v>
      </c>
      <c r="E203" s="1" t="s">
        <v>13</v>
      </c>
      <c r="F203" s="1" t="s">
        <v>135</v>
      </c>
    </row>
    <row r="204">
      <c r="A204" s="2">
        <v>43387.773609490745</v>
      </c>
      <c r="B204" s="1" t="s">
        <v>312</v>
      </c>
      <c r="C204" s="1" t="s">
        <v>306</v>
      </c>
      <c r="D204" s="1" t="s">
        <v>12</v>
      </c>
      <c r="E204" s="1" t="s">
        <v>13</v>
      </c>
      <c r="F204" s="1" t="s">
        <v>50</v>
      </c>
    </row>
    <row r="205">
      <c r="A205" s="2">
        <v>43387.91005170139</v>
      </c>
      <c r="B205" s="1" t="s">
        <v>313</v>
      </c>
      <c r="C205" s="1" t="s">
        <v>314</v>
      </c>
      <c r="D205" s="1" t="s">
        <v>12</v>
      </c>
      <c r="E205" s="1" t="s">
        <v>13</v>
      </c>
      <c r="F205" s="1" t="s">
        <v>265</v>
      </c>
    </row>
    <row r="206">
      <c r="A206" s="2">
        <v>43387.91116365741</v>
      </c>
      <c r="B206" s="1" t="s">
        <v>315</v>
      </c>
      <c r="C206" s="1" t="s">
        <v>314</v>
      </c>
      <c r="D206" s="1" t="s">
        <v>18</v>
      </c>
      <c r="E206" s="1" t="s">
        <v>24</v>
      </c>
      <c r="F206" s="1" t="s">
        <v>265</v>
      </c>
      <c r="G206" s="1" t="s">
        <v>316</v>
      </c>
    </row>
    <row r="207">
      <c r="A207" s="2">
        <v>43387.979797962966</v>
      </c>
      <c r="B207" s="1" t="s">
        <v>317</v>
      </c>
      <c r="C207" s="1" t="s">
        <v>318</v>
      </c>
      <c r="D207" s="1" t="s">
        <v>12</v>
      </c>
      <c r="E207" s="1" t="s">
        <v>24</v>
      </c>
      <c r="F207" s="1" t="s">
        <v>62</v>
      </c>
    </row>
    <row r="208">
      <c r="A208" s="2">
        <v>43387.98079677083</v>
      </c>
      <c r="B208" s="1" t="s">
        <v>319</v>
      </c>
      <c r="C208" s="1" t="s">
        <v>318</v>
      </c>
      <c r="D208" s="1" t="s">
        <v>12</v>
      </c>
      <c r="E208" s="1" t="s">
        <v>13</v>
      </c>
      <c r="F208" s="1" t="s">
        <v>156</v>
      </c>
    </row>
    <row r="209">
      <c r="A209" s="2">
        <v>43387.98136119213</v>
      </c>
      <c r="B209" s="1" t="s">
        <v>320</v>
      </c>
      <c r="C209" s="1" t="s">
        <v>318</v>
      </c>
      <c r="D209" s="1" t="s">
        <v>18</v>
      </c>
      <c r="E209" s="1" t="s">
        <v>24</v>
      </c>
      <c r="F209" s="1" t="s">
        <v>156</v>
      </c>
    </row>
    <row r="210">
      <c r="A210" s="2">
        <v>43388.31282643518</v>
      </c>
      <c r="B210" s="1" t="s">
        <v>321</v>
      </c>
      <c r="C210" s="1" t="s">
        <v>190</v>
      </c>
      <c r="D210" s="1" t="s">
        <v>12</v>
      </c>
      <c r="E210" s="1" t="s">
        <v>13</v>
      </c>
      <c r="F210" s="1" t="s">
        <v>25</v>
      </c>
    </row>
    <row r="211">
      <c r="A211" s="2">
        <v>43388.32217542824</v>
      </c>
      <c r="B211" s="1" t="s">
        <v>322</v>
      </c>
      <c r="C211" s="1" t="s">
        <v>323</v>
      </c>
      <c r="D211" s="1" t="s">
        <v>18</v>
      </c>
      <c r="E211" s="1" t="s">
        <v>24</v>
      </c>
      <c r="F211" s="1" t="s">
        <v>39</v>
      </c>
    </row>
    <row r="212">
      <c r="A212" s="2">
        <v>43388.37050030092</v>
      </c>
      <c r="B212" s="1" t="s">
        <v>324</v>
      </c>
      <c r="C212" s="1" t="s">
        <v>325</v>
      </c>
      <c r="D212" s="1" t="s">
        <v>12</v>
      </c>
      <c r="E212" s="1" t="s">
        <v>13</v>
      </c>
      <c r="F212" s="1" t="s">
        <v>135</v>
      </c>
    </row>
    <row r="213">
      <c r="A213" s="2">
        <v>43388.371584953704</v>
      </c>
      <c r="B213" s="1" t="s">
        <v>326</v>
      </c>
      <c r="C213" s="1" t="s">
        <v>325</v>
      </c>
      <c r="D213" s="1" t="s">
        <v>12</v>
      </c>
      <c r="E213" s="1" t="s">
        <v>24</v>
      </c>
      <c r="F213" s="1" t="s">
        <v>135</v>
      </c>
    </row>
    <row r="214">
      <c r="A214" s="2">
        <v>43388.38430935185</v>
      </c>
      <c r="B214" s="1" t="s">
        <v>327</v>
      </c>
      <c r="C214" s="1" t="s">
        <v>328</v>
      </c>
      <c r="D214" s="1" t="s">
        <v>12</v>
      </c>
      <c r="E214" s="1" t="s">
        <v>24</v>
      </c>
      <c r="F214" s="1" t="s">
        <v>135</v>
      </c>
    </row>
    <row r="215">
      <c r="A215" s="2">
        <v>43388.38528179398</v>
      </c>
      <c r="B215" s="1" t="s">
        <v>329</v>
      </c>
      <c r="C215" s="1" t="s">
        <v>328</v>
      </c>
      <c r="D215" s="1" t="s">
        <v>12</v>
      </c>
      <c r="E215" s="1" t="s">
        <v>13</v>
      </c>
      <c r="F215" s="1" t="s">
        <v>135</v>
      </c>
    </row>
    <row r="216">
      <c r="A216" s="2">
        <v>43388.43681918981</v>
      </c>
      <c r="B216" s="1" t="s">
        <v>330</v>
      </c>
      <c r="C216" s="1" t="s">
        <v>331</v>
      </c>
      <c r="D216" s="1" t="s">
        <v>12</v>
      </c>
      <c r="E216" s="1" t="s">
        <v>24</v>
      </c>
      <c r="F216" s="1" t="s">
        <v>135</v>
      </c>
      <c r="G216" s="1" t="s">
        <v>332</v>
      </c>
    </row>
    <row r="217">
      <c r="A217" s="2">
        <v>43388.4376629051</v>
      </c>
      <c r="B217" s="1" t="s">
        <v>333</v>
      </c>
      <c r="C217" s="1" t="s">
        <v>331</v>
      </c>
      <c r="D217" s="1" t="s">
        <v>12</v>
      </c>
      <c r="E217" s="1" t="s">
        <v>13</v>
      </c>
      <c r="F217" s="1" t="s">
        <v>135</v>
      </c>
      <c r="G217" s="1" t="s">
        <v>334</v>
      </c>
    </row>
    <row r="218">
      <c r="A218" s="2">
        <v>43388.43810722222</v>
      </c>
      <c r="B218" s="1" t="s">
        <v>335</v>
      </c>
      <c r="C218" s="1" t="s">
        <v>336</v>
      </c>
      <c r="D218" s="1" t="s">
        <v>12</v>
      </c>
      <c r="E218" s="1" t="s">
        <v>13</v>
      </c>
      <c r="F218" s="1" t="s">
        <v>135</v>
      </c>
      <c r="G218" s="1" t="s">
        <v>337</v>
      </c>
    </row>
    <row r="219">
      <c r="A219" s="2">
        <v>43388.4646159375</v>
      </c>
      <c r="B219" s="1" t="s">
        <v>338</v>
      </c>
      <c r="C219" s="1" t="s">
        <v>142</v>
      </c>
      <c r="D219" s="1" t="s">
        <v>12</v>
      </c>
      <c r="E219" s="1" t="s">
        <v>13</v>
      </c>
      <c r="F219" s="1" t="s">
        <v>143</v>
      </c>
    </row>
    <row r="220">
      <c r="A220" s="2">
        <v>43388.465149317126</v>
      </c>
      <c r="B220" s="1" t="s">
        <v>339</v>
      </c>
      <c r="C220" s="1" t="s">
        <v>142</v>
      </c>
      <c r="D220" s="1" t="s">
        <v>18</v>
      </c>
      <c r="E220" s="1" t="s">
        <v>13</v>
      </c>
      <c r="F220" s="1" t="s">
        <v>143</v>
      </c>
    </row>
    <row r="221">
      <c r="A221" s="2">
        <v>43388.53516668981</v>
      </c>
      <c r="B221" s="1" t="s">
        <v>340</v>
      </c>
      <c r="C221" s="1" t="s">
        <v>341</v>
      </c>
      <c r="D221" s="1" t="s">
        <v>12</v>
      </c>
      <c r="E221" s="1" t="s">
        <v>13</v>
      </c>
      <c r="F221" s="1" t="s">
        <v>39</v>
      </c>
    </row>
    <row r="222">
      <c r="A222" s="2">
        <v>43388.53553277778</v>
      </c>
      <c r="B222" s="1" t="s">
        <v>342</v>
      </c>
      <c r="C222" s="1" t="s">
        <v>341</v>
      </c>
      <c r="D222" s="1" t="s">
        <v>12</v>
      </c>
      <c r="E222" s="1" t="s">
        <v>13</v>
      </c>
      <c r="F222" s="1" t="s">
        <v>39</v>
      </c>
    </row>
    <row r="223">
      <c r="A223" s="2">
        <v>43388.53646994213</v>
      </c>
      <c r="B223" s="1" t="s">
        <v>340</v>
      </c>
      <c r="C223" s="1" t="s">
        <v>343</v>
      </c>
      <c r="D223" s="1" t="s">
        <v>12</v>
      </c>
      <c r="E223" s="1" t="s">
        <v>13</v>
      </c>
      <c r="F223" s="1" t="s">
        <v>39</v>
      </c>
    </row>
    <row r="224">
      <c r="A224" s="2">
        <v>43388.53678538195</v>
      </c>
      <c r="B224" s="1" t="s">
        <v>342</v>
      </c>
      <c r="C224" s="1" t="s">
        <v>343</v>
      </c>
      <c r="D224" s="1" t="s">
        <v>12</v>
      </c>
      <c r="E224" s="1" t="s">
        <v>13</v>
      </c>
      <c r="F224" s="1" t="s">
        <v>39</v>
      </c>
    </row>
    <row r="225">
      <c r="A225" s="2">
        <v>43388.57070473379</v>
      </c>
      <c r="B225" s="1" t="s">
        <v>344</v>
      </c>
      <c r="C225" s="1" t="s">
        <v>345</v>
      </c>
      <c r="D225" s="1" t="s">
        <v>12</v>
      </c>
      <c r="E225" s="1" t="s">
        <v>24</v>
      </c>
      <c r="F225" s="1" t="s">
        <v>346</v>
      </c>
    </row>
    <row r="226">
      <c r="A226" s="2">
        <v>43388.58215512731</v>
      </c>
      <c r="B226" s="1" t="s">
        <v>347</v>
      </c>
      <c r="C226" s="1" t="s">
        <v>348</v>
      </c>
      <c r="D226" s="1" t="s">
        <v>12</v>
      </c>
      <c r="E226" s="1" t="s">
        <v>27</v>
      </c>
      <c r="F226" s="1" t="s">
        <v>346</v>
      </c>
    </row>
    <row r="227">
      <c r="A227" s="2">
        <v>43388.60066488426</v>
      </c>
      <c r="B227" s="1" t="s">
        <v>349</v>
      </c>
      <c r="C227" s="1" t="s">
        <v>350</v>
      </c>
      <c r="D227" s="1" t="s">
        <v>12</v>
      </c>
      <c r="E227" s="1" t="s">
        <v>24</v>
      </c>
      <c r="F227" s="1" t="s">
        <v>346</v>
      </c>
    </row>
    <row r="228">
      <c r="A228" s="2">
        <v>43388.60639872686</v>
      </c>
      <c r="B228" s="1" t="s">
        <v>351</v>
      </c>
      <c r="C228" s="1" t="s">
        <v>352</v>
      </c>
      <c r="D228" s="1" t="s">
        <v>18</v>
      </c>
      <c r="E228" s="1" t="s">
        <v>24</v>
      </c>
      <c r="F228" s="1" t="s">
        <v>182</v>
      </c>
    </row>
    <row r="229">
      <c r="A229" s="2">
        <v>43388.60742850695</v>
      </c>
      <c r="B229" s="1" t="s">
        <v>353</v>
      </c>
      <c r="C229" s="1" t="s">
        <v>354</v>
      </c>
      <c r="D229" s="1" t="s">
        <v>12</v>
      </c>
      <c r="E229" s="1" t="s">
        <v>13</v>
      </c>
      <c r="F229" s="1" t="s">
        <v>182</v>
      </c>
    </row>
    <row r="230">
      <c r="A230" s="2">
        <v>43388.6078725</v>
      </c>
      <c r="B230" s="1" t="s">
        <v>355</v>
      </c>
      <c r="C230" s="1" t="s">
        <v>352</v>
      </c>
      <c r="D230" s="1" t="s">
        <v>12</v>
      </c>
      <c r="E230" s="1" t="s">
        <v>13</v>
      </c>
      <c r="F230" s="1" t="s">
        <v>182</v>
      </c>
    </row>
    <row r="231">
      <c r="A231" s="2">
        <v>43388.61732780092</v>
      </c>
      <c r="B231" s="1" t="s">
        <v>356</v>
      </c>
      <c r="C231" s="1" t="s">
        <v>323</v>
      </c>
      <c r="D231" s="1" t="s">
        <v>12</v>
      </c>
      <c r="E231" s="1" t="s">
        <v>13</v>
      </c>
      <c r="F231" s="1" t="s">
        <v>39</v>
      </c>
    </row>
    <row r="232">
      <c r="A232" s="2">
        <v>43388.61888592593</v>
      </c>
      <c r="B232" s="1" t="s">
        <v>357</v>
      </c>
      <c r="C232" s="1" t="s">
        <v>358</v>
      </c>
      <c r="D232" s="1" t="s">
        <v>12</v>
      </c>
      <c r="E232" s="1" t="s">
        <v>24</v>
      </c>
      <c r="F232" s="1" t="s">
        <v>346</v>
      </c>
    </row>
    <row r="233">
      <c r="A233" s="2">
        <v>43388.642216782406</v>
      </c>
      <c r="B233" s="1" t="s">
        <v>359</v>
      </c>
      <c r="C233" s="1" t="s">
        <v>325</v>
      </c>
      <c r="D233" s="1" t="s">
        <v>12</v>
      </c>
      <c r="E233" s="1" t="s">
        <v>13</v>
      </c>
      <c r="F233" s="1" t="s">
        <v>135</v>
      </c>
    </row>
    <row r="234">
      <c r="A234" s="2">
        <v>43388.66942579861</v>
      </c>
      <c r="B234" s="1" t="s">
        <v>360</v>
      </c>
      <c r="C234" s="1" t="s">
        <v>361</v>
      </c>
      <c r="D234" s="1" t="s">
        <v>12</v>
      </c>
      <c r="E234" s="1" t="s">
        <v>82</v>
      </c>
      <c r="F234" s="1" t="s">
        <v>143</v>
      </c>
    </row>
    <row r="235">
      <c r="A235" s="2">
        <v>43388.67102998843</v>
      </c>
      <c r="B235" s="1" t="s">
        <v>362</v>
      </c>
      <c r="C235" s="1" t="s">
        <v>363</v>
      </c>
      <c r="D235" s="1" t="s">
        <v>18</v>
      </c>
      <c r="E235" s="1" t="s">
        <v>24</v>
      </c>
      <c r="F235" s="1" t="s">
        <v>119</v>
      </c>
    </row>
    <row r="236">
      <c r="A236" s="2">
        <v>43388.67263981482</v>
      </c>
      <c r="B236" s="1" t="s">
        <v>364</v>
      </c>
      <c r="C236" s="1" t="s">
        <v>361</v>
      </c>
      <c r="D236" s="1" t="s">
        <v>18</v>
      </c>
      <c r="E236" s="1" t="s">
        <v>24</v>
      </c>
      <c r="F236" s="1" t="s">
        <v>182</v>
      </c>
    </row>
    <row r="237">
      <c r="A237" s="2">
        <v>43388.673873252315</v>
      </c>
      <c r="B237" s="1" t="s">
        <v>365</v>
      </c>
      <c r="C237" s="1" t="s">
        <v>361</v>
      </c>
      <c r="D237" s="1" t="s">
        <v>12</v>
      </c>
      <c r="E237" s="1" t="s">
        <v>13</v>
      </c>
      <c r="F237" s="1" t="s">
        <v>182</v>
      </c>
    </row>
    <row r="238">
      <c r="A238" s="2">
        <v>43388.6744169213</v>
      </c>
      <c r="B238" s="1" t="s">
        <v>366</v>
      </c>
      <c r="C238" s="1" t="s">
        <v>361</v>
      </c>
      <c r="D238" s="1" t="s">
        <v>12</v>
      </c>
      <c r="E238" s="1" t="s">
        <v>13</v>
      </c>
      <c r="F238" s="1" t="s">
        <v>182</v>
      </c>
    </row>
    <row r="239">
      <c r="A239" s="2">
        <v>43388.674851261574</v>
      </c>
      <c r="B239" s="1" t="s">
        <v>367</v>
      </c>
      <c r="C239" s="1" t="s">
        <v>361</v>
      </c>
      <c r="D239" s="1" t="s">
        <v>12</v>
      </c>
      <c r="E239" s="1" t="s">
        <v>13</v>
      </c>
      <c r="F239" s="1" t="s">
        <v>182</v>
      </c>
    </row>
    <row r="240">
      <c r="A240" s="2">
        <v>43388.686656481485</v>
      </c>
      <c r="B240" s="1" t="s">
        <v>368</v>
      </c>
      <c r="C240" s="1" t="s">
        <v>369</v>
      </c>
      <c r="D240" s="1" t="s">
        <v>12</v>
      </c>
      <c r="E240" s="1" t="s">
        <v>24</v>
      </c>
      <c r="F240" s="1" t="s">
        <v>346</v>
      </c>
    </row>
    <row r="241">
      <c r="A241" s="2">
        <v>43388.68704630787</v>
      </c>
      <c r="B241" s="1" t="s">
        <v>370</v>
      </c>
      <c r="C241" s="1" t="s">
        <v>369</v>
      </c>
      <c r="D241" s="1" t="s">
        <v>12</v>
      </c>
      <c r="E241" s="1" t="s">
        <v>13</v>
      </c>
      <c r="F241" s="1" t="s">
        <v>346</v>
      </c>
    </row>
    <row r="242">
      <c r="A242" s="2">
        <v>43388.69866234953</v>
      </c>
      <c r="B242" s="1" t="s">
        <v>371</v>
      </c>
      <c r="C242" s="1" t="s">
        <v>372</v>
      </c>
      <c r="D242" s="1" t="s">
        <v>18</v>
      </c>
      <c r="E242" s="1" t="s">
        <v>24</v>
      </c>
      <c r="F242" s="1" t="s">
        <v>182</v>
      </c>
    </row>
    <row r="243">
      <c r="A243" s="2">
        <v>43388.76762938657</v>
      </c>
      <c r="B243" s="1" t="s">
        <v>373</v>
      </c>
      <c r="C243" s="1" t="s">
        <v>374</v>
      </c>
      <c r="D243" s="1" t="s">
        <v>12</v>
      </c>
      <c r="E243" s="1" t="s">
        <v>13</v>
      </c>
      <c r="F243" s="1" t="s">
        <v>14</v>
      </c>
    </row>
    <row r="244">
      <c r="A244" s="2">
        <v>43388.76813866898</v>
      </c>
      <c r="B244" s="1" t="s">
        <v>375</v>
      </c>
      <c r="C244" s="1" t="s">
        <v>374</v>
      </c>
      <c r="D244" s="1" t="s">
        <v>12</v>
      </c>
      <c r="E244" s="1" t="s">
        <v>13</v>
      </c>
      <c r="F244" s="1" t="s">
        <v>14</v>
      </c>
    </row>
    <row r="245">
      <c r="A245" s="2">
        <v>43388.794898865744</v>
      </c>
      <c r="B245" s="1" t="s">
        <v>376</v>
      </c>
      <c r="C245" s="1" t="s">
        <v>328</v>
      </c>
      <c r="D245" s="1" t="s">
        <v>18</v>
      </c>
      <c r="E245" s="1" t="s">
        <v>13</v>
      </c>
      <c r="F245" s="1" t="s">
        <v>135</v>
      </c>
    </row>
    <row r="246">
      <c r="A246" s="2">
        <v>43388.814849780094</v>
      </c>
      <c r="B246" s="1" t="s">
        <v>377</v>
      </c>
      <c r="C246" s="1" t="s">
        <v>378</v>
      </c>
      <c r="D246" s="1" t="s">
        <v>18</v>
      </c>
      <c r="E246" s="1" t="s">
        <v>24</v>
      </c>
      <c r="F246" s="1" t="s">
        <v>156</v>
      </c>
    </row>
    <row r="247">
      <c r="A247" s="2">
        <v>43388.81649788194</v>
      </c>
      <c r="B247" s="1" t="s">
        <v>379</v>
      </c>
      <c r="C247" s="1" t="s">
        <v>378</v>
      </c>
      <c r="D247" s="1" t="s">
        <v>12</v>
      </c>
      <c r="E247" s="1" t="s">
        <v>13</v>
      </c>
      <c r="F247" s="1" t="s">
        <v>156</v>
      </c>
    </row>
    <row r="248">
      <c r="A248" s="2">
        <v>43388.8169064699</v>
      </c>
      <c r="B248" s="1" t="s">
        <v>380</v>
      </c>
      <c r="C248" s="1" t="s">
        <v>378</v>
      </c>
      <c r="D248" s="1" t="s">
        <v>12</v>
      </c>
      <c r="E248" s="1" t="s">
        <v>13</v>
      </c>
      <c r="F248" s="1" t="s">
        <v>156</v>
      </c>
    </row>
    <row r="249">
      <c r="A249" s="2">
        <v>43388.84067038195</v>
      </c>
      <c r="B249" s="1" t="s">
        <v>381</v>
      </c>
      <c r="C249" s="1" t="s">
        <v>382</v>
      </c>
      <c r="D249" s="1" t="s">
        <v>12</v>
      </c>
      <c r="E249" s="1" t="s">
        <v>24</v>
      </c>
      <c r="F249" s="1" t="s">
        <v>31</v>
      </c>
    </row>
    <row r="250">
      <c r="A250" s="2">
        <v>43388.84115767361</v>
      </c>
      <c r="B250" s="1" t="s">
        <v>383</v>
      </c>
      <c r="C250" s="1" t="s">
        <v>384</v>
      </c>
      <c r="D250" s="1" t="s">
        <v>12</v>
      </c>
      <c r="E250" s="1" t="s">
        <v>13</v>
      </c>
      <c r="F250" s="1" t="s">
        <v>25</v>
      </c>
    </row>
    <row r="251">
      <c r="A251" s="2">
        <v>43388.84190650463</v>
      </c>
      <c r="B251" s="1" t="s">
        <v>385</v>
      </c>
      <c r="C251" s="1" t="s">
        <v>384</v>
      </c>
      <c r="D251" s="1" t="s">
        <v>12</v>
      </c>
      <c r="E251" s="1" t="s">
        <v>24</v>
      </c>
      <c r="F251" s="1" t="s">
        <v>143</v>
      </c>
    </row>
    <row r="252">
      <c r="A252" s="2">
        <v>43388.8425405787</v>
      </c>
      <c r="B252" s="1" t="s">
        <v>386</v>
      </c>
      <c r="C252" s="1" t="s">
        <v>384</v>
      </c>
      <c r="D252" s="1" t="s">
        <v>18</v>
      </c>
      <c r="E252" s="1" t="s">
        <v>24</v>
      </c>
      <c r="F252" s="1" t="s">
        <v>25</v>
      </c>
    </row>
    <row r="253">
      <c r="A253" s="2">
        <v>43388.84259136574</v>
      </c>
      <c r="B253" s="1" t="s">
        <v>387</v>
      </c>
      <c r="C253" s="1" t="s">
        <v>382</v>
      </c>
      <c r="D253" s="1" t="s">
        <v>12</v>
      </c>
      <c r="E253" s="1" t="s">
        <v>13</v>
      </c>
      <c r="F253" s="1" t="s">
        <v>31</v>
      </c>
    </row>
    <row r="254">
      <c r="A254" s="2">
        <v>43388.84335068287</v>
      </c>
      <c r="B254" s="1" t="s">
        <v>388</v>
      </c>
      <c r="C254" s="1" t="s">
        <v>382</v>
      </c>
      <c r="D254" s="1" t="s">
        <v>12</v>
      </c>
      <c r="E254" s="1" t="s">
        <v>13</v>
      </c>
      <c r="F254" s="1" t="s">
        <v>31</v>
      </c>
    </row>
    <row r="255">
      <c r="A255" s="2">
        <v>43388.84420813658</v>
      </c>
      <c r="B255" s="1" t="s">
        <v>389</v>
      </c>
      <c r="C255" s="1" t="s">
        <v>382</v>
      </c>
      <c r="D255" s="1" t="s">
        <v>12</v>
      </c>
      <c r="E255" s="1" t="s">
        <v>13</v>
      </c>
      <c r="F255" s="1" t="s">
        <v>31</v>
      </c>
    </row>
    <row r="256">
      <c r="A256" s="2">
        <v>43388.87298128472</v>
      </c>
      <c r="B256" s="1" t="s">
        <v>359</v>
      </c>
      <c r="C256" s="1" t="s">
        <v>325</v>
      </c>
      <c r="D256" s="1" t="s">
        <v>12</v>
      </c>
      <c r="E256" s="1" t="s">
        <v>13</v>
      </c>
      <c r="F256" s="1" t="s">
        <v>135</v>
      </c>
    </row>
    <row r="257">
      <c r="A257" s="2">
        <v>43388.87352835648</v>
      </c>
      <c r="B257" s="1" t="s">
        <v>390</v>
      </c>
      <c r="C257" s="1" t="s">
        <v>391</v>
      </c>
      <c r="D257" s="1" t="s">
        <v>12</v>
      </c>
      <c r="E257" s="1" t="s">
        <v>13</v>
      </c>
      <c r="F257" s="1" t="s">
        <v>135</v>
      </c>
    </row>
    <row r="258">
      <c r="A258" s="2">
        <v>43388.874595636575</v>
      </c>
      <c r="B258" s="1" t="s">
        <v>392</v>
      </c>
      <c r="C258" s="1" t="s">
        <v>391</v>
      </c>
      <c r="D258" s="1" t="s">
        <v>12</v>
      </c>
      <c r="E258" s="1" t="s">
        <v>24</v>
      </c>
      <c r="F258" s="1" t="s">
        <v>135</v>
      </c>
    </row>
    <row r="259">
      <c r="A259" s="2">
        <v>43388.88313662037</v>
      </c>
      <c r="B259" s="1" t="s">
        <v>393</v>
      </c>
      <c r="C259" s="1" t="s">
        <v>394</v>
      </c>
      <c r="D259" s="1" t="s">
        <v>12</v>
      </c>
      <c r="E259" s="1" t="s">
        <v>24</v>
      </c>
      <c r="F259" s="1" t="s">
        <v>135</v>
      </c>
    </row>
    <row r="260">
      <c r="A260" s="2">
        <v>43388.89891487268</v>
      </c>
      <c r="B260" s="1" t="s">
        <v>395</v>
      </c>
      <c r="C260" s="1" t="s">
        <v>137</v>
      </c>
      <c r="D260" s="1" t="s">
        <v>12</v>
      </c>
      <c r="E260" s="1" t="s">
        <v>13</v>
      </c>
      <c r="F260" s="1" t="s">
        <v>135</v>
      </c>
    </row>
    <row r="261">
      <c r="A261" s="2">
        <v>43388.91094967593</v>
      </c>
      <c r="B261" s="1" t="s">
        <v>396</v>
      </c>
      <c r="C261" s="1" t="s">
        <v>397</v>
      </c>
      <c r="D261" s="1" t="s">
        <v>12</v>
      </c>
      <c r="E261" s="1" t="s">
        <v>24</v>
      </c>
      <c r="F261" s="1" t="s">
        <v>346</v>
      </c>
    </row>
    <row r="262">
      <c r="A262" s="2">
        <v>43388.91170657407</v>
      </c>
      <c r="B262" s="1" t="s">
        <v>398</v>
      </c>
      <c r="C262" s="1" t="s">
        <v>399</v>
      </c>
      <c r="D262" s="1" t="s">
        <v>12</v>
      </c>
      <c r="E262" s="1" t="s">
        <v>13</v>
      </c>
      <c r="F262" s="1" t="s">
        <v>346</v>
      </c>
    </row>
    <row r="263">
      <c r="A263" s="2">
        <v>43388.91252788194</v>
      </c>
      <c r="B263" s="1" t="s">
        <v>400</v>
      </c>
      <c r="C263" s="1" t="s">
        <v>397</v>
      </c>
      <c r="D263" s="1" t="s">
        <v>18</v>
      </c>
      <c r="E263" s="1" t="s">
        <v>13</v>
      </c>
      <c r="F263" s="1" t="s">
        <v>346</v>
      </c>
    </row>
    <row r="264">
      <c r="A264" s="2">
        <v>43388.9206752662</v>
      </c>
      <c r="B264" s="1" t="s">
        <v>401</v>
      </c>
      <c r="C264" s="1" t="s">
        <v>194</v>
      </c>
      <c r="D264" s="1" t="s">
        <v>12</v>
      </c>
      <c r="E264" s="1" t="s">
        <v>13</v>
      </c>
      <c r="F264" s="1" t="s">
        <v>127</v>
      </c>
    </row>
    <row r="265">
      <c r="A265" s="2">
        <v>43388.921267557875</v>
      </c>
      <c r="B265" s="1" t="s">
        <v>402</v>
      </c>
      <c r="C265" s="1" t="s">
        <v>194</v>
      </c>
      <c r="D265" s="1" t="s">
        <v>18</v>
      </c>
      <c r="E265" s="1" t="s">
        <v>13</v>
      </c>
      <c r="F265" s="1" t="s">
        <v>127</v>
      </c>
    </row>
    <row r="266">
      <c r="A266" s="2">
        <v>43388.9459268287</v>
      </c>
      <c r="B266" s="1" t="s">
        <v>403</v>
      </c>
      <c r="C266" s="1" t="s">
        <v>404</v>
      </c>
      <c r="D266" s="1" t="s">
        <v>18</v>
      </c>
      <c r="E266" s="1" t="s">
        <v>24</v>
      </c>
      <c r="F266" s="1" t="s">
        <v>67</v>
      </c>
    </row>
    <row r="267">
      <c r="A267" s="2">
        <v>43388.94747633101</v>
      </c>
      <c r="B267" s="1" t="s">
        <v>405</v>
      </c>
      <c r="C267" s="1" t="s">
        <v>404</v>
      </c>
      <c r="D267" s="1" t="s">
        <v>12</v>
      </c>
      <c r="E267" s="1" t="s">
        <v>13</v>
      </c>
      <c r="F267" s="1" t="s">
        <v>67</v>
      </c>
    </row>
    <row r="268">
      <c r="A268" s="2">
        <v>43388.94832943287</v>
      </c>
      <c r="B268" s="1" t="s">
        <v>406</v>
      </c>
      <c r="C268" s="1" t="s">
        <v>404</v>
      </c>
      <c r="D268" s="1" t="s">
        <v>12</v>
      </c>
      <c r="E268" s="1" t="s">
        <v>13</v>
      </c>
      <c r="F268" s="1" t="s">
        <v>67</v>
      </c>
    </row>
    <row r="269">
      <c r="A269" s="2">
        <v>43388.94923722222</v>
      </c>
      <c r="B269" s="1" t="s">
        <v>407</v>
      </c>
      <c r="C269" s="1" t="s">
        <v>146</v>
      </c>
      <c r="D269" s="1" t="s">
        <v>18</v>
      </c>
      <c r="E269" s="1" t="s">
        <v>24</v>
      </c>
      <c r="F269" s="1" t="s">
        <v>182</v>
      </c>
    </row>
    <row r="270">
      <c r="A270" s="2">
        <v>43388.95863429398</v>
      </c>
      <c r="B270" s="1" t="s">
        <v>408</v>
      </c>
      <c r="C270" s="1" t="s">
        <v>409</v>
      </c>
      <c r="D270" s="1" t="s">
        <v>12</v>
      </c>
      <c r="E270" s="1" t="s">
        <v>24</v>
      </c>
      <c r="F270" s="1" t="s">
        <v>135</v>
      </c>
    </row>
    <row r="271">
      <c r="A271" s="2">
        <v>43388.959471435184</v>
      </c>
      <c r="B271" s="1" t="s">
        <v>410</v>
      </c>
      <c r="C271" s="1" t="s">
        <v>409</v>
      </c>
      <c r="D271" s="1" t="s">
        <v>12</v>
      </c>
      <c r="E271" s="1" t="s">
        <v>13</v>
      </c>
      <c r="F271" s="1" t="s">
        <v>135</v>
      </c>
    </row>
    <row r="272">
      <c r="A272" s="2">
        <v>43388.96006701389</v>
      </c>
      <c r="B272" s="1" t="s">
        <v>411</v>
      </c>
      <c r="C272" s="1" t="s">
        <v>409</v>
      </c>
      <c r="D272" s="1" t="s">
        <v>12</v>
      </c>
      <c r="E272" s="1" t="s">
        <v>13</v>
      </c>
      <c r="F272" s="1" t="s">
        <v>135</v>
      </c>
    </row>
    <row r="273">
      <c r="A273" s="2">
        <v>43388.96633351852</v>
      </c>
      <c r="B273" s="1" t="s">
        <v>412</v>
      </c>
      <c r="C273" s="1" t="s">
        <v>413</v>
      </c>
      <c r="D273" s="1" t="s">
        <v>18</v>
      </c>
      <c r="E273" s="1" t="s">
        <v>24</v>
      </c>
      <c r="F273" s="1" t="s">
        <v>67</v>
      </c>
    </row>
    <row r="274">
      <c r="A274" s="2">
        <v>43388.96760420139</v>
      </c>
      <c r="B274" s="1" t="s">
        <v>414</v>
      </c>
      <c r="C274" s="1" t="s">
        <v>415</v>
      </c>
      <c r="D274" s="1" t="s">
        <v>12</v>
      </c>
      <c r="E274" s="1" t="s">
        <v>13</v>
      </c>
      <c r="F274" s="1" t="s">
        <v>67</v>
      </c>
    </row>
    <row r="275">
      <c r="A275" s="2">
        <v>43388.96849945602</v>
      </c>
      <c r="B275" s="1" t="s">
        <v>416</v>
      </c>
      <c r="C275" s="1" t="s">
        <v>413</v>
      </c>
      <c r="D275" s="1" t="s">
        <v>12</v>
      </c>
      <c r="E275" s="1" t="s">
        <v>13</v>
      </c>
      <c r="F275" s="1" t="s">
        <v>67</v>
      </c>
    </row>
    <row r="276">
      <c r="A276" s="2">
        <v>43388.96931126158</v>
      </c>
      <c r="B276" s="1" t="s">
        <v>417</v>
      </c>
      <c r="C276" s="1" t="s">
        <v>413</v>
      </c>
      <c r="D276" s="1" t="s">
        <v>12</v>
      </c>
      <c r="E276" s="1" t="s">
        <v>13</v>
      </c>
      <c r="F276" s="1" t="s">
        <v>67</v>
      </c>
    </row>
    <row r="277">
      <c r="A277" s="2">
        <v>43388.972218993054</v>
      </c>
      <c r="B277" s="1" t="s">
        <v>418</v>
      </c>
      <c r="C277" s="1" t="s">
        <v>419</v>
      </c>
      <c r="D277" s="1" t="s">
        <v>12</v>
      </c>
      <c r="E277" s="1" t="s">
        <v>13</v>
      </c>
      <c r="F277" s="1" t="s">
        <v>143</v>
      </c>
    </row>
    <row r="278">
      <c r="A278" s="2">
        <v>43388.97296688658</v>
      </c>
      <c r="B278" s="1" t="s">
        <v>420</v>
      </c>
      <c r="C278" s="1" t="s">
        <v>148</v>
      </c>
      <c r="D278" s="1" t="s">
        <v>18</v>
      </c>
      <c r="E278" s="1" t="s">
        <v>13</v>
      </c>
      <c r="F278" s="1" t="s">
        <v>143</v>
      </c>
    </row>
    <row r="279">
      <c r="A279" s="2">
        <v>43389.412615023146</v>
      </c>
      <c r="B279" s="1" t="s">
        <v>421</v>
      </c>
      <c r="C279" s="1" t="s">
        <v>205</v>
      </c>
      <c r="D279" s="1" t="s">
        <v>12</v>
      </c>
      <c r="E279" s="1" t="s">
        <v>24</v>
      </c>
      <c r="F279" s="1" t="s">
        <v>135</v>
      </c>
    </row>
    <row r="280">
      <c r="A280" s="2">
        <v>43389.42585452546</v>
      </c>
      <c r="B280" s="1" t="s">
        <v>422</v>
      </c>
      <c r="C280" s="1" t="s">
        <v>134</v>
      </c>
      <c r="D280" s="1" t="s">
        <v>18</v>
      </c>
      <c r="E280" s="1" t="s">
        <v>24</v>
      </c>
      <c r="F280" s="1" t="s">
        <v>119</v>
      </c>
    </row>
    <row r="281">
      <c r="A281" s="2">
        <v>43389.42636868056</v>
      </c>
      <c r="B281" s="1" t="s">
        <v>423</v>
      </c>
      <c r="C281" s="1" t="s">
        <v>134</v>
      </c>
      <c r="D281" s="1" t="s">
        <v>12</v>
      </c>
      <c r="E281" s="1" t="s">
        <v>13</v>
      </c>
      <c r="F281" s="1" t="s">
        <v>119</v>
      </c>
    </row>
    <row r="282">
      <c r="A282" s="2">
        <v>43389.6062043287</v>
      </c>
      <c r="B282" s="1" t="s">
        <v>424</v>
      </c>
      <c r="C282" s="1" t="s">
        <v>314</v>
      </c>
      <c r="D282" s="1" t="s">
        <v>12</v>
      </c>
      <c r="E282" s="1" t="s">
        <v>24</v>
      </c>
      <c r="F282" s="1" t="s">
        <v>265</v>
      </c>
    </row>
    <row r="283">
      <c r="A283" s="2">
        <v>43389.60691657408</v>
      </c>
      <c r="B283" s="1" t="s">
        <v>425</v>
      </c>
      <c r="C283" s="1" t="s">
        <v>426</v>
      </c>
      <c r="D283" s="1" t="s">
        <v>12</v>
      </c>
      <c r="E283" s="1" t="s">
        <v>13</v>
      </c>
      <c r="F283" s="1" t="s">
        <v>265</v>
      </c>
    </row>
    <row r="284">
      <c r="A284" s="2">
        <v>43389.784667071755</v>
      </c>
      <c r="B284" s="1" t="s">
        <v>427</v>
      </c>
      <c r="C284" s="1" t="s">
        <v>428</v>
      </c>
      <c r="D284" s="1" t="s">
        <v>12</v>
      </c>
      <c r="E284" s="1" t="s">
        <v>13</v>
      </c>
      <c r="F284" s="1" t="s">
        <v>31</v>
      </c>
      <c r="G284" s="1" t="s">
        <v>429</v>
      </c>
    </row>
    <row r="285">
      <c r="A285" s="2">
        <v>43389.78503246528</v>
      </c>
      <c r="B285" s="1" t="s">
        <v>430</v>
      </c>
      <c r="C285" s="1" t="s">
        <v>428</v>
      </c>
      <c r="D285" s="1" t="s">
        <v>12</v>
      </c>
      <c r="E285" s="1" t="s">
        <v>13</v>
      </c>
      <c r="F285" s="1" t="s">
        <v>31</v>
      </c>
      <c r="G285" s="1" t="s">
        <v>431</v>
      </c>
    </row>
    <row r="286">
      <c r="A286" s="2">
        <v>43389.78539819444</v>
      </c>
      <c r="B286" s="1" t="s">
        <v>432</v>
      </c>
      <c r="C286" s="1" t="s">
        <v>428</v>
      </c>
      <c r="D286" s="1" t="s">
        <v>12</v>
      </c>
      <c r="E286" s="1" t="s">
        <v>13</v>
      </c>
      <c r="F286" s="1" t="s">
        <v>31</v>
      </c>
      <c r="G286" s="1" t="s">
        <v>433</v>
      </c>
    </row>
    <row r="287">
      <c r="A287" s="2">
        <v>43389.78582472222</v>
      </c>
      <c r="B287" s="1" t="s">
        <v>435</v>
      </c>
      <c r="C287" s="1" t="s">
        <v>428</v>
      </c>
      <c r="D287" s="1" t="s">
        <v>12</v>
      </c>
      <c r="E287" s="1" t="s">
        <v>24</v>
      </c>
      <c r="F287" s="1" t="s">
        <v>31</v>
      </c>
      <c r="G287" s="1" t="s">
        <v>436</v>
      </c>
    </row>
    <row r="288">
      <c r="A288" s="2">
        <v>43390.27752827546</v>
      </c>
      <c r="B288" s="1" t="s">
        <v>437</v>
      </c>
      <c r="C288" s="1" t="s">
        <v>374</v>
      </c>
      <c r="D288" s="1" t="s">
        <v>12</v>
      </c>
      <c r="E288" s="1" t="s">
        <v>24</v>
      </c>
      <c r="F288" s="1" t="s">
        <v>135</v>
      </c>
    </row>
    <row r="289">
      <c r="A289" s="2">
        <v>43390.27846599537</v>
      </c>
      <c r="B289" s="1" t="s">
        <v>438</v>
      </c>
      <c r="C289" s="1" t="s">
        <v>374</v>
      </c>
      <c r="D289" s="1" t="s">
        <v>12</v>
      </c>
      <c r="E289" s="1" t="s">
        <v>13</v>
      </c>
      <c r="F289" s="1" t="s">
        <v>14</v>
      </c>
      <c r="G289" s="1" t="s">
        <v>439</v>
      </c>
    </row>
    <row r="290">
      <c r="A290" s="2">
        <v>43391.54741615741</v>
      </c>
      <c r="B290" s="1" t="s">
        <v>440</v>
      </c>
      <c r="C290" s="1" t="s">
        <v>441</v>
      </c>
      <c r="D290" s="1" t="s">
        <v>18</v>
      </c>
      <c r="E290" s="1" t="s">
        <v>24</v>
      </c>
      <c r="F290" s="1" t="s">
        <v>265</v>
      </c>
    </row>
    <row r="291">
      <c r="A291" s="2">
        <v>43391.549801875</v>
      </c>
      <c r="B291" s="1" t="s">
        <v>442</v>
      </c>
      <c r="C291" s="1" t="s">
        <v>441</v>
      </c>
      <c r="D291" s="1" t="s">
        <v>12</v>
      </c>
      <c r="E291" s="1" t="s">
        <v>13</v>
      </c>
      <c r="F291" s="1" t="s">
        <v>265</v>
      </c>
    </row>
    <row r="292">
      <c r="A292" s="2">
        <v>43391.55061160879</v>
      </c>
      <c r="B292" s="1" t="s">
        <v>443</v>
      </c>
      <c r="C292" s="1" t="s">
        <v>441</v>
      </c>
      <c r="D292" s="1" t="s">
        <v>12</v>
      </c>
      <c r="E292" s="1" t="s">
        <v>13</v>
      </c>
      <c r="F292" s="1" t="s">
        <v>265</v>
      </c>
    </row>
    <row r="293">
      <c r="A293" s="2">
        <v>43391.55126232639</v>
      </c>
      <c r="B293" s="1" t="s">
        <v>444</v>
      </c>
      <c r="C293" s="1" t="s">
        <v>441</v>
      </c>
      <c r="D293" s="1" t="s">
        <v>18</v>
      </c>
      <c r="E293" s="1" t="s">
        <v>13</v>
      </c>
      <c r="F293" s="1" t="s">
        <v>265</v>
      </c>
    </row>
    <row r="294">
      <c r="A294" s="2">
        <v>43391.965299351854</v>
      </c>
      <c r="B294" s="1" t="s">
        <v>445</v>
      </c>
      <c r="C294" s="1" t="s">
        <v>194</v>
      </c>
      <c r="D294" s="1" t="s">
        <v>12</v>
      </c>
      <c r="E294" s="1" t="s">
        <v>24</v>
      </c>
      <c r="F294" s="1" t="s">
        <v>346</v>
      </c>
    </row>
    <row r="295">
      <c r="A295" s="2">
        <v>43401.45876357639</v>
      </c>
      <c r="B295" s="1" t="s">
        <v>446</v>
      </c>
      <c r="C295" s="1" t="s">
        <v>447</v>
      </c>
      <c r="D295" s="1" t="s">
        <v>12</v>
      </c>
      <c r="E295" s="1" t="s">
        <v>13</v>
      </c>
      <c r="F295" s="1" t="s">
        <v>135</v>
      </c>
    </row>
    <row r="296">
      <c r="A296" s="2">
        <v>43401.459266817124</v>
      </c>
      <c r="B296" s="1" t="s">
        <v>448</v>
      </c>
      <c r="C296" s="1" t="s">
        <v>447</v>
      </c>
      <c r="D296" s="1" t="s">
        <v>12</v>
      </c>
      <c r="E296" s="1" t="s">
        <v>13</v>
      </c>
      <c r="F296" s="1" t="s">
        <v>135</v>
      </c>
    </row>
    <row r="297">
      <c r="A297" s="2">
        <v>43401.45965284722</v>
      </c>
      <c r="B297" s="1" t="s">
        <v>449</v>
      </c>
      <c r="C297" s="1" t="s">
        <v>447</v>
      </c>
      <c r="D297" s="1" t="s">
        <v>12</v>
      </c>
      <c r="E297" s="1" t="s">
        <v>24</v>
      </c>
      <c r="F297" s="1" t="s">
        <v>135</v>
      </c>
    </row>
    <row r="298">
      <c r="A298" s="2">
        <v>43401.46005300926</v>
      </c>
      <c r="B298" s="1" t="s">
        <v>450</v>
      </c>
      <c r="C298" s="1" t="s">
        <v>447</v>
      </c>
      <c r="D298" s="1" t="s">
        <v>18</v>
      </c>
      <c r="E298" s="1" t="s">
        <v>13</v>
      </c>
      <c r="F298" s="1" t="s">
        <v>135</v>
      </c>
    </row>
    <row r="299">
      <c r="A299" s="2">
        <v>43401.48468326389</v>
      </c>
      <c r="B299" s="1" t="s">
        <v>451</v>
      </c>
      <c r="C299" s="1" t="s">
        <v>323</v>
      </c>
      <c r="D299" s="1" t="s">
        <v>18</v>
      </c>
      <c r="E299" s="1" t="s">
        <v>24</v>
      </c>
      <c r="F299" s="1" t="s">
        <v>452</v>
      </c>
    </row>
    <row r="300">
      <c r="A300" s="2">
        <v>43401.485933449076</v>
      </c>
      <c r="B300" s="1" t="s">
        <v>453</v>
      </c>
      <c r="C300" s="1" t="s">
        <v>323</v>
      </c>
      <c r="D300" s="1" t="s">
        <v>18</v>
      </c>
      <c r="E300" s="1" t="s">
        <v>24</v>
      </c>
      <c r="F300" s="1" t="s">
        <v>452</v>
      </c>
    </row>
    <row r="301">
      <c r="A301" s="2">
        <v>43401.56462466435</v>
      </c>
      <c r="B301" s="1" t="s">
        <v>454</v>
      </c>
      <c r="C301" s="1" t="s">
        <v>455</v>
      </c>
      <c r="D301" s="1" t="s">
        <v>18</v>
      </c>
      <c r="E301" s="1" t="s">
        <v>24</v>
      </c>
      <c r="F301" s="1" t="s">
        <v>452</v>
      </c>
    </row>
    <row r="302">
      <c r="A302" s="2">
        <v>43401.63971578704</v>
      </c>
      <c r="B302" s="1" t="s">
        <v>456</v>
      </c>
      <c r="C302" s="1" t="s">
        <v>455</v>
      </c>
      <c r="D302" s="1" t="s">
        <v>12</v>
      </c>
      <c r="E302" s="1" t="s">
        <v>13</v>
      </c>
      <c r="F302" s="1" t="s">
        <v>452</v>
      </c>
    </row>
    <row r="303">
      <c r="A303" s="2">
        <v>43401.64058653935</v>
      </c>
      <c r="B303" s="1" t="s">
        <v>457</v>
      </c>
      <c r="C303" s="1" t="s">
        <v>323</v>
      </c>
      <c r="D303" s="1" t="s">
        <v>12</v>
      </c>
      <c r="E303" s="1" t="s">
        <v>13</v>
      </c>
      <c r="F303" s="1" t="s">
        <v>452</v>
      </c>
    </row>
    <row r="304">
      <c r="A304" s="2">
        <v>43401.64095071759</v>
      </c>
      <c r="B304" s="1" t="s">
        <v>458</v>
      </c>
      <c r="C304" s="1" t="s">
        <v>323</v>
      </c>
      <c r="D304" s="1" t="s">
        <v>12</v>
      </c>
      <c r="E304" s="1" t="s">
        <v>13</v>
      </c>
      <c r="F304" s="1" t="s">
        <v>452</v>
      </c>
    </row>
    <row r="305">
      <c r="A305" s="2">
        <v>43401.64125637732</v>
      </c>
      <c r="B305" s="1" t="s">
        <v>459</v>
      </c>
      <c r="C305" s="1" t="s">
        <v>323</v>
      </c>
      <c r="D305" s="1" t="s">
        <v>12</v>
      </c>
      <c r="E305" s="1" t="s">
        <v>13</v>
      </c>
      <c r="F305" s="1" t="s">
        <v>452</v>
      </c>
    </row>
    <row r="306">
      <c r="A306" s="2">
        <v>43401.66088011574</v>
      </c>
      <c r="B306" s="1" t="s">
        <v>460</v>
      </c>
      <c r="C306" s="1" t="s">
        <v>461</v>
      </c>
      <c r="D306" s="1" t="s">
        <v>18</v>
      </c>
      <c r="E306" s="1" t="s">
        <v>24</v>
      </c>
      <c r="F306" s="1" t="s">
        <v>452</v>
      </c>
    </row>
    <row r="307">
      <c r="A307" s="2">
        <v>43401.848176238425</v>
      </c>
      <c r="B307" s="1" t="s">
        <v>462</v>
      </c>
      <c r="C307" s="1" t="s">
        <v>463</v>
      </c>
      <c r="D307" s="1" t="s">
        <v>12</v>
      </c>
      <c r="E307" s="1" t="s">
        <v>13</v>
      </c>
      <c r="F307" s="1" t="s">
        <v>452</v>
      </c>
    </row>
    <row r="308">
      <c r="A308" s="2">
        <v>43401.84914230324</v>
      </c>
      <c r="B308" s="1" t="s">
        <v>464</v>
      </c>
      <c r="C308" s="1" t="s">
        <v>463</v>
      </c>
      <c r="D308" s="1" t="s">
        <v>18</v>
      </c>
      <c r="E308" s="1" t="s">
        <v>24</v>
      </c>
      <c r="F308" s="1" t="s">
        <v>452</v>
      </c>
    </row>
    <row r="309">
      <c r="A309" s="2">
        <v>43401.849792974535</v>
      </c>
      <c r="B309" s="1" t="s">
        <v>465</v>
      </c>
      <c r="C309" s="1" t="s">
        <v>466</v>
      </c>
      <c r="D309" s="1" t="s">
        <v>18</v>
      </c>
      <c r="E309" s="1" t="s">
        <v>13</v>
      </c>
      <c r="F309" s="1" t="s">
        <v>452</v>
      </c>
    </row>
    <row r="310">
      <c r="A310" s="2">
        <v>43405.92112641204</v>
      </c>
      <c r="B310" s="1" t="s">
        <v>467</v>
      </c>
      <c r="C310" s="1" t="s">
        <v>363</v>
      </c>
      <c r="D310" s="1" t="s">
        <v>12</v>
      </c>
      <c r="E310" s="1" t="s">
        <v>13</v>
      </c>
      <c r="F310" s="1" t="s">
        <v>119</v>
      </c>
    </row>
  </sheetData>
  <autoFilter ref="$A$1:$G$310"/>
  <conditionalFormatting sqref="B1">
    <cfRule type="expression" dxfId="0" priority="1">
      <formula>countif(B:B,B1)&gt;1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6.0"/>
    <col customWidth="1" min="3" max="3" width="31.14"/>
    <col customWidth="1" min="4" max="4" width="9.43"/>
    <col customWidth="1" min="5" max="5" width="11.43"/>
    <col customWidth="1" min="6" max="6" width="18.43"/>
    <col customWidth="1" min="7" max="7" width="34.0"/>
    <col customWidth="1" min="8" max="8" width="24.71"/>
    <col customWidth="1" min="9" max="9" width="13.71"/>
    <col customWidth="1" min="10" max="10" width="15.71"/>
    <col customWidth="1" min="11" max="11" width="13.29"/>
  </cols>
  <sheetData>
    <row r="1">
      <c r="C1" s="1" t="s">
        <v>1</v>
      </c>
      <c r="D1">
        <f>COUNTIFS($F:$F,"&lt;&gt;",$L:$L,"")</f>
        <v>292</v>
      </c>
    </row>
    <row r="2">
      <c r="A2" s="4" t="s">
        <v>8</v>
      </c>
      <c r="B2" s="5" t="s">
        <v>2</v>
      </c>
      <c r="C2" s="5" t="s">
        <v>9</v>
      </c>
      <c r="D2" s="7" t="s">
        <v>4</v>
      </c>
      <c r="E2" s="7" t="s">
        <v>19</v>
      </c>
      <c r="F2" s="7" t="s">
        <v>5</v>
      </c>
      <c r="G2" s="7" t="s">
        <v>22</v>
      </c>
      <c r="H2" s="8" t="s">
        <v>23</v>
      </c>
      <c r="I2" s="9" t="s">
        <v>7</v>
      </c>
      <c r="J2" s="10" t="s">
        <v>42</v>
      </c>
      <c r="K2" s="10" t="s">
        <v>54</v>
      </c>
      <c r="L2" s="10" t="s">
        <v>55</v>
      </c>
    </row>
    <row r="3">
      <c r="A3" s="11">
        <v>1.0</v>
      </c>
      <c r="B3" s="12" t="str">
        <f>IFERROR(__xludf.DUMMYFUNCTION("IMPORTRANGE(""1CvrohmhsVnEBl4-z21lLF3bI175ZD_m0gXPoMcuAO0U"",""Online!B2:D600"")"),"Visal Hemant")</f>
        <v>Visal Hemant</v>
      </c>
      <c r="C3" s="12" t="str">
        <f>IFERROR(__xludf.DUMMYFUNCTION("""COMPUTED_VALUE"""),"hemant.visal@gmail.com")</f>
        <v>hemant.visal@gmail.com</v>
      </c>
      <c r="D3" s="12" t="str">
        <f>IFERROR(__xludf.DUMMYFUNCTION("""COMPUTED_VALUE"""),"Adult")</f>
        <v>Adult</v>
      </c>
      <c r="E3" s="13">
        <f>IF(D3&lt;&gt;"",VLOOKUP(D3,Settings!$G$3:$H$6,2,false),"")</f>
        <v>2300</v>
      </c>
      <c r="F3" s="15" t="str">
        <f>IFERROR(__xludf.DUMMYFUNCTION("IMPORTRANGE(""1CvrohmhsVnEBl4-z21lLF3bI175ZD_m0gXPoMcuAO0U"",""Online!E2:F600"")"),"Relative")</f>
        <v>Relative</v>
      </c>
      <c r="G3" s="15" t="str">
        <f>IFERROR(__xludf.DUMMYFUNCTION("""COMPUTED_VALUE"""),"My Group")</f>
        <v>My Group</v>
      </c>
      <c r="H3" s="12" t="str">
        <f>IF(G3&lt;&gt;"",VLOOKUP(G3,Settings!$B$4:$C$35,2,false),"")</f>
        <v>OIOC</v>
      </c>
      <c r="I3" s="12" t="str">
        <f>IFERROR(__xludf.DUMMYFUNCTION("IMPORTRANGE(""1CvrohmhsVnEBl4-z21lLF3bI175ZD_m0gXPoMcuAO0U"",""Online!G2:G600"")"),"")</f>
        <v/>
      </c>
      <c r="J3" s="15" t="s">
        <v>129</v>
      </c>
      <c r="K3" s="16">
        <v>43384.0</v>
      </c>
      <c r="L3" s="3"/>
    </row>
    <row r="4">
      <c r="A4" s="17">
        <f t="shared" ref="A4:A386" si="1">IF(B3&lt;&gt;"", ROW()-2,"")</f>
        <v>2</v>
      </c>
      <c r="B4" s="12" t="str">
        <f>IFERROR(__xludf.DUMMYFUNCTION("""COMPUTED_VALUE"""),"Visal Rashmi")</f>
        <v>Visal Rashmi</v>
      </c>
      <c r="C4" s="12" t="str">
        <f>IFERROR(__xludf.DUMMYFUNCTION("""COMPUTED_VALUE"""),"hemant.visal@gmail.com")</f>
        <v>hemant.visal@gmail.com</v>
      </c>
      <c r="D4" s="12" t="str">
        <f>IFERROR(__xludf.DUMMYFUNCTION("""COMPUTED_VALUE"""),"Adult")</f>
        <v>Adult</v>
      </c>
      <c r="E4" s="13">
        <f>IF(D4&lt;&gt;"",VLOOKUP(D4,Settings!$G$3:$H$6,2,false),"")</f>
        <v>2300</v>
      </c>
      <c r="F4" s="15" t="str">
        <f>IFERROR(__xludf.DUMMYFUNCTION("""COMPUTED_VALUE"""),"Relative")</f>
        <v>Relative</v>
      </c>
      <c r="G4" s="15" t="str">
        <f>IFERROR(__xludf.DUMMYFUNCTION("""COMPUTED_VALUE"""),"My Group")</f>
        <v>My Group</v>
      </c>
      <c r="H4" s="12" t="str">
        <f>IF(G4&lt;&gt;"",VLOOKUP(G4,Settings!$B$4:$C$35,2,false),"")</f>
        <v>OIOC</v>
      </c>
      <c r="I4" s="12" t="str">
        <f>IFERROR(__xludf.DUMMYFUNCTION("""COMPUTED_VALUE"""),"")</f>
        <v/>
      </c>
      <c r="J4" s="15" t="s">
        <v>129</v>
      </c>
      <c r="K4" s="16">
        <v>43384.0</v>
      </c>
      <c r="L4" s="6"/>
    </row>
    <row r="5">
      <c r="A5" s="17">
        <f t="shared" si="1"/>
        <v>3</v>
      </c>
      <c r="B5" s="12" t="str">
        <f>IFERROR(__xludf.DUMMYFUNCTION("""COMPUTED_VALUE"""),"Visal Isha")</f>
        <v>Visal Isha</v>
      </c>
      <c r="C5" s="12" t="str">
        <f>IFERROR(__xludf.DUMMYFUNCTION("""COMPUTED_VALUE"""),"hemant.visal@gmail.com")</f>
        <v>hemant.visal@gmail.com</v>
      </c>
      <c r="D5" s="12" t="str">
        <f>IFERROR(__xludf.DUMMYFUNCTION("""COMPUTED_VALUE"""),"Adult")</f>
        <v>Adult</v>
      </c>
      <c r="E5" s="13">
        <f>IF(D5&lt;&gt;"",VLOOKUP(D5,Settings!$G$3:$H$6,2,false),"")</f>
        <v>2300</v>
      </c>
      <c r="F5" s="15" t="str">
        <f>IFERROR(__xludf.DUMMYFUNCTION("""COMPUTED_VALUE"""),"Relative")</f>
        <v>Relative</v>
      </c>
      <c r="G5" s="15" t="str">
        <f>IFERROR(__xludf.DUMMYFUNCTION("""COMPUTED_VALUE"""),"My Group")</f>
        <v>My Group</v>
      </c>
      <c r="H5" s="12" t="str">
        <f>IF(G5&lt;&gt;"",VLOOKUP(G5,Settings!$B$4:$C$35,2,false),"")</f>
        <v>OIOC</v>
      </c>
      <c r="I5" s="12" t="str">
        <f>IFERROR(__xludf.DUMMYFUNCTION("""COMPUTED_VALUE"""),"")</f>
        <v/>
      </c>
      <c r="J5" s="15" t="s">
        <v>129</v>
      </c>
      <c r="K5" s="16">
        <v>43384.0</v>
      </c>
      <c r="L5" s="3"/>
    </row>
    <row r="6">
      <c r="A6" s="17">
        <f t="shared" si="1"/>
        <v>4</v>
      </c>
      <c r="B6" s="12" t="str">
        <f>IFERROR(__xludf.DUMMYFUNCTION("""COMPUTED_VALUE"""),"Visal Asmi")</f>
        <v>Visal Asmi</v>
      </c>
      <c r="C6" s="12" t="str">
        <f>IFERROR(__xludf.DUMMYFUNCTION("""COMPUTED_VALUE"""),"hemant.visal@gmail.com")</f>
        <v>hemant.visal@gmail.com</v>
      </c>
      <c r="D6" s="12" t="str">
        <f>IFERROR(__xludf.DUMMYFUNCTION("""COMPUTED_VALUE"""),"Child")</f>
        <v>Child</v>
      </c>
      <c r="E6" s="13">
        <f>IF(D6&lt;&gt;"",VLOOKUP(D6,Settings!$G$3:$H$6,2,false),"")</f>
        <v>1200</v>
      </c>
      <c r="F6" s="15" t="str">
        <f>IFERROR(__xludf.DUMMYFUNCTION("""COMPUTED_VALUE"""),"Relative")</f>
        <v>Relative</v>
      </c>
      <c r="G6" s="15" t="str">
        <f>IFERROR(__xludf.DUMMYFUNCTION("""COMPUTED_VALUE"""),"My Group")</f>
        <v>My Group</v>
      </c>
      <c r="H6" s="12" t="str">
        <f>IF(G6&lt;&gt;"",VLOOKUP(G6,Settings!$B$4:$C$35,2,false),"")</f>
        <v>OIOC</v>
      </c>
      <c r="I6" s="12" t="str">
        <f>IFERROR(__xludf.DUMMYFUNCTION("""COMPUTED_VALUE"""),"")</f>
        <v/>
      </c>
      <c r="J6" s="15" t="s">
        <v>129</v>
      </c>
      <c r="K6" s="16">
        <v>43384.0</v>
      </c>
      <c r="L6" s="3"/>
    </row>
    <row r="7">
      <c r="A7" s="17">
        <f t="shared" si="1"/>
        <v>5</v>
      </c>
      <c r="B7" s="12" t="str">
        <f>IFERROR(__xludf.DUMMYFUNCTION("""COMPUTED_VALUE"""),"Saanvi ")</f>
        <v>Saanvi </v>
      </c>
      <c r="C7" s="12" t="str">
        <f>IFERROR(__xludf.DUMMYFUNCTION("""COMPUTED_VALUE"""),"amitaskulkarni@gmail.com")</f>
        <v>amitaskulkarni@gmail.com</v>
      </c>
      <c r="D7" s="12" t="str">
        <f>IFERROR(__xludf.DUMMYFUNCTION("""COMPUTED_VALUE"""),"Child")</f>
        <v>Child</v>
      </c>
      <c r="E7" s="13">
        <f>IF(D7&lt;&gt;"",VLOOKUP(D7,Settings!$G$3:$H$6,2,false),"")</f>
        <v>1200</v>
      </c>
      <c r="F7" s="15" t="str">
        <f>IFERROR(__xludf.DUMMYFUNCTION("""COMPUTED_VALUE"""),"Performer")</f>
        <v>Performer</v>
      </c>
      <c r="G7" s="15" t="str">
        <f>IFERROR(__xludf.DUMMYFUNCTION("""COMPUTED_VALUE"""),"Blooming Flowers")</f>
        <v>Blooming Flowers</v>
      </c>
      <c r="H7" s="12" t="str">
        <f>IF(G7&lt;&gt;"",VLOOKUP(G7,Settings!$B$4:$C$35,2,false),"")</f>
        <v>Amita Deshpande</v>
      </c>
      <c r="I7" s="12" t="str">
        <f>IFERROR(__xludf.DUMMYFUNCTION("""COMPUTED_VALUE"""),"")</f>
        <v/>
      </c>
      <c r="J7" s="15" t="s">
        <v>241</v>
      </c>
      <c r="K7" s="15"/>
      <c r="L7" s="6"/>
    </row>
    <row r="8">
      <c r="A8" s="17">
        <f t="shared" si="1"/>
        <v>6</v>
      </c>
      <c r="B8" s="12" t="str">
        <f>IFERROR(__xludf.DUMMYFUNCTION("""COMPUTED_VALUE"""),"Amita Deshpande ")</f>
        <v>Amita Deshpande </v>
      </c>
      <c r="C8" s="12" t="str">
        <f>IFERROR(__xludf.DUMMYFUNCTION("""COMPUTED_VALUE"""),"amitaskulkarni@gmail.com")</f>
        <v>amitaskulkarni@gmail.com</v>
      </c>
      <c r="D8" s="12" t="str">
        <f>IFERROR(__xludf.DUMMYFUNCTION("""COMPUTED_VALUE"""),"Adult")</f>
        <v>Adult</v>
      </c>
      <c r="E8" s="13">
        <f>IF(D8&lt;&gt;"",VLOOKUP(D8,Settings!$G$3:$H$6,2,false),"")</f>
        <v>2300</v>
      </c>
      <c r="F8" s="15" t="str">
        <f>IFERROR(__xludf.DUMMYFUNCTION("""COMPUTED_VALUE"""),"Coordinator")</f>
        <v>Coordinator</v>
      </c>
      <c r="G8" s="15" t="str">
        <f>IFERROR(__xludf.DUMMYFUNCTION("""COMPUTED_VALUE"""),"Blooming Flowers")</f>
        <v>Blooming Flowers</v>
      </c>
      <c r="H8" s="12" t="str">
        <f>IF(G8&lt;&gt;"",VLOOKUP(G8,Settings!$B$4:$C$35,2,false),"")</f>
        <v>Amita Deshpande</v>
      </c>
      <c r="I8" s="12" t="str">
        <f>IFERROR(__xludf.DUMMYFUNCTION("""COMPUTED_VALUE"""),"")</f>
        <v/>
      </c>
      <c r="J8" s="15" t="s">
        <v>241</v>
      </c>
      <c r="K8" s="16"/>
      <c r="L8" s="3"/>
    </row>
    <row r="9">
      <c r="A9" s="17">
        <f t="shared" si="1"/>
        <v>7</v>
      </c>
      <c r="B9" s="12" t="str">
        <f>IFERROR(__xludf.DUMMYFUNCTION("""COMPUTED_VALUE"""),"Vishal Deshpande ")</f>
        <v>Vishal Deshpande </v>
      </c>
      <c r="C9" s="12" t="str">
        <f>IFERROR(__xludf.DUMMYFUNCTION("""COMPUTED_VALUE"""),"amitaskulkarni@gmail.com")</f>
        <v>amitaskulkarni@gmail.com</v>
      </c>
      <c r="D9" s="12" t="str">
        <f>IFERROR(__xludf.DUMMYFUNCTION("""COMPUTED_VALUE"""),"Adult")</f>
        <v>Adult</v>
      </c>
      <c r="E9" s="13">
        <f>IF(D9&lt;&gt;"",VLOOKUP(D9,Settings!$G$3:$H$6,2,false),"")</f>
        <v>2300</v>
      </c>
      <c r="F9" s="15" t="str">
        <f>IFERROR(__xludf.DUMMYFUNCTION("""COMPUTED_VALUE"""),"Relative")</f>
        <v>Relative</v>
      </c>
      <c r="G9" s="15" t="str">
        <f>IFERROR(__xludf.DUMMYFUNCTION("""COMPUTED_VALUE"""),"Blooming Flowers")</f>
        <v>Blooming Flowers</v>
      </c>
      <c r="H9" s="12" t="str">
        <f>IF(G9&lt;&gt;"",VLOOKUP(G9,Settings!$B$4:$C$35,2,false),"")</f>
        <v>Amita Deshpande</v>
      </c>
      <c r="I9" s="12" t="str">
        <f>IFERROR(__xludf.DUMMYFUNCTION("""COMPUTED_VALUE"""),"")</f>
        <v/>
      </c>
      <c r="J9" s="15" t="s">
        <v>241</v>
      </c>
      <c r="K9" s="16"/>
      <c r="L9" s="3"/>
    </row>
    <row r="10">
      <c r="A10" s="17">
        <f t="shared" si="1"/>
        <v>8</v>
      </c>
      <c r="B10" s="12" t="str">
        <f>IFERROR(__xludf.DUMMYFUNCTION("""COMPUTED_VALUE"""),"Ridhi Mahajan")</f>
        <v>Ridhi Mahajan</v>
      </c>
      <c r="C10" s="12" t="str">
        <f>IFERROR(__xludf.DUMMYFUNCTION("""COMPUTED_VALUE"""),"rajivkumarmahajan@gmal.con")</f>
        <v>rajivkumarmahajan@gmal.con</v>
      </c>
      <c r="D10" s="12" t="str">
        <f>IFERROR(__xludf.DUMMYFUNCTION("""COMPUTED_VALUE"""),"Adult")</f>
        <v>Adult</v>
      </c>
      <c r="E10" s="13">
        <f>IF(D10&lt;&gt;"",VLOOKUP(D10,Settings!$G$3:$H$6,2,false),"")</f>
        <v>2300</v>
      </c>
      <c r="F10" s="15" t="str">
        <f>IFERROR(__xludf.DUMMYFUNCTION("""COMPUTED_VALUE"""),"Performer")</f>
        <v>Performer</v>
      </c>
      <c r="G10" s="15" t="str">
        <f>IFERROR(__xludf.DUMMYFUNCTION("""COMPUTED_VALUE"""),"Rockstar Divas")</f>
        <v>Rockstar Divas</v>
      </c>
      <c r="H10" s="12" t="str">
        <f>IF(G10&lt;&gt;"",VLOOKUP(G10,Settings!$B$4:$C$35,2,false),"")</f>
        <v>Nayana Attarde</v>
      </c>
      <c r="I10" s="12" t="str">
        <f>IFERROR(__xludf.DUMMYFUNCTION("""COMPUTED_VALUE"""),"")</f>
        <v/>
      </c>
      <c r="J10" s="15" t="s">
        <v>241</v>
      </c>
      <c r="K10" s="16"/>
      <c r="L10" s="3"/>
    </row>
    <row r="11">
      <c r="A11" s="17">
        <f t="shared" si="1"/>
        <v>9</v>
      </c>
      <c r="B11" s="12" t="str">
        <f>IFERROR(__xludf.DUMMYFUNCTION("""COMPUTED_VALUE"""),"Rajiv mahajan")</f>
        <v>Rajiv mahajan</v>
      </c>
      <c r="C11" s="12" t="str">
        <f>IFERROR(__xludf.DUMMYFUNCTION("""COMPUTED_VALUE"""),"rajivkumarmahajan@gmail.com")</f>
        <v>rajivkumarmahajan@gmail.com</v>
      </c>
      <c r="D11" s="12" t="str">
        <f>IFERROR(__xludf.DUMMYFUNCTION("""COMPUTED_VALUE"""),"Adult")</f>
        <v>Adult</v>
      </c>
      <c r="E11" s="13">
        <f>IF(D11&lt;&gt;"",VLOOKUP(D11,Settings!$G$3:$H$6,2,false),"")</f>
        <v>2300</v>
      </c>
      <c r="F11" s="15" t="str">
        <f>IFERROR(__xludf.DUMMYFUNCTION("""COMPUTED_VALUE"""),"Relative")</f>
        <v>Relative</v>
      </c>
      <c r="G11" s="15" t="str">
        <f>IFERROR(__xludf.DUMMYFUNCTION("""COMPUTED_VALUE"""),"Rockstar Divas")</f>
        <v>Rockstar Divas</v>
      </c>
      <c r="H11" s="12" t="str">
        <f>IF(G11&lt;&gt;"",VLOOKUP(G11,Settings!$B$4:$C$35,2,false),"")</f>
        <v>Nayana Attarde</v>
      </c>
      <c r="I11" s="12" t="str">
        <f>IFERROR(__xludf.DUMMYFUNCTION("""COMPUTED_VALUE"""),"")</f>
        <v/>
      </c>
      <c r="J11" s="15" t="s">
        <v>241</v>
      </c>
      <c r="K11" s="16"/>
      <c r="L11" s="3"/>
    </row>
    <row r="12">
      <c r="A12" s="17">
        <f t="shared" si="1"/>
        <v>10</v>
      </c>
      <c r="B12" s="12" t="str">
        <f>IFERROR(__xludf.DUMMYFUNCTION("""COMPUTED_VALUE"""),"Savita Mahajan")</f>
        <v>Savita Mahajan</v>
      </c>
      <c r="C12" s="12" t="str">
        <f>IFERROR(__xludf.DUMMYFUNCTION("""COMPUTED_VALUE"""),"rajivkumarmahajan@gmail.com")</f>
        <v>rajivkumarmahajan@gmail.com</v>
      </c>
      <c r="D12" s="12" t="str">
        <f>IFERROR(__xludf.DUMMYFUNCTION("""COMPUTED_VALUE"""),"Adult")</f>
        <v>Adult</v>
      </c>
      <c r="E12" s="13">
        <f>IF(D12&lt;&gt;"",VLOOKUP(D12,Settings!$G$3:$H$6,2,false),"")</f>
        <v>2300</v>
      </c>
      <c r="F12" s="15" t="str">
        <f>IFERROR(__xludf.DUMMYFUNCTION("""COMPUTED_VALUE"""),"Performer")</f>
        <v>Performer</v>
      </c>
      <c r="G12" s="15" t="str">
        <f>IFERROR(__xludf.DUMMYFUNCTION("""COMPUTED_VALUE"""),"Tatkar Group")</f>
        <v>Tatkar Group</v>
      </c>
      <c r="H12" s="12" t="str">
        <f>IF(G12&lt;&gt;"",VLOOKUP(G12,Settings!$B$4:$C$35,2,false),"")</f>
        <v>Priya Deshpande</v>
      </c>
      <c r="I12" s="12" t="str">
        <f>IFERROR(__xludf.DUMMYFUNCTION("""COMPUTED_VALUE"""),"")</f>
        <v/>
      </c>
      <c r="J12" s="15" t="s">
        <v>241</v>
      </c>
      <c r="K12" s="16"/>
      <c r="L12" s="3"/>
    </row>
    <row r="13">
      <c r="A13" s="17">
        <f t="shared" si="1"/>
        <v>11</v>
      </c>
      <c r="B13" s="12" t="str">
        <f>IFERROR(__xludf.DUMMYFUNCTION("""COMPUTED_VALUE"""),"Khwaish jain")</f>
        <v>Khwaish jain</v>
      </c>
      <c r="C13" s="12" t="str">
        <f>IFERROR(__xludf.DUMMYFUNCTION("""COMPUTED_VALUE"""),"khwaishsrimal@gmail.com")</f>
        <v>khwaishsrimal@gmail.com</v>
      </c>
      <c r="D13" s="12" t="str">
        <f>IFERROR(__xludf.DUMMYFUNCTION("""COMPUTED_VALUE"""),"Adult")</f>
        <v>Adult</v>
      </c>
      <c r="E13" s="13">
        <f>IF(D13&lt;&gt;"",VLOOKUP(D13,Settings!$G$3:$H$6,2,false),"")</f>
        <v>2300</v>
      </c>
      <c r="F13" s="15" t="str">
        <f>IFERROR(__xludf.DUMMYFUNCTION("""COMPUTED_VALUE"""),"Performer")</f>
        <v>Performer</v>
      </c>
      <c r="G13" s="15" t="str">
        <f>IFERROR(__xludf.DUMMYFUNCTION("""COMPUTED_VALUE"""),"Rockstar Divas")</f>
        <v>Rockstar Divas</v>
      </c>
      <c r="H13" s="12" t="str">
        <f>IF(G13&lt;&gt;"",VLOOKUP(G13,Settings!$B$4:$C$35,2,false),"")</f>
        <v>Nayana Attarde</v>
      </c>
      <c r="I13" s="12" t="str">
        <f>IFERROR(__xludf.DUMMYFUNCTION("""COMPUTED_VALUE"""),"")</f>
        <v/>
      </c>
      <c r="J13" s="15" t="s">
        <v>241</v>
      </c>
      <c r="K13" s="16"/>
      <c r="L13" s="3"/>
    </row>
    <row r="14">
      <c r="A14" s="17">
        <f t="shared" si="1"/>
        <v>12</v>
      </c>
      <c r="B14" s="12" t="str">
        <f>IFERROR(__xludf.DUMMYFUNCTION("""COMPUTED_VALUE"""),"Suhani jain")</f>
        <v>Suhani jain</v>
      </c>
      <c r="C14" s="12" t="str">
        <f>IFERROR(__xludf.DUMMYFUNCTION("""COMPUTED_VALUE"""),"khwaishsrimal@gmail.com")</f>
        <v>khwaishsrimal@gmail.com</v>
      </c>
      <c r="D14" s="12" t="str">
        <f>IFERROR(__xludf.DUMMYFUNCTION("""COMPUTED_VALUE"""),"Child")</f>
        <v>Child</v>
      </c>
      <c r="E14" s="13">
        <f>IF(D14&lt;&gt;"",VLOOKUP(D14,Settings!$G$3:$H$6,2,false),"")</f>
        <v>1200</v>
      </c>
      <c r="F14" s="15" t="str">
        <f>IFERROR(__xludf.DUMMYFUNCTION("""COMPUTED_VALUE"""),"Performer")</f>
        <v>Performer</v>
      </c>
      <c r="G14" s="15" t="str">
        <f>IFERROR(__xludf.DUMMYFUNCTION("""COMPUTED_VALUE"""),"S.G.D.Group")</f>
        <v>S.G.D.Group</v>
      </c>
      <c r="H14" s="12" t="str">
        <f>IF(G14&lt;&gt;"",VLOOKUP(G14,Settings!$B$4:$C$35,2,false),"")</f>
        <v>Nidhi jain</v>
      </c>
      <c r="I14" s="12" t="str">
        <f>IFERROR(__xludf.DUMMYFUNCTION("""COMPUTED_VALUE"""),"")</f>
        <v/>
      </c>
      <c r="J14" s="15" t="s">
        <v>241</v>
      </c>
      <c r="K14" s="16"/>
      <c r="L14" s="3"/>
    </row>
    <row r="15">
      <c r="A15" s="17">
        <f t="shared" si="1"/>
        <v>13</v>
      </c>
      <c r="B15" s="12" t="str">
        <f>IFERROR(__xludf.DUMMYFUNCTION("""COMPUTED_VALUE"""),"Vishal jain")</f>
        <v>Vishal jain</v>
      </c>
      <c r="C15" s="12" t="str">
        <f>IFERROR(__xludf.DUMMYFUNCTION("""COMPUTED_VALUE"""),"khwaishsrimal@gmail.com")</f>
        <v>khwaishsrimal@gmail.com</v>
      </c>
      <c r="D15" s="12" t="str">
        <f>IFERROR(__xludf.DUMMYFUNCTION("""COMPUTED_VALUE"""),"Adult")</f>
        <v>Adult</v>
      </c>
      <c r="E15" s="13">
        <f>IF(D15&lt;&gt;"",VLOOKUP(D15,Settings!$G$3:$H$6,2,false),"")</f>
        <v>2300</v>
      </c>
      <c r="F15" s="15" t="str">
        <f>IFERROR(__xludf.DUMMYFUNCTION("""COMPUTED_VALUE"""),"Relative")</f>
        <v>Relative</v>
      </c>
      <c r="G15" s="15" t="str">
        <f>IFERROR(__xludf.DUMMYFUNCTION("""COMPUTED_VALUE"""),"S.G.D.Group")</f>
        <v>S.G.D.Group</v>
      </c>
      <c r="H15" s="12" t="str">
        <f>IF(G15&lt;&gt;"",VLOOKUP(G15,Settings!$B$4:$C$35,2,false),"")</f>
        <v>Nidhi jain</v>
      </c>
      <c r="I15" s="12" t="str">
        <f>IFERROR(__xludf.DUMMYFUNCTION("""COMPUTED_VALUE"""),"")</f>
        <v/>
      </c>
      <c r="J15" s="15" t="s">
        <v>241</v>
      </c>
      <c r="K15" s="16"/>
      <c r="L15" s="3"/>
    </row>
    <row r="16">
      <c r="A16" s="17">
        <f t="shared" si="1"/>
        <v>14</v>
      </c>
      <c r="B16" s="12" t="str">
        <f>IFERROR(__xludf.DUMMYFUNCTION("""COMPUTED_VALUE"""),"Nidhi jain")</f>
        <v>Nidhi jain</v>
      </c>
      <c r="C16" s="12" t="str">
        <f>IFERROR(__xludf.DUMMYFUNCTION("""COMPUTED_VALUE"""),"khwaishsrimal@gmail.com")</f>
        <v>khwaishsrimal@gmail.com</v>
      </c>
      <c r="D16" s="12" t="str">
        <f>IFERROR(__xludf.DUMMYFUNCTION("""COMPUTED_VALUE"""),"Adult")</f>
        <v>Adult</v>
      </c>
      <c r="E16" s="13">
        <f>IF(D16&lt;&gt;"",VLOOKUP(D16,Settings!$G$3:$H$6,2,false),"")</f>
        <v>2300</v>
      </c>
      <c r="F16" s="15" t="str">
        <f>IFERROR(__xludf.DUMMYFUNCTION("""COMPUTED_VALUE"""),"Coordinator")</f>
        <v>Coordinator</v>
      </c>
      <c r="G16" s="15" t="str">
        <f>IFERROR(__xludf.DUMMYFUNCTION("""COMPUTED_VALUE"""),"S.G.D.Group")</f>
        <v>S.G.D.Group</v>
      </c>
      <c r="H16" s="12" t="str">
        <f>IF(G16&lt;&gt;"",VLOOKUP(G16,Settings!$B$4:$C$35,2,false),"")</f>
        <v>Nidhi jain</v>
      </c>
      <c r="I16" s="12" t="str">
        <f>IFERROR(__xludf.DUMMYFUNCTION("""COMPUTED_VALUE"""),"")</f>
        <v/>
      </c>
      <c r="J16" s="15" t="s">
        <v>241</v>
      </c>
      <c r="K16" s="16"/>
      <c r="L16" s="3"/>
    </row>
    <row r="17">
      <c r="A17" s="17">
        <f t="shared" si="1"/>
        <v>15</v>
      </c>
      <c r="B17" s="12" t="str">
        <f>IFERROR(__xludf.DUMMYFUNCTION("""COMPUTED_VALUE"""),"Mukkundi Pramod")</f>
        <v>Mukkundi Pramod</v>
      </c>
      <c r="C17" s="12" t="str">
        <f>IFERROR(__xludf.DUMMYFUNCTION("""COMPUTED_VALUE"""),"shamadeshpande@gmail.com")</f>
        <v>shamadeshpande@gmail.com</v>
      </c>
      <c r="D17" s="12" t="str">
        <f>IFERROR(__xludf.DUMMYFUNCTION("""COMPUTED_VALUE"""),"Adult")</f>
        <v>Adult</v>
      </c>
      <c r="E17" s="13">
        <f>IF(D17&lt;&gt;"",VLOOKUP(D17,Settings!$G$3:$H$6,2,false),"")</f>
        <v>2300</v>
      </c>
      <c r="F17" s="15" t="str">
        <f>IFERROR(__xludf.DUMMYFUNCTION("""COMPUTED_VALUE"""),"Relative")</f>
        <v>Relative</v>
      </c>
      <c r="G17" s="15" t="str">
        <f>IFERROR(__xludf.DUMMYFUNCTION("""COMPUTED_VALUE"""),"My Group")</f>
        <v>My Group</v>
      </c>
      <c r="H17" s="12" t="str">
        <f>IF(G17&lt;&gt;"",VLOOKUP(G17,Settings!$B$4:$C$35,2,false),"")</f>
        <v>OIOC</v>
      </c>
      <c r="I17" s="15" t="str">
        <f>IFERROR(__xludf.DUMMYFUNCTION("""COMPUTED_VALUE"""),"")</f>
        <v/>
      </c>
      <c r="J17" s="15" t="s">
        <v>434</v>
      </c>
      <c r="K17" s="16"/>
      <c r="L17" s="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>
      <c r="A18" s="17">
        <f t="shared" si="1"/>
        <v>16</v>
      </c>
      <c r="B18" s="12" t="str">
        <f>IFERROR(__xludf.DUMMYFUNCTION("""COMPUTED_VALUE"""),"Mukkundi Sharmila")</f>
        <v>Mukkundi Sharmila</v>
      </c>
      <c r="C18" s="12" t="str">
        <f>IFERROR(__xludf.DUMMYFUNCTION("""COMPUTED_VALUE"""),"shamadeshpande@gmail.com")</f>
        <v>shamadeshpande@gmail.com</v>
      </c>
      <c r="D18" s="12" t="str">
        <f>IFERROR(__xludf.DUMMYFUNCTION("""COMPUTED_VALUE"""),"Adult")</f>
        <v>Adult</v>
      </c>
      <c r="E18" s="13">
        <f>IF(D18&lt;&gt;"",VLOOKUP(D18,Settings!$G$3:$H$6,2,false),"")</f>
        <v>2300</v>
      </c>
      <c r="F18" s="15" t="str">
        <f>IFERROR(__xludf.DUMMYFUNCTION("""COMPUTED_VALUE"""),"Relative")</f>
        <v>Relative</v>
      </c>
      <c r="G18" s="15" t="str">
        <f>IFERROR(__xludf.DUMMYFUNCTION("""COMPUTED_VALUE"""),"My Group")</f>
        <v>My Group</v>
      </c>
      <c r="H18" s="12" t="str">
        <f>IF(G18&lt;&gt;"",VLOOKUP(G18,Settings!$B$4:$C$35,2,false),"")</f>
        <v>OIOC</v>
      </c>
      <c r="I18" s="12" t="str">
        <f>IFERROR(__xludf.DUMMYFUNCTION("""COMPUTED_VALUE"""),"")</f>
        <v/>
      </c>
      <c r="J18" s="15" t="s">
        <v>434</v>
      </c>
      <c r="K18" s="16"/>
      <c r="L18" s="3"/>
    </row>
    <row r="19">
      <c r="A19" s="17">
        <f t="shared" si="1"/>
        <v>17</v>
      </c>
      <c r="B19" s="12" t="str">
        <f>IFERROR(__xludf.DUMMYFUNCTION("""COMPUTED_VALUE"""),"Mukkundi Priya")</f>
        <v>Mukkundi Priya</v>
      </c>
      <c r="C19" s="12" t="str">
        <f>IFERROR(__xludf.DUMMYFUNCTION("""COMPUTED_VALUE"""),"shamadeshpande@gmail.com")</f>
        <v>shamadeshpande@gmail.com</v>
      </c>
      <c r="D19" s="12" t="str">
        <f>IFERROR(__xludf.DUMMYFUNCTION("""COMPUTED_VALUE"""),"Adult")</f>
        <v>Adult</v>
      </c>
      <c r="E19" s="13">
        <f>IF(D19&lt;&gt;"",VLOOKUP(D19,Settings!$G$3:$H$6,2,false),"")</f>
        <v>2300</v>
      </c>
      <c r="F19" s="15" t="str">
        <f>IFERROR(__xludf.DUMMYFUNCTION("""COMPUTED_VALUE"""),"Relative")</f>
        <v>Relative</v>
      </c>
      <c r="G19" s="15" t="str">
        <f>IFERROR(__xludf.DUMMYFUNCTION("""COMPUTED_VALUE"""),"My Group")</f>
        <v>My Group</v>
      </c>
      <c r="H19" s="12" t="str">
        <f>IF(G19&lt;&gt;"",VLOOKUP(G19,Settings!$B$4:$C$35,2,false),"")</f>
        <v>OIOC</v>
      </c>
      <c r="I19" s="12" t="str">
        <f>IFERROR(__xludf.DUMMYFUNCTION("""COMPUTED_VALUE"""),"")</f>
        <v/>
      </c>
      <c r="J19" s="15" t="s">
        <v>434</v>
      </c>
      <c r="K19" s="16"/>
      <c r="L19" s="3"/>
    </row>
    <row r="20">
      <c r="A20" s="17">
        <f t="shared" si="1"/>
        <v>18</v>
      </c>
      <c r="B20" s="12" t="str">
        <f>IFERROR(__xludf.DUMMYFUNCTION("""COMPUTED_VALUE"""),"Mukkundi Sriya")</f>
        <v>Mukkundi Sriya</v>
      </c>
      <c r="C20" s="12" t="str">
        <f>IFERROR(__xludf.DUMMYFUNCTION("""COMPUTED_VALUE"""),"shamadeshpande@gmail.com")</f>
        <v>shamadeshpande@gmail.com</v>
      </c>
      <c r="D20" s="12" t="str">
        <f>IFERROR(__xludf.DUMMYFUNCTION("""COMPUTED_VALUE"""),"Child")</f>
        <v>Child</v>
      </c>
      <c r="E20" s="13">
        <f>IF(D20&lt;&gt;"",VLOOKUP(D20,Settings!$G$3:$H$6,2,false),"")</f>
        <v>1200</v>
      </c>
      <c r="F20" s="15" t="str">
        <f>IFERROR(__xludf.DUMMYFUNCTION("""COMPUTED_VALUE"""),"Relative")</f>
        <v>Relative</v>
      </c>
      <c r="G20" s="15" t="str">
        <f>IFERROR(__xludf.DUMMYFUNCTION("""COMPUTED_VALUE"""),"My Group")</f>
        <v>My Group</v>
      </c>
      <c r="H20" s="12" t="str">
        <f>IF(G20&lt;&gt;"",VLOOKUP(G20,Settings!$B$4:$C$35,2,false),"")</f>
        <v>OIOC</v>
      </c>
      <c r="I20" s="12" t="str">
        <f>IFERROR(__xludf.DUMMYFUNCTION("""COMPUTED_VALUE"""),"")</f>
        <v/>
      </c>
      <c r="J20" s="15" t="s">
        <v>434</v>
      </c>
      <c r="K20" s="16"/>
      <c r="L20" s="3"/>
    </row>
    <row r="21">
      <c r="A21" s="17">
        <f t="shared" si="1"/>
        <v>19</v>
      </c>
      <c r="B21" s="12" t="str">
        <f>IFERROR(__xludf.DUMMYFUNCTION("""COMPUTED_VALUE"""),"Lekshmi Shailesh")</f>
        <v>Lekshmi Shailesh</v>
      </c>
      <c r="C21" s="12" t="str">
        <f>IFERROR(__xludf.DUMMYFUNCTION("""COMPUTED_VALUE"""),"lekshmi.shailesh@gmail.com")</f>
        <v>lekshmi.shailesh@gmail.com</v>
      </c>
      <c r="D21" s="12" t="str">
        <f>IFERROR(__xludf.DUMMYFUNCTION("""COMPUTED_VALUE"""),"Adult")</f>
        <v>Adult</v>
      </c>
      <c r="E21" s="13">
        <f>IF(D21&lt;&gt;"",VLOOKUP(D21,Settings!$G$3:$H$6,2,false),"")</f>
        <v>2300</v>
      </c>
      <c r="F21" s="15" t="str">
        <f>IFERROR(__xludf.DUMMYFUNCTION("""COMPUTED_VALUE"""),"Performer")</f>
        <v>Performer</v>
      </c>
      <c r="G21" s="15" t="str">
        <f>IFERROR(__xludf.DUMMYFUNCTION("""COMPUTED_VALUE"""),"Shiva")</f>
        <v>Shiva</v>
      </c>
      <c r="H21" s="12" t="str">
        <f>IF(G21&lt;&gt;"",VLOOKUP(G21,Settings!$B$4:$C$35,2,false),"")</f>
        <v>Sandhya Jan</v>
      </c>
      <c r="I21" s="12" t="str">
        <f>IFERROR(__xludf.DUMMYFUNCTION("""COMPUTED_VALUE"""),"")</f>
        <v/>
      </c>
      <c r="J21" s="15" t="s">
        <v>129</v>
      </c>
      <c r="K21" s="16">
        <v>43399.0</v>
      </c>
      <c r="L21" s="3"/>
    </row>
    <row r="22">
      <c r="A22" s="17">
        <f t="shared" si="1"/>
        <v>20</v>
      </c>
      <c r="B22" s="12" t="str">
        <f>IFERROR(__xludf.DUMMYFUNCTION("""COMPUTED_VALUE"""),"Parvathy Abhilash")</f>
        <v>Parvathy Abhilash</v>
      </c>
      <c r="C22" s="12" t="str">
        <f>IFERROR(__xludf.DUMMYFUNCTION("""COMPUTED_VALUE"""),"paru25@gmail.com")</f>
        <v>paru25@gmail.com</v>
      </c>
      <c r="D22" s="12" t="str">
        <f>IFERROR(__xludf.DUMMYFUNCTION("""COMPUTED_VALUE"""),"Adult")</f>
        <v>Adult</v>
      </c>
      <c r="E22" s="13">
        <f>IF(D22&lt;&gt;"",VLOOKUP(D22,Settings!$G$3:$H$6,2,false),"")</f>
        <v>2300</v>
      </c>
      <c r="F22" s="15" t="str">
        <f>IFERROR(__xludf.DUMMYFUNCTION("""COMPUTED_VALUE"""),"Performer")</f>
        <v>Performer</v>
      </c>
      <c r="G22" s="15" t="str">
        <f>IFERROR(__xludf.DUMMYFUNCTION("""COMPUTED_VALUE"""),"Shiva")</f>
        <v>Shiva</v>
      </c>
      <c r="H22" s="12" t="str">
        <f>IF(G22&lt;&gt;"",VLOOKUP(G22,Settings!$B$4:$C$35,2,false),"")</f>
        <v>Sandhya Jan</v>
      </c>
      <c r="I22" s="12" t="str">
        <f>IFERROR(__xludf.DUMMYFUNCTION("""COMPUTED_VALUE"""),"")</f>
        <v/>
      </c>
      <c r="J22" s="15" t="s">
        <v>129</v>
      </c>
      <c r="K22" s="16">
        <v>43399.0</v>
      </c>
      <c r="L22" s="3"/>
    </row>
    <row r="23">
      <c r="A23" s="17">
        <f t="shared" si="1"/>
        <v>21</v>
      </c>
      <c r="B23" s="12" t="str">
        <f>IFERROR(__xludf.DUMMYFUNCTION("""COMPUTED_VALUE"""),"Sharan Abhilash")</f>
        <v>Sharan Abhilash</v>
      </c>
      <c r="C23" s="12" t="str">
        <f>IFERROR(__xludf.DUMMYFUNCTION("""COMPUTED_VALUE"""),"paru25@gmail.com")</f>
        <v>paru25@gmail.com</v>
      </c>
      <c r="D23" s="12" t="str">
        <f>IFERROR(__xludf.DUMMYFUNCTION("""COMPUTED_VALUE"""),"Child")</f>
        <v>Child</v>
      </c>
      <c r="E23" s="13">
        <f>IF(D23&lt;&gt;"",VLOOKUP(D23,Settings!$G$3:$H$6,2,false),"")</f>
        <v>1200</v>
      </c>
      <c r="F23" s="15" t="str">
        <f>IFERROR(__xludf.DUMMYFUNCTION("""COMPUTED_VALUE"""),"Relative")</f>
        <v>Relative</v>
      </c>
      <c r="G23" s="15" t="str">
        <f>IFERROR(__xludf.DUMMYFUNCTION("""COMPUTED_VALUE"""),"Shiva")</f>
        <v>Shiva</v>
      </c>
      <c r="H23" s="12" t="str">
        <f>IF(G23&lt;&gt;"",VLOOKUP(G23,Settings!$B$4:$C$35,2,false),"")</f>
        <v>Sandhya Jan</v>
      </c>
      <c r="I23" s="12" t="str">
        <f>IFERROR(__xludf.DUMMYFUNCTION("""COMPUTED_VALUE"""),"")</f>
        <v/>
      </c>
      <c r="J23" s="15" t="s">
        <v>129</v>
      </c>
      <c r="K23" s="16">
        <v>43399.0</v>
      </c>
      <c r="L23" s="3"/>
    </row>
    <row r="24">
      <c r="A24" s="17">
        <f t="shared" si="1"/>
        <v>22</v>
      </c>
      <c r="B24" s="12" t="str">
        <f>IFERROR(__xludf.DUMMYFUNCTION("""COMPUTED_VALUE"""),"Sanika Naik")</f>
        <v>Sanika Naik</v>
      </c>
      <c r="C24" s="12" t="str">
        <f>IFERROR(__xludf.DUMMYFUNCTION("""COMPUTED_VALUE"""),"pradnya.khadilkar@gmail.com")</f>
        <v>pradnya.khadilkar@gmail.com</v>
      </c>
      <c r="D24" s="12" t="str">
        <f>IFERROR(__xludf.DUMMYFUNCTION("""COMPUTED_VALUE"""),"Child")</f>
        <v>Child</v>
      </c>
      <c r="E24" s="13">
        <f>IF(D24&lt;&gt;"",VLOOKUP(D24,Settings!$G$3:$H$6,2,false),"")</f>
        <v>1200</v>
      </c>
      <c r="F24" s="15" t="str">
        <f>IFERROR(__xludf.DUMMYFUNCTION("""COMPUTED_VALUE"""),"Performer")</f>
        <v>Performer</v>
      </c>
      <c r="G24" s="15" t="str">
        <f>IFERROR(__xludf.DUMMYFUNCTION("""COMPUTED_VALUE"""),"Rockstar Divas")</f>
        <v>Rockstar Divas</v>
      </c>
      <c r="H24" s="12" t="str">
        <f>IF(G24&lt;&gt;"",VLOOKUP(G24,Settings!$B$4:$C$35,2,false),"")</f>
        <v>Nayana Attarde</v>
      </c>
      <c r="I24" s="12" t="str">
        <f>IFERROR(__xludf.DUMMYFUNCTION("""COMPUTED_VALUE"""),"")</f>
        <v/>
      </c>
      <c r="J24" s="15" t="s">
        <v>241</v>
      </c>
      <c r="K24" s="16"/>
      <c r="L24" s="3"/>
    </row>
    <row r="25">
      <c r="A25" s="17">
        <f t="shared" si="1"/>
        <v>23</v>
      </c>
      <c r="B25" s="12" t="str">
        <f>IFERROR(__xludf.DUMMYFUNCTION("""COMPUTED_VALUE"""),"Pradnya Naik")</f>
        <v>Pradnya Naik</v>
      </c>
      <c r="C25" s="12" t="str">
        <f>IFERROR(__xludf.DUMMYFUNCTION("""COMPUTED_VALUE"""),"pradnya.khadilkar@gmail.com")</f>
        <v>pradnya.khadilkar@gmail.com</v>
      </c>
      <c r="D25" s="12" t="str">
        <f>IFERROR(__xludf.DUMMYFUNCTION("""COMPUTED_VALUE"""),"Adult")</f>
        <v>Adult</v>
      </c>
      <c r="E25" s="13">
        <f>IF(D25&lt;&gt;"",VLOOKUP(D25,Settings!$G$3:$H$6,2,false),"")</f>
        <v>2300</v>
      </c>
      <c r="F25" s="15" t="str">
        <f>IFERROR(__xludf.DUMMYFUNCTION("""COMPUTED_VALUE"""),"Relative")</f>
        <v>Relative</v>
      </c>
      <c r="G25" s="15" t="str">
        <f>IFERROR(__xludf.DUMMYFUNCTION("""COMPUTED_VALUE"""),"Rockstar Divas")</f>
        <v>Rockstar Divas</v>
      </c>
      <c r="H25" s="12" t="str">
        <f>IF(G25&lt;&gt;"",VLOOKUP(G25,Settings!$B$4:$C$35,2,false),"")</f>
        <v>Nayana Attarde</v>
      </c>
      <c r="I25" s="12" t="str">
        <f>IFERROR(__xludf.DUMMYFUNCTION("""COMPUTED_VALUE"""),"")</f>
        <v/>
      </c>
      <c r="J25" s="15" t="s">
        <v>241</v>
      </c>
      <c r="K25" s="16"/>
      <c r="L25" s="3"/>
    </row>
    <row r="26">
      <c r="A26" s="17">
        <f t="shared" si="1"/>
        <v>24</v>
      </c>
      <c r="B26" s="12" t="str">
        <f>IFERROR(__xludf.DUMMYFUNCTION("""COMPUTED_VALUE"""),"Mandar Naik")</f>
        <v>Mandar Naik</v>
      </c>
      <c r="C26" s="12" t="str">
        <f>IFERROR(__xludf.DUMMYFUNCTION("""COMPUTED_VALUE"""),"pradnya.khadilkar@gmail.com")</f>
        <v>pradnya.khadilkar@gmail.com</v>
      </c>
      <c r="D26" s="12" t="str">
        <f>IFERROR(__xludf.DUMMYFUNCTION("""COMPUTED_VALUE"""),"Adult")</f>
        <v>Adult</v>
      </c>
      <c r="E26" s="13">
        <f>IF(D26&lt;&gt;"",VLOOKUP(D26,Settings!$G$3:$H$6,2,false),"")</f>
        <v>2300</v>
      </c>
      <c r="F26" s="15" t="str">
        <f>IFERROR(__xludf.DUMMYFUNCTION("""COMPUTED_VALUE"""),"Relative")</f>
        <v>Relative</v>
      </c>
      <c r="G26" s="15" t="str">
        <f>IFERROR(__xludf.DUMMYFUNCTION("""COMPUTED_VALUE"""),"Rockstar Divas")</f>
        <v>Rockstar Divas</v>
      </c>
      <c r="H26" s="12" t="str">
        <f>IF(G26&lt;&gt;"",VLOOKUP(G26,Settings!$B$4:$C$35,2,false),"")</f>
        <v>Nayana Attarde</v>
      </c>
      <c r="I26" s="12" t="str">
        <f>IFERROR(__xludf.DUMMYFUNCTION("""COMPUTED_VALUE"""),"")</f>
        <v/>
      </c>
      <c r="J26" s="15" t="s">
        <v>241</v>
      </c>
      <c r="K26" s="16"/>
      <c r="L26" s="6"/>
    </row>
    <row r="27">
      <c r="A27" s="17">
        <f t="shared" si="1"/>
        <v>25</v>
      </c>
      <c r="B27" s="12" t="str">
        <f>IFERROR(__xludf.DUMMYFUNCTION("""COMPUTED_VALUE"""),"Sashmita Panda")</f>
        <v>Sashmita Panda</v>
      </c>
      <c r="C27" s="12" t="str">
        <f>IFERROR(__xludf.DUMMYFUNCTION("""COMPUTED_VALUE"""),"sashmita.p@gmail.com")</f>
        <v>sashmita.p@gmail.com</v>
      </c>
      <c r="D27" s="12" t="str">
        <f>IFERROR(__xludf.DUMMYFUNCTION("""COMPUTED_VALUE"""),"Adult")</f>
        <v>Adult</v>
      </c>
      <c r="E27" s="13">
        <f>IF(D27&lt;&gt;"",VLOOKUP(D27,Settings!$G$3:$H$6,2,false),"")</f>
        <v>2300</v>
      </c>
      <c r="F27" s="15" t="str">
        <f>IFERROR(__xludf.DUMMYFUNCTION("""COMPUTED_VALUE"""),"Performer")</f>
        <v>Performer</v>
      </c>
      <c r="G27" s="15" t="str">
        <f>IFERROR(__xludf.DUMMYFUNCTION("""COMPUTED_VALUE"""),"The Dazzling Divas")</f>
        <v>The Dazzling Divas</v>
      </c>
      <c r="H27" s="12" t="str">
        <f>IF(G27&lt;&gt;"",VLOOKUP(G27,Settings!$B$4:$C$35,2,false),"")</f>
        <v>Mousumi Moharana</v>
      </c>
      <c r="I27" s="12" t="str">
        <f>IFERROR(__xludf.DUMMYFUNCTION("""COMPUTED_VALUE"""),"")</f>
        <v/>
      </c>
      <c r="J27" s="15" t="s">
        <v>470</v>
      </c>
      <c r="K27" s="16">
        <v>43399.0</v>
      </c>
      <c r="L27" s="3"/>
    </row>
    <row r="28">
      <c r="A28" s="17">
        <f t="shared" si="1"/>
        <v>26</v>
      </c>
      <c r="B28" s="12" t="str">
        <f>IFERROR(__xludf.DUMMYFUNCTION("""COMPUTED_VALUE"""),"Amit Kumar Sarangi ")</f>
        <v>Amit Kumar Sarangi </v>
      </c>
      <c r="C28" s="12" t="str">
        <f>IFERROR(__xludf.DUMMYFUNCTION("""COMPUTED_VALUE"""),"amitkumarsarangi@gmail.com")</f>
        <v>amitkumarsarangi@gmail.com</v>
      </c>
      <c r="D28" s="12" t="str">
        <f>IFERROR(__xludf.DUMMYFUNCTION("""COMPUTED_VALUE"""),"Adult")</f>
        <v>Adult</v>
      </c>
      <c r="E28" s="13">
        <f>IF(D28&lt;&gt;"",VLOOKUP(D28,Settings!$G$3:$H$6,2,false),"")</f>
        <v>2300</v>
      </c>
      <c r="F28" s="15" t="str">
        <f>IFERROR(__xludf.DUMMYFUNCTION("""COMPUTED_VALUE"""),"Relative")</f>
        <v>Relative</v>
      </c>
      <c r="G28" s="15" t="str">
        <f>IFERROR(__xludf.DUMMYFUNCTION("""COMPUTED_VALUE"""),"The Dazzling Divas")</f>
        <v>The Dazzling Divas</v>
      </c>
      <c r="H28" s="12" t="str">
        <f>IF(G28&lt;&gt;"",VLOOKUP(G28,Settings!$B$4:$C$35,2,false),"")</f>
        <v>Mousumi Moharana</v>
      </c>
      <c r="I28" s="12" t="str">
        <f>IFERROR(__xludf.DUMMYFUNCTION("""COMPUTED_VALUE"""),"")</f>
        <v/>
      </c>
      <c r="J28" s="15" t="s">
        <v>470</v>
      </c>
      <c r="K28" s="16">
        <v>43399.0</v>
      </c>
      <c r="L28" s="3"/>
    </row>
    <row r="29">
      <c r="A29" s="17">
        <f t="shared" si="1"/>
        <v>27</v>
      </c>
      <c r="B29" s="12" t="str">
        <f>IFERROR(__xludf.DUMMYFUNCTION("""COMPUTED_VALUE"""),"Jogani Tanisha ")</f>
        <v>Jogani Tanisha </v>
      </c>
      <c r="C29" s="12" t="str">
        <f>IFERROR(__xludf.DUMMYFUNCTION("""COMPUTED_VALUE"""),"rachu19802050@yahoo.co.uk")</f>
        <v>rachu19802050@yahoo.co.uk</v>
      </c>
      <c r="D29" s="12" t="str">
        <f>IFERROR(__xludf.DUMMYFUNCTION("""COMPUTED_VALUE"""),"Child")</f>
        <v>Child</v>
      </c>
      <c r="E29" s="13">
        <f>IF(D29&lt;&gt;"",VLOOKUP(D29,Settings!$G$3:$H$6,2,false),"")</f>
        <v>1200</v>
      </c>
      <c r="F29" s="15" t="str">
        <f>IFERROR(__xludf.DUMMYFUNCTION("""COMPUTED_VALUE"""),"Performer")</f>
        <v>Performer</v>
      </c>
      <c r="G29" s="15" t="str">
        <f>IFERROR(__xludf.DUMMYFUNCTION("""COMPUTED_VALUE"""),"Dance Ojima Dance-DOD")</f>
        <v>Dance Ojima Dance-DOD</v>
      </c>
      <c r="H29" s="12" t="str">
        <f>IF(G29&lt;&gt;"",VLOOKUP(G29,Settings!$B$4:$C$35,2,false),"")</f>
        <v>Shweta Singla</v>
      </c>
      <c r="I29" s="12" t="str">
        <f>IFERROR(__xludf.DUMMYFUNCTION("""COMPUTED_VALUE"""),"")</f>
        <v/>
      </c>
      <c r="J29" s="15" t="s">
        <v>241</v>
      </c>
      <c r="K29" s="15"/>
      <c r="L29" s="3"/>
    </row>
    <row r="30">
      <c r="A30" s="17">
        <f t="shared" si="1"/>
        <v>28</v>
      </c>
      <c r="B30" s="12" t="str">
        <f>IFERROR(__xludf.DUMMYFUNCTION("""COMPUTED_VALUE"""),"Jogani Rachana")</f>
        <v>Jogani Rachana</v>
      </c>
      <c r="C30" s="12" t="str">
        <f>IFERROR(__xludf.DUMMYFUNCTION("""COMPUTED_VALUE"""),"rachu19802050@yahoo.co.uk")</f>
        <v>rachu19802050@yahoo.co.uk</v>
      </c>
      <c r="D30" s="12" t="str">
        <f>IFERROR(__xludf.DUMMYFUNCTION("""COMPUTED_VALUE"""),"Adult")</f>
        <v>Adult</v>
      </c>
      <c r="E30" s="13">
        <f>IF(D30&lt;&gt;"",VLOOKUP(D30,Settings!$G$3:$H$6,2,false),"")</f>
        <v>2300</v>
      </c>
      <c r="F30" s="15" t="str">
        <f>IFERROR(__xludf.DUMMYFUNCTION("""COMPUTED_VALUE"""),"Relative")</f>
        <v>Relative</v>
      </c>
      <c r="G30" s="15" t="str">
        <f>IFERROR(__xludf.DUMMYFUNCTION("""COMPUTED_VALUE"""),"Dance Ojima Dance-DOD")</f>
        <v>Dance Ojima Dance-DOD</v>
      </c>
      <c r="H30" s="12" t="str">
        <f>IF(G30&lt;&gt;"",VLOOKUP(G30,Settings!$B$4:$C$35,2,false),"")</f>
        <v>Shweta Singla</v>
      </c>
      <c r="I30" s="12" t="str">
        <f>IFERROR(__xludf.DUMMYFUNCTION("""COMPUTED_VALUE"""),"")</f>
        <v/>
      </c>
      <c r="J30" s="15" t="s">
        <v>241</v>
      </c>
      <c r="K30" s="15"/>
      <c r="L30" s="3"/>
    </row>
    <row r="31">
      <c r="A31" s="17">
        <f t="shared" si="1"/>
        <v>29</v>
      </c>
      <c r="B31" s="12" t="str">
        <f>IFERROR(__xludf.DUMMYFUNCTION("""COMPUTED_VALUE"""),"Jogani Miten")</f>
        <v>Jogani Miten</v>
      </c>
      <c r="C31" s="12" t="str">
        <f>IFERROR(__xludf.DUMMYFUNCTION("""COMPUTED_VALUE"""),"rachu19802050@yahoo.co.uk")</f>
        <v>rachu19802050@yahoo.co.uk</v>
      </c>
      <c r="D31" s="12" t="str">
        <f>IFERROR(__xludf.DUMMYFUNCTION("""COMPUTED_VALUE"""),"Adult")</f>
        <v>Adult</v>
      </c>
      <c r="E31" s="13">
        <f>IF(D31&lt;&gt;"",VLOOKUP(D31,Settings!$G$3:$H$6,2,false),"")</f>
        <v>2300</v>
      </c>
      <c r="F31" s="15" t="str">
        <f>IFERROR(__xludf.DUMMYFUNCTION("""COMPUTED_VALUE"""),"Relative")</f>
        <v>Relative</v>
      </c>
      <c r="G31" s="15" t="str">
        <f>IFERROR(__xludf.DUMMYFUNCTION("""COMPUTED_VALUE"""),"Dance Ojima Dance-DOD")</f>
        <v>Dance Ojima Dance-DOD</v>
      </c>
      <c r="H31" s="12" t="str">
        <f>IF(G31&lt;&gt;"",VLOOKUP(G31,Settings!$B$4:$C$35,2,false),"")</f>
        <v>Shweta Singla</v>
      </c>
      <c r="I31" s="12" t="str">
        <f>IFERROR(__xludf.DUMMYFUNCTION("""COMPUTED_VALUE"""),"")</f>
        <v/>
      </c>
      <c r="J31" s="15" t="s">
        <v>241</v>
      </c>
      <c r="K31" s="16"/>
      <c r="L31" s="3"/>
    </row>
    <row r="32">
      <c r="A32" s="17">
        <f t="shared" si="1"/>
        <v>30</v>
      </c>
      <c r="B32" s="12" t="str">
        <f>IFERROR(__xludf.DUMMYFUNCTION("""COMPUTED_VALUE"""),"Pranavi Sri  Thalluri")</f>
        <v>Pranavi Sri  Thalluri</v>
      </c>
      <c r="C32" s="12" t="str">
        <f>IFERROR(__xludf.DUMMYFUNCTION("""COMPUTED_VALUE"""),"sreerangashyam@gmail.com")</f>
        <v>sreerangashyam@gmail.com</v>
      </c>
      <c r="D32" s="12" t="str">
        <f>IFERROR(__xludf.DUMMYFUNCTION("""COMPUTED_VALUE"""),"Child")</f>
        <v>Child</v>
      </c>
      <c r="E32" s="13">
        <f>IF(D32&lt;&gt;"",VLOOKUP(D32,Settings!$G$3:$H$6,2,false),"")</f>
        <v>1200</v>
      </c>
      <c r="F32" s="15" t="str">
        <f>IFERROR(__xludf.DUMMYFUNCTION("""COMPUTED_VALUE"""),"Performer")</f>
        <v>Performer</v>
      </c>
      <c r="G32" s="15" t="str">
        <f>IFERROR(__xludf.DUMMYFUNCTION("""COMPUTED_VALUE"""),"Blooming Flowers")</f>
        <v>Blooming Flowers</v>
      </c>
      <c r="H32" s="12" t="str">
        <f>IF(G32&lt;&gt;"",VLOOKUP(G32,Settings!$B$4:$C$35,2,false),"")</f>
        <v>Amita Deshpande</v>
      </c>
      <c r="I32" s="12" t="str">
        <f>IFERROR(__xludf.DUMMYFUNCTION("""COMPUTED_VALUE"""),"")</f>
        <v/>
      </c>
      <c r="J32" s="15" t="s">
        <v>241</v>
      </c>
      <c r="K32" s="16"/>
      <c r="L32" s="3"/>
    </row>
    <row r="33">
      <c r="A33" s="17">
        <f t="shared" si="1"/>
        <v>31</v>
      </c>
      <c r="B33" s="12" t="str">
        <f>IFERROR(__xludf.DUMMYFUNCTION("""COMPUTED_VALUE"""),"Shyam Thalluri")</f>
        <v>Shyam Thalluri</v>
      </c>
      <c r="C33" s="12" t="str">
        <f>IFERROR(__xludf.DUMMYFUNCTION("""COMPUTED_VALUE"""),"sreerangashyam@gmail.com")</f>
        <v>sreerangashyam@gmail.com</v>
      </c>
      <c r="D33" s="12" t="str">
        <f>IFERROR(__xludf.DUMMYFUNCTION("""COMPUTED_VALUE"""),"Adult")</f>
        <v>Adult</v>
      </c>
      <c r="E33" s="13">
        <f>IF(D33&lt;&gt;"",VLOOKUP(D33,Settings!$G$3:$H$6,2,false),"")</f>
        <v>2300</v>
      </c>
      <c r="F33" s="15" t="str">
        <f>IFERROR(__xludf.DUMMYFUNCTION("""COMPUTED_VALUE"""),"Relative")</f>
        <v>Relative</v>
      </c>
      <c r="G33" s="15" t="str">
        <f>IFERROR(__xludf.DUMMYFUNCTION("""COMPUTED_VALUE"""),"Blooming Flowers")</f>
        <v>Blooming Flowers</v>
      </c>
      <c r="H33" s="12" t="str">
        <f>IF(G33&lt;&gt;"",VLOOKUP(G33,Settings!$B$4:$C$35,2,false),"")</f>
        <v>Amita Deshpande</v>
      </c>
      <c r="I33" s="12" t="str">
        <f>IFERROR(__xludf.DUMMYFUNCTION("""COMPUTED_VALUE"""),"")</f>
        <v/>
      </c>
      <c r="J33" s="15" t="s">
        <v>241</v>
      </c>
      <c r="K33" s="12"/>
      <c r="L33" s="3"/>
    </row>
    <row r="34">
      <c r="A34" s="17">
        <f t="shared" si="1"/>
        <v>32</v>
      </c>
      <c r="B34" s="12" t="str">
        <f>IFERROR(__xludf.DUMMYFUNCTION("""COMPUTED_VALUE"""),"Renu Thalluri")</f>
        <v>Renu Thalluri</v>
      </c>
      <c r="C34" s="12" t="str">
        <f>IFERROR(__xludf.DUMMYFUNCTION("""COMPUTED_VALUE"""),"sreerangashyam@gmail.com")</f>
        <v>sreerangashyam@gmail.com</v>
      </c>
      <c r="D34" s="12" t="str">
        <f>IFERROR(__xludf.DUMMYFUNCTION("""COMPUTED_VALUE"""),"Adult")</f>
        <v>Adult</v>
      </c>
      <c r="E34" s="13">
        <f>IF(D34&lt;&gt;"",VLOOKUP(D34,Settings!$G$3:$H$6,2,false),"")</f>
        <v>2300</v>
      </c>
      <c r="F34" s="15" t="str">
        <f>IFERROR(__xludf.DUMMYFUNCTION("""COMPUTED_VALUE"""),"Relative")</f>
        <v>Relative</v>
      </c>
      <c r="G34" s="15" t="str">
        <f>IFERROR(__xludf.DUMMYFUNCTION("""COMPUTED_VALUE"""),"Blooming Flowers")</f>
        <v>Blooming Flowers</v>
      </c>
      <c r="H34" s="12" t="str">
        <f>IF(G34&lt;&gt;"",VLOOKUP(G34,Settings!$B$4:$C$35,2,false),"")</f>
        <v>Amita Deshpande</v>
      </c>
      <c r="I34" s="12" t="str">
        <f>IFERROR(__xludf.DUMMYFUNCTION("""COMPUTED_VALUE"""),"")</f>
        <v/>
      </c>
      <c r="J34" s="15" t="s">
        <v>241</v>
      </c>
      <c r="K34" s="12"/>
      <c r="L34" s="3"/>
    </row>
    <row r="35">
      <c r="A35" s="17">
        <f t="shared" si="1"/>
        <v>33</v>
      </c>
      <c r="B35" s="12" t="str">
        <f>IFERROR(__xludf.DUMMYFUNCTION("""COMPUTED_VALUE"""),"Gundecha Palak")</f>
        <v>Gundecha Palak</v>
      </c>
      <c r="C35" s="12" t="str">
        <f>IFERROR(__xludf.DUMMYFUNCTION("""COMPUTED_VALUE"""),"gundechapreeti@gmail.com")</f>
        <v>gundechapreeti@gmail.com</v>
      </c>
      <c r="D35" s="12" t="str">
        <f>IFERROR(__xludf.DUMMYFUNCTION("""COMPUTED_VALUE"""),"Child")</f>
        <v>Child</v>
      </c>
      <c r="E35" s="13">
        <f>IF(D35&lt;&gt;"",VLOOKUP(D35,Settings!$G$3:$H$6,2,false),"")</f>
        <v>1200</v>
      </c>
      <c r="F35" s="15" t="str">
        <f>IFERROR(__xludf.DUMMYFUNCTION("""COMPUTED_VALUE"""),"Performer")</f>
        <v>Performer</v>
      </c>
      <c r="G35" s="15" t="str">
        <f>IFERROR(__xludf.DUMMYFUNCTION("""COMPUTED_VALUE"""),"Dance Ojima Dance-DOD")</f>
        <v>Dance Ojima Dance-DOD</v>
      </c>
      <c r="H35" s="12" t="str">
        <f>IF(G35&lt;&gt;"",VLOOKUP(G35,Settings!$B$4:$C$35,2,false),"")</f>
        <v>Shweta Singla</v>
      </c>
      <c r="I35" s="12" t="str">
        <f>IFERROR(__xludf.DUMMYFUNCTION("""COMPUTED_VALUE"""),"")</f>
        <v/>
      </c>
      <c r="J35" s="15" t="s">
        <v>241</v>
      </c>
      <c r="K35" s="16"/>
      <c r="L35" s="3"/>
    </row>
    <row r="36">
      <c r="A36" s="17">
        <f t="shared" si="1"/>
        <v>34</v>
      </c>
      <c r="B36" s="12" t="str">
        <f>IFERROR(__xludf.DUMMYFUNCTION("""COMPUTED_VALUE"""),"Gundecha Parth")</f>
        <v>Gundecha Parth</v>
      </c>
      <c r="C36" s="12" t="str">
        <f>IFERROR(__xludf.DUMMYFUNCTION("""COMPUTED_VALUE"""),"gundechapreeti@gmail.com")</f>
        <v>gundechapreeti@gmail.com</v>
      </c>
      <c r="D36" s="12" t="str">
        <f>IFERROR(__xludf.DUMMYFUNCTION("""COMPUTED_VALUE"""),"Child")</f>
        <v>Child</v>
      </c>
      <c r="E36" s="13">
        <f>IF(D36&lt;&gt;"",VLOOKUP(D36,Settings!$G$3:$H$6,2,false),"")</f>
        <v>1200</v>
      </c>
      <c r="F36" s="15" t="str">
        <f>IFERROR(__xludf.DUMMYFUNCTION("""COMPUTED_VALUE"""),"Performer")</f>
        <v>Performer</v>
      </c>
      <c r="G36" s="15" t="str">
        <f>IFERROR(__xludf.DUMMYFUNCTION("""COMPUTED_VALUE"""),"Dance Ojima Dance-DOD")</f>
        <v>Dance Ojima Dance-DOD</v>
      </c>
      <c r="H36" s="12" t="str">
        <f>IF(G36&lt;&gt;"",VLOOKUP(G36,Settings!$B$4:$C$35,2,false),"")</f>
        <v>Shweta Singla</v>
      </c>
      <c r="I36" s="12" t="str">
        <f>IFERROR(__xludf.DUMMYFUNCTION("""COMPUTED_VALUE"""),"")</f>
        <v/>
      </c>
      <c r="J36" s="15" t="s">
        <v>241</v>
      </c>
      <c r="K36" s="16"/>
      <c r="L36" s="3"/>
    </row>
    <row r="37">
      <c r="A37" s="17">
        <f t="shared" si="1"/>
        <v>35</v>
      </c>
      <c r="B37" s="12" t="str">
        <f>IFERROR(__xludf.DUMMYFUNCTION("""COMPUTED_VALUE"""),"Gundecha Preeti")</f>
        <v>Gundecha Preeti</v>
      </c>
      <c r="C37" s="12" t="str">
        <f>IFERROR(__xludf.DUMMYFUNCTION("""COMPUTED_VALUE"""),"gundechapreeti@gmail.com")</f>
        <v>gundechapreeti@gmail.com</v>
      </c>
      <c r="D37" s="12" t="str">
        <f>IFERROR(__xludf.DUMMYFUNCTION("""COMPUTED_VALUE"""),"Adult")</f>
        <v>Adult</v>
      </c>
      <c r="E37" s="13">
        <f>IF(D37&lt;&gt;"",VLOOKUP(D37,Settings!$G$3:$H$6,2,false),"")</f>
        <v>2300</v>
      </c>
      <c r="F37" s="15" t="str">
        <f>IFERROR(__xludf.DUMMYFUNCTION("""COMPUTED_VALUE"""),"Relative")</f>
        <v>Relative</v>
      </c>
      <c r="G37" s="15" t="str">
        <f>IFERROR(__xludf.DUMMYFUNCTION("""COMPUTED_VALUE"""),"Dance Ojima Dance-DOD")</f>
        <v>Dance Ojima Dance-DOD</v>
      </c>
      <c r="H37" s="12" t="str">
        <f>IF(G37&lt;&gt;"",VLOOKUP(G37,Settings!$B$4:$C$35,2,false),"")</f>
        <v>Shweta Singla</v>
      </c>
      <c r="I37" s="12" t="str">
        <f>IFERROR(__xludf.DUMMYFUNCTION("""COMPUTED_VALUE"""),"")</f>
        <v/>
      </c>
      <c r="J37" s="15" t="s">
        <v>241</v>
      </c>
      <c r="K37" s="16"/>
      <c r="L37" s="3"/>
    </row>
    <row r="38">
      <c r="A38" s="17">
        <f t="shared" si="1"/>
        <v>36</v>
      </c>
      <c r="B38" s="12" t="str">
        <f>IFERROR(__xludf.DUMMYFUNCTION("""COMPUTED_VALUE"""),"Gundecha Amit")</f>
        <v>Gundecha Amit</v>
      </c>
      <c r="C38" s="12" t="str">
        <f>IFERROR(__xludf.DUMMYFUNCTION("""COMPUTED_VALUE"""),"gundechapreeti@gmail.com")</f>
        <v>gundechapreeti@gmail.com</v>
      </c>
      <c r="D38" s="12" t="str">
        <f>IFERROR(__xludf.DUMMYFUNCTION("""COMPUTED_VALUE"""),"Adult")</f>
        <v>Adult</v>
      </c>
      <c r="E38" s="13">
        <f>IF(D38&lt;&gt;"",VLOOKUP(D38,Settings!$G$3:$H$6,2,false),"")</f>
        <v>2300</v>
      </c>
      <c r="F38" s="15" t="str">
        <f>IFERROR(__xludf.DUMMYFUNCTION("""COMPUTED_VALUE"""),"Relative")</f>
        <v>Relative</v>
      </c>
      <c r="G38" s="15" t="str">
        <f>IFERROR(__xludf.DUMMYFUNCTION("""COMPUTED_VALUE"""),"Dance Ojima Dance-DOD")</f>
        <v>Dance Ojima Dance-DOD</v>
      </c>
      <c r="H38" s="12" t="str">
        <f>IF(G38&lt;&gt;"",VLOOKUP(G38,Settings!$B$4:$C$35,2,false),"")</f>
        <v>Shweta Singla</v>
      </c>
      <c r="I38" s="12" t="str">
        <f>IFERROR(__xludf.DUMMYFUNCTION("""COMPUTED_VALUE"""),"")</f>
        <v/>
      </c>
      <c r="J38" s="15" t="s">
        <v>241</v>
      </c>
      <c r="K38" s="16"/>
      <c r="L38" s="3"/>
    </row>
    <row r="39">
      <c r="A39" s="17">
        <f t="shared" si="1"/>
        <v>37</v>
      </c>
      <c r="B39" s="12" t="str">
        <f>IFERROR(__xludf.DUMMYFUNCTION("""COMPUTED_VALUE"""),"Menon Sahasra")</f>
        <v>Menon Sahasra</v>
      </c>
      <c r="C39" s="12" t="str">
        <f>IFERROR(__xludf.DUMMYFUNCTION("""COMPUTED_VALUE"""),"sandhya.jan@gmail.com")</f>
        <v>sandhya.jan@gmail.com</v>
      </c>
      <c r="D39" s="12" t="str">
        <f>IFERROR(__xludf.DUMMYFUNCTION("""COMPUTED_VALUE"""),"Child")</f>
        <v>Child</v>
      </c>
      <c r="E39" s="13">
        <f>IF(D39&lt;&gt;"",VLOOKUP(D39,Settings!$G$3:$H$6,2,false),"")</f>
        <v>1200</v>
      </c>
      <c r="F39" s="15" t="str">
        <f>IFERROR(__xludf.DUMMYFUNCTION("""COMPUTED_VALUE"""),"Relative")</f>
        <v>Relative</v>
      </c>
      <c r="G39" s="15" t="str">
        <f>IFERROR(__xludf.DUMMYFUNCTION("""COMPUTED_VALUE"""),"Shiva")</f>
        <v>Shiva</v>
      </c>
      <c r="H39" s="12" t="str">
        <f>IF(G39&lt;&gt;"",VLOOKUP(G39,Settings!$B$4:$C$35,2,false),"")</f>
        <v>Sandhya Jan</v>
      </c>
      <c r="I39" s="12" t="str">
        <f>IFERROR(__xludf.DUMMYFUNCTION("""COMPUTED_VALUE"""),"")</f>
        <v/>
      </c>
      <c r="J39" s="15" t="s">
        <v>129</v>
      </c>
      <c r="K39" s="16">
        <v>43399.0</v>
      </c>
      <c r="L39" s="3"/>
    </row>
    <row r="40">
      <c r="A40" s="17">
        <f t="shared" si="1"/>
        <v>38</v>
      </c>
      <c r="B40" s="12" t="str">
        <f>IFERROR(__xludf.DUMMYFUNCTION("""COMPUTED_VALUE"""),"Jan Sandhya ")</f>
        <v>Jan Sandhya </v>
      </c>
      <c r="C40" s="12" t="str">
        <f>IFERROR(__xludf.DUMMYFUNCTION("""COMPUTED_VALUE"""),"sandhya.jan@gmail.com")</f>
        <v>sandhya.jan@gmail.com</v>
      </c>
      <c r="D40" s="12" t="str">
        <f>IFERROR(__xludf.DUMMYFUNCTION("""COMPUTED_VALUE"""),"Adult")</f>
        <v>Adult</v>
      </c>
      <c r="E40" s="13">
        <f>IF(D40&lt;&gt;"",VLOOKUP(D40,Settings!$G$3:$H$6,2,false),"")</f>
        <v>2300</v>
      </c>
      <c r="F40" s="15" t="str">
        <f>IFERROR(__xludf.DUMMYFUNCTION("""COMPUTED_VALUE"""),"Performer / Coordinator")</f>
        <v>Performer / Coordinator</v>
      </c>
      <c r="G40" s="15" t="str">
        <f>IFERROR(__xludf.DUMMYFUNCTION("""COMPUTED_VALUE"""),"Shiva")</f>
        <v>Shiva</v>
      </c>
      <c r="H40" s="12" t="str">
        <f>IF(G40&lt;&gt;"",VLOOKUP(G40,Settings!$B$4:$C$35,2,false),"")</f>
        <v>Sandhya Jan</v>
      </c>
      <c r="I40" s="12" t="str">
        <f>IFERROR(__xludf.DUMMYFUNCTION("""COMPUTED_VALUE"""),"")</f>
        <v/>
      </c>
      <c r="J40" s="15" t="s">
        <v>129</v>
      </c>
      <c r="K40" s="16">
        <v>43399.0</v>
      </c>
      <c r="L40" s="3"/>
    </row>
    <row r="41">
      <c r="A41" s="17">
        <f t="shared" si="1"/>
        <v>39</v>
      </c>
      <c r="B41" s="12" t="str">
        <f>IFERROR(__xludf.DUMMYFUNCTION("""COMPUTED_VALUE"""),"Singh prisha")</f>
        <v>Singh prisha</v>
      </c>
      <c r="C41" s="12" t="str">
        <f>IFERROR(__xludf.DUMMYFUNCTION("""COMPUTED_VALUE"""),"priyanka.bapna.singh@gmail.com")</f>
        <v>priyanka.bapna.singh@gmail.com</v>
      </c>
      <c r="D41" s="12" t="str">
        <f>IFERROR(__xludf.DUMMYFUNCTION("""COMPUTED_VALUE"""),"Child")</f>
        <v>Child</v>
      </c>
      <c r="E41" s="13">
        <f>IF(D41&lt;&gt;"",VLOOKUP(D41,Settings!$G$3:$H$6,2,false),"")</f>
        <v>1200</v>
      </c>
      <c r="F41" s="15" t="str">
        <f>IFERROR(__xludf.DUMMYFUNCTION("""COMPUTED_VALUE"""),"Performer")</f>
        <v>Performer</v>
      </c>
      <c r="G41" s="15" t="str">
        <f>IFERROR(__xludf.DUMMYFUNCTION("""COMPUTED_VALUE"""),"Blooming Flowers")</f>
        <v>Blooming Flowers</v>
      </c>
      <c r="H41" s="12" t="str">
        <f>IF(G41&lt;&gt;"",VLOOKUP(G41,Settings!$B$4:$C$35,2,false),"")</f>
        <v>Amita Deshpande</v>
      </c>
      <c r="I41" s="12" t="str">
        <f>IFERROR(__xludf.DUMMYFUNCTION("""COMPUTED_VALUE"""),"")</f>
        <v/>
      </c>
      <c r="J41" s="15" t="s">
        <v>241</v>
      </c>
      <c r="K41" s="16"/>
      <c r="L41" s="3"/>
    </row>
    <row r="42">
      <c r="A42" s="17">
        <f t="shared" si="1"/>
        <v>40</v>
      </c>
      <c r="B42" s="12" t="str">
        <f>IFERROR(__xludf.DUMMYFUNCTION("""COMPUTED_VALUE"""),"Singh priyanka")</f>
        <v>Singh priyanka</v>
      </c>
      <c r="C42" s="12" t="str">
        <f>IFERROR(__xludf.DUMMYFUNCTION("""COMPUTED_VALUE"""),"priyanka.bapna.singh@gmail.com")</f>
        <v>priyanka.bapna.singh@gmail.com</v>
      </c>
      <c r="D42" s="12" t="str">
        <f>IFERROR(__xludf.DUMMYFUNCTION("""COMPUTED_VALUE"""),"Adult")</f>
        <v>Adult</v>
      </c>
      <c r="E42" s="13">
        <f>IF(D42&lt;&gt;"",VLOOKUP(D42,Settings!$G$3:$H$6,2,false),"")</f>
        <v>2300</v>
      </c>
      <c r="F42" s="15" t="str">
        <f>IFERROR(__xludf.DUMMYFUNCTION("""COMPUTED_VALUE"""),"Relative")</f>
        <v>Relative</v>
      </c>
      <c r="G42" s="15" t="str">
        <f>IFERROR(__xludf.DUMMYFUNCTION("""COMPUTED_VALUE"""),"Blooming Flowers")</f>
        <v>Blooming Flowers</v>
      </c>
      <c r="H42" s="12" t="str">
        <f>IF(G42&lt;&gt;"",VLOOKUP(G42,Settings!$B$4:$C$35,2,false),"")</f>
        <v>Amita Deshpande</v>
      </c>
      <c r="I42" s="12" t="str">
        <f>IFERROR(__xludf.DUMMYFUNCTION("""COMPUTED_VALUE"""),"")</f>
        <v/>
      </c>
      <c r="J42" s="15" t="s">
        <v>241</v>
      </c>
      <c r="K42" s="16"/>
      <c r="L42" s="3"/>
    </row>
    <row r="43">
      <c r="A43" s="17">
        <f t="shared" si="1"/>
        <v>41</v>
      </c>
      <c r="B43" s="12" t="str">
        <f>IFERROR(__xludf.DUMMYFUNCTION("""COMPUTED_VALUE"""),"Paul Mrinmoiye ")</f>
        <v>Paul Mrinmoiye </v>
      </c>
      <c r="C43" s="12" t="str">
        <f>IFERROR(__xludf.DUMMYFUNCTION("""COMPUTED_VALUE"""),"polruma@gmail.com")</f>
        <v>polruma@gmail.com</v>
      </c>
      <c r="D43" s="12" t="str">
        <f>IFERROR(__xludf.DUMMYFUNCTION("""COMPUTED_VALUE"""),"Child")</f>
        <v>Child</v>
      </c>
      <c r="E43" s="13">
        <f>IF(D43&lt;&gt;"",VLOOKUP(D43,Settings!$G$3:$H$6,2,false),"")</f>
        <v>1200</v>
      </c>
      <c r="F43" s="15" t="str">
        <f>IFERROR(__xludf.DUMMYFUNCTION("""COMPUTED_VALUE"""),"Performer")</f>
        <v>Performer</v>
      </c>
      <c r="G43" s="15" t="str">
        <f>IFERROR(__xludf.DUMMYFUNCTION("""COMPUTED_VALUE"""),"Blooming Flowers")</f>
        <v>Blooming Flowers</v>
      </c>
      <c r="H43" s="12" t="str">
        <f>IF(G43&lt;&gt;"",VLOOKUP(G43,Settings!$B$4:$C$35,2,false),"")</f>
        <v>Amita Deshpande</v>
      </c>
      <c r="I43" s="12" t="str">
        <f>IFERROR(__xludf.DUMMYFUNCTION("""COMPUTED_VALUE"""),"")</f>
        <v/>
      </c>
      <c r="J43" s="15" t="s">
        <v>241</v>
      </c>
      <c r="K43" s="16"/>
      <c r="L43" s="3"/>
    </row>
    <row r="44">
      <c r="A44" s="17">
        <f t="shared" si="1"/>
        <v>42</v>
      </c>
      <c r="B44" s="12" t="str">
        <f>IFERROR(__xludf.DUMMYFUNCTION("""COMPUTED_VALUE"""),"Paul Shiddharto")</f>
        <v>Paul Shiddharto</v>
      </c>
      <c r="C44" s="12" t="str">
        <f>IFERROR(__xludf.DUMMYFUNCTION("""COMPUTED_VALUE"""),"polruma@gmail.com")</f>
        <v>polruma@gmail.com</v>
      </c>
      <c r="D44" s="12" t="str">
        <f>IFERROR(__xludf.DUMMYFUNCTION("""COMPUTED_VALUE"""),"Child")</f>
        <v>Child</v>
      </c>
      <c r="E44" s="13">
        <f>IF(D44&lt;&gt;"",VLOOKUP(D44,Settings!$G$3:$H$6,2,false),"")</f>
        <v>1200</v>
      </c>
      <c r="F44" s="15" t="str">
        <f>IFERROR(__xludf.DUMMYFUNCTION("""COMPUTED_VALUE"""),"Performer")</f>
        <v>Performer</v>
      </c>
      <c r="G44" s="15" t="str">
        <f>IFERROR(__xludf.DUMMYFUNCTION("""COMPUTED_VALUE"""),"Dance Ojima Dance-DOD")</f>
        <v>Dance Ojima Dance-DOD</v>
      </c>
      <c r="H44" s="12" t="str">
        <f>IF(G44&lt;&gt;"",VLOOKUP(G44,Settings!$B$4:$C$35,2,false),"")</f>
        <v>Shweta Singla</v>
      </c>
      <c r="I44" s="12" t="str">
        <f>IFERROR(__xludf.DUMMYFUNCTION("""COMPUTED_VALUE"""),"")</f>
        <v/>
      </c>
      <c r="J44" s="15" t="s">
        <v>241</v>
      </c>
      <c r="K44" s="16"/>
      <c r="L44" s="3"/>
    </row>
    <row r="45">
      <c r="A45" s="17">
        <f t="shared" si="1"/>
        <v>43</v>
      </c>
      <c r="B45" s="12" t="str">
        <f>IFERROR(__xludf.DUMMYFUNCTION("""COMPUTED_VALUE"""),"Paul Ruma Rani ")</f>
        <v>Paul Ruma Rani </v>
      </c>
      <c r="C45" s="12" t="str">
        <f>IFERROR(__xludf.DUMMYFUNCTION("""COMPUTED_VALUE"""),"polruma@gmail.com")</f>
        <v>polruma@gmail.com</v>
      </c>
      <c r="D45" s="12" t="str">
        <f>IFERROR(__xludf.DUMMYFUNCTION("""COMPUTED_VALUE"""),"Adult")</f>
        <v>Adult</v>
      </c>
      <c r="E45" s="13">
        <f>IF(D45&lt;&gt;"",VLOOKUP(D45,Settings!$G$3:$H$6,2,false),"")</f>
        <v>2300</v>
      </c>
      <c r="F45" s="15" t="str">
        <f>IFERROR(__xludf.DUMMYFUNCTION("""COMPUTED_VALUE"""),"Relative")</f>
        <v>Relative</v>
      </c>
      <c r="G45" s="15" t="str">
        <f>IFERROR(__xludf.DUMMYFUNCTION("""COMPUTED_VALUE"""),"Dance Ojima Dance-DOD")</f>
        <v>Dance Ojima Dance-DOD</v>
      </c>
      <c r="H45" s="12" t="str">
        <f>IF(G45&lt;&gt;"",VLOOKUP(G45,Settings!$B$4:$C$35,2,false),"")</f>
        <v>Shweta Singla</v>
      </c>
      <c r="I45" s="12" t="str">
        <f>IFERROR(__xludf.DUMMYFUNCTION("""COMPUTED_VALUE"""),"")</f>
        <v/>
      </c>
      <c r="J45" s="15" t="s">
        <v>241</v>
      </c>
      <c r="K45" s="16"/>
      <c r="L45" s="3"/>
    </row>
    <row r="46">
      <c r="A46" s="17">
        <f t="shared" si="1"/>
        <v>44</v>
      </c>
      <c r="B46" s="12" t="str">
        <f>IFERROR(__xludf.DUMMYFUNCTION("""COMPUTED_VALUE"""),"Kailash Malkani ")</f>
        <v>Kailash Malkani </v>
      </c>
      <c r="C46" s="12" t="str">
        <f>IFERROR(__xludf.DUMMYFUNCTION("""COMPUTED_VALUE"""),"malkani_ca@yahoo.co.in")</f>
        <v>malkani_ca@yahoo.co.in</v>
      </c>
      <c r="D46" s="12" t="str">
        <f>IFERROR(__xludf.DUMMYFUNCTION("""COMPUTED_VALUE"""),"Adult")</f>
        <v>Adult</v>
      </c>
      <c r="E46" s="13">
        <f>IF(D46&lt;&gt;"",VLOOKUP(D46,Settings!$G$3:$H$6,2,false),"")</f>
        <v>2300</v>
      </c>
      <c r="F46" s="15" t="str">
        <f>IFERROR(__xludf.DUMMYFUNCTION("""COMPUTED_VALUE"""),"Relative")</f>
        <v>Relative</v>
      </c>
      <c r="G46" s="15" t="str">
        <f>IFERROR(__xludf.DUMMYFUNCTION("""COMPUTED_VALUE"""),"Blooming Flowers")</f>
        <v>Blooming Flowers</v>
      </c>
      <c r="H46" s="12" t="str">
        <f>IF(G46&lt;&gt;"",VLOOKUP(G46,Settings!$B$4:$C$35,2,false),"")</f>
        <v>Amita Deshpande</v>
      </c>
      <c r="I46" s="12" t="str">
        <f>IFERROR(__xludf.DUMMYFUNCTION("""COMPUTED_VALUE"""),"")</f>
        <v/>
      </c>
      <c r="J46" s="15" t="s">
        <v>241</v>
      </c>
      <c r="K46" s="16"/>
      <c r="L46" s="3"/>
    </row>
    <row r="47">
      <c r="A47" s="17">
        <f t="shared" si="1"/>
        <v>45</v>
      </c>
      <c r="B47" s="12" t="str">
        <f>IFERROR(__xludf.DUMMYFUNCTION("""COMPUTED_VALUE"""),"Kaushalya K Malkani ")</f>
        <v>Kaushalya K Malkani </v>
      </c>
      <c r="C47" s="12" t="str">
        <f>IFERROR(__xludf.DUMMYFUNCTION("""COMPUTED_VALUE"""),"malkani_ca@yahoo.co.in")</f>
        <v>malkani_ca@yahoo.co.in</v>
      </c>
      <c r="D47" s="12" t="str">
        <f>IFERROR(__xludf.DUMMYFUNCTION("""COMPUTED_VALUE"""),"Adult")</f>
        <v>Adult</v>
      </c>
      <c r="E47" s="13">
        <f>IF(D47&lt;&gt;"",VLOOKUP(D47,Settings!$G$3:$H$6,2,false),"")</f>
        <v>2300</v>
      </c>
      <c r="F47" s="15" t="str">
        <f>IFERROR(__xludf.DUMMYFUNCTION("""COMPUTED_VALUE"""),"Relative")</f>
        <v>Relative</v>
      </c>
      <c r="G47" s="15" t="str">
        <f>IFERROR(__xludf.DUMMYFUNCTION("""COMPUTED_VALUE"""),"Blooming Flowers")</f>
        <v>Blooming Flowers</v>
      </c>
      <c r="H47" s="12" t="str">
        <f>IF(G47&lt;&gt;"",VLOOKUP(G47,Settings!$B$4:$C$35,2,false),"")</f>
        <v>Amita Deshpande</v>
      </c>
      <c r="I47" s="12" t="str">
        <f>IFERROR(__xludf.DUMMYFUNCTION("""COMPUTED_VALUE"""),"")</f>
        <v/>
      </c>
      <c r="J47" s="15" t="s">
        <v>241</v>
      </c>
      <c r="K47" s="16"/>
      <c r="L47" s="3"/>
    </row>
    <row r="48">
      <c r="A48" s="17">
        <f t="shared" si="1"/>
        <v>46</v>
      </c>
      <c r="B48" s="12" t="str">
        <f>IFERROR(__xludf.DUMMYFUNCTION("""COMPUTED_VALUE"""),"SRIYA JAYESH")</f>
        <v>SRIYA JAYESH</v>
      </c>
      <c r="C48" s="12" t="str">
        <f>IFERROR(__xludf.DUMMYFUNCTION("""COMPUTED_VALUE"""),"dhanyajayesh01@gmail.com")</f>
        <v>dhanyajayesh01@gmail.com</v>
      </c>
      <c r="D48" s="12" t="str">
        <f>IFERROR(__xludf.DUMMYFUNCTION("""COMPUTED_VALUE"""),"Child")</f>
        <v>Child</v>
      </c>
      <c r="E48" s="13">
        <f>IF(D48&lt;&gt;"",VLOOKUP(D48,Settings!$G$3:$H$6,2,false),"")</f>
        <v>1200</v>
      </c>
      <c r="F48" s="15" t="str">
        <f>IFERROR(__xludf.DUMMYFUNCTION("""COMPUTED_VALUE"""),"Performer")</f>
        <v>Performer</v>
      </c>
      <c r="G48" s="15" t="str">
        <f>IFERROR(__xludf.DUMMYFUNCTION("""COMPUTED_VALUE"""),"Twinkle Toes")</f>
        <v>Twinkle Toes</v>
      </c>
      <c r="H48" s="12" t="str">
        <f>IF(G48&lt;&gt;"",VLOOKUP(G48,Settings!$B$4:$C$35,2,false),"")</f>
        <v>DHANYA.K.G</v>
      </c>
      <c r="I48" s="12" t="str">
        <f>IFERROR(__xludf.DUMMYFUNCTION("""COMPUTED_VALUE"""),"")</f>
        <v/>
      </c>
      <c r="J48" s="15" t="s">
        <v>241</v>
      </c>
      <c r="K48" s="16"/>
      <c r="L48" s="3"/>
    </row>
    <row r="49">
      <c r="A49" s="17">
        <f t="shared" si="1"/>
        <v>47</v>
      </c>
      <c r="B49" s="12" t="str">
        <f>IFERROR(__xludf.DUMMYFUNCTION("""COMPUTED_VALUE"""),"Navya Malkani ")</f>
        <v>Navya Malkani </v>
      </c>
      <c r="C49" s="12" t="str">
        <f>IFERROR(__xludf.DUMMYFUNCTION("""COMPUTED_VALUE"""),"malkani_ca@yahoo.co.in")</f>
        <v>malkani_ca@yahoo.co.in</v>
      </c>
      <c r="D49" s="12" t="str">
        <f>IFERROR(__xludf.DUMMYFUNCTION("""COMPUTED_VALUE"""),"Child")</f>
        <v>Child</v>
      </c>
      <c r="E49" s="13">
        <f>IF(D49&lt;&gt;"",VLOOKUP(D49,Settings!$G$3:$H$6,2,false),"")</f>
        <v>1200</v>
      </c>
      <c r="F49" s="15" t="str">
        <f>IFERROR(__xludf.DUMMYFUNCTION("""COMPUTED_VALUE"""),"Performer")</f>
        <v>Performer</v>
      </c>
      <c r="G49" s="15" t="str">
        <f>IFERROR(__xludf.DUMMYFUNCTION("""COMPUTED_VALUE"""),"Blooming Flowers")</f>
        <v>Blooming Flowers</v>
      </c>
      <c r="H49" s="12" t="str">
        <f>IF(G49&lt;&gt;"",VLOOKUP(G49,Settings!$B$4:$C$35,2,false),"")</f>
        <v>Amita Deshpande</v>
      </c>
      <c r="I49" s="12" t="str">
        <f>IFERROR(__xludf.DUMMYFUNCTION("""COMPUTED_VALUE"""),"")</f>
        <v/>
      </c>
      <c r="J49" s="15" t="s">
        <v>241</v>
      </c>
      <c r="K49" s="12"/>
      <c r="L49" s="3"/>
    </row>
    <row r="50" hidden="1">
      <c r="A50" s="17">
        <f t="shared" si="1"/>
        <v>48</v>
      </c>
      <c r="B50" s="12" t="str">
        <f>IFERROR(__xludf.DUMMYFUNCTION("""COMPUTED_VALUE"""),"MEGHNA SANTHOSH")</f>
        <v>MEGHNA SANTHOSH</v>
      </c>
      <c r="C50" s="12" t="str">
        <f>IFERROR(__xludf.DUMMYFUNCTION("""COMPUTED_VALUE"""),"dhanyajayesh01@gmail.com")</f>
        <v>dhanyajayesh01@gmail.com</v>
      </c>
      <c r="D50" s="12" t="str">
        <f>IFERROR(__xludf.DUMMYFUNCTION("""COMPUTED_VALUE"""),"Child")</f>
        <v>Child</v>
      </c>
      <c r="E50" s="13">
        <f>IF(D50&lt;&gt;"",VLOOKUP(D50,Settings!$G$3:$H$6,2,false),"")</f>
        <v>1200</v>
      </c>
      <c r="F50" s="15" t="str">
        <f>IFERROR(__xludf.DUMMYFUNCTION("""COMPUTED_VALUE"""),"Performer")</f>
        <v>Performer</v>
      </c>
      <c r="G50" s="15" t="str">
        <f>IFERROR(__xludf.DUMMYFUNCTION("""COMPUTED_VALUE"""),"Twinkle Toes")</f>
        <v>Twinkle Toes</v>
      </c>
      <c r="H50" s="12" t="str">
        <f>IF(G50&lt;&gt;"",VLOOKUP(G50,Settings!$B$4:$C$35,2,false),"")</f>
        <v>DHANYA.K.G</v>
      </c>
      <c r="I50" s="12" t="str">
        <f>IFERROR(__xludf.DUMMYFUNCTION("""COMPUTED_VALUE"""),"")</f>
        <v/>
      </c>
      <c r="J50" s="15"/>
      <c r="K50" s="12"/>
      <c r="L50" s="60" t="s">
        <v>592</v>
      </c>
    </row>
    <row r="51" hidden="1">
      <c r="A51" s="17">
        <f t="shared" si="1"/>
        <v>49</v>
      </c>
      <c r="B51" s="12" t="str">
        <f>IFERROR(__xludf.DUMMYFUNCTION("""COMPUTED_VALUE"""),"ADITI")</f>
        <v>ADITI</v>
      </c>
      <c r="C51" s="12" t="str">
        <f>IFERROR(__xludf.DUMMYFUNCTION("""COMPUTED_VALUE"""),"dhanyajayesh01@gmail.com")</f>
        <v>dhanyajayesh01@gmail.com</v>
      </c>
      <c r="D51" s="12" t="str">
        <f>IFERROR(__xludf.DUMMYFUNCTION("""COMPUTED_VALUE"""),"Child")</f>
        <v>Child</v>
      </c>
      <c r="E51" s="13">
        <f>IF(D51&lt;&gt;"",VLOOKUP(D51,Settings!$G$3:$H$6,2,false),"")</f>
        <v>1200</v>
      </c>
      <c r="F51" s="15" t="str">
        <f>IFERROR(__xludf.DUMMYFUNCTION("""COMPUTED_VALUE"""),"Performer")</f>
        <v>Performer</v>
      </c>
      <c r="G51" s="15" t="str">
        <f>IFERROR(__xludf.DUMMYFUNCTION("""COMPUTED_VALUE"""),"Twinkle Toes")</f>
        <v>Twinkle Toes</v>
      </c>
      <c r="H51" s="12" t="str">
        <f>IF(G51&lt;&gt;"",VLOOKUP(G51,Settings!$B$4:$C$35,2,false),"")</f>
        <v>DHANYA.K.G</v>
      </c>
      <c r="I51" s="12" t="str">
        <f>IFERROR(__xludf.DUMMYFUNCTION("""COMPUTED_VALUE"""),"")</f>
        <v/>
      </c>
      <c r="J51" s="15"/>
      <c r="K51" s="12"/>
      <c r="L51" s="6" t="s">
        <v>592</v>
      </c>
    </row>
    <row r="52">
      <c r="A52" s="17">
        <f t="shared" si="1"/>
        <v>50</v>
      </c>
      <c r="B52" s="12" t="str">
        <f>IFERROR(__xludf.DUMMYFUNCTION("""COMPUTED_VALUE"""),"SHIKHA.P.PILLAI")</f>
        <v>SHIKHA.P.PILLAI</v>
      </c>
      <c r="C52" s="12" t="str">
        <f>IFERROR(__xludf.DUMMYFUNCTION("""COMPUTED_VALUE"""),"sangu.prasanth@gmail.com")</f>
        <v>sangu.prasanth@gmail.com</v>
      </c>
      <c r="D52" s="12" t="str">
        <f>IFERROR(__xludf.DUMMYFUNCTION("""COMPUTED_VALUE"""),"Child")</f>
        <v>Child</v>
      </c>
      <c r="E52" s="13">
        <f>IF(D52&lt;&gt;"",VLOOKUP(D52,Settings!$G$3:$H$6,2,false),"")</f>
        <v>1200</v>
      </c>
      <c r="F52" s="15" t="str">
        <f>IFERROR(__xludf.DUMMYFUNCTION("""COMPUTED_VALUE"""),"Performer")</f>
        <v>Performer</v>
      </c>
      <c r="G52" s="15" t="str">
        <f>IFERROR(__xludf.DUMMYFUNCTION("""COMPUTED_VALUE"""),"Shiva")</f>
        <v>Shiva</v>
      </c>
      <c r="H52" s="12" t="str">
        <f>IF(G52&lt;&gt;"",VLOOKUP(G52,Settings!$B$4:$C$35,2,false),"")</f>
        <v>Sandhya Jan</v>
      </c>
      <c r="I52" s="66" t="str">
        <f>IFERROR(__xludf.DUMMYFUNCTION("""COMPUTED_VALUE"""),"")</f>
        <v/>
      </c>
      <c r="J52" s="15" t="s">
        <v>129</v>
      </c>
      <c r="K52" s="16">
        <v>43399.0</v>
      </c>
      <c r="L52" s="60"/>
    </row>
    <row r="53" hidden="1">
      <c r="A53" s="17">
        <f t="shared" si="1"/>
        <v>51</v>
      </c>
      <c r="B53" s="12" t="str">
        <f>IFERROR(__xludf.DUMMYFUNCTION("""COMPUTED_VALUE"""),"SANA MARY JOE")</f>
        <v>SANA MARY JOE</v>
      </c>
      <c r="C53" s="12" t="str">
        <f>IFERROR(__xludf.DUMMYFUNCTION("""COMPUTED_VALUE"""),"dhanyajayesh01@gmail.com")</f>
        <v>dhanyajayesh01@gmail.com</v>
      </c>
      <c r="D53" s="12" t="str">
        <f>IFERROR(__xludf.DUMMYFUNCTION("""COMPUTED_VALUE"""),"Child")</f>
        <v>Child</v>
      </c>
      <c r="E53" s="13">
        <f>IF(D53&lt;&gt;"",VLOOKUP(D53,Settings!$G$3:$H$6,2,false),"")</f>
        <v>1200</v>
      </c>
      <c r="F53" s="15" t="str">
        <f>IFERROR(__xludf.DUMMYFUNCTION("""COMPUTED_VALUE"""),"Performer")</f>
        <v>Performer</v>
      </c>
      <c r="G53" s="15" t="str">
        <f>IFERROR(__xludf.DUMMYFUNCTION("""COMPUTED_VALUE"""),"Twinkle Toes")</f>
        <v>Twinkle Toes</v>
      </c>
      <c r="H53" s="12" t="str">
        <f>IF(G53&lt;&gt;"",VLOOKUP(G53,Settings!$B$4:$C$35,2,false),"")</f>
        <v>DHANYA.K.G</v>
      </c>
      <c r="I53" s="12" t="str">
        <f>IFERROR(__xludf.DUMMYFUNCTION("""COMPUTED_VALUE"""),"")</f>
        <v/>
      </c>
      <c r="J53" s="15"/>
      <c r="K53" s="16"/>
      <c r="L53" s="6" t="s">
        <v>592</v>
      </c>
    </row>
    <row r="54">
      <c r="A54" s="17">
        <f t="shared" si="1"/>
        <v>52</v>
      </c>
      <c r="B54" s="12" t="str">
        <f>IFERROR(__xludf.DUMMYFUNCTION("""COMPUTED_VALUE"""),"Deepti Patil")</f>
        <v>Deepti Patil</v>
      </c>
      <c r="C54" s="12" t="str">
        <f>IFERROR(__xludf.DUMMYFUNCTION("""COMPUTED_VALUE"""),"deepti.patil9@gmail.com")</f>
        <v>deepti.patil9@gmail.com</v>
      </c>
      <c r="D54" s="12" t="str">
        <f>IFERROR(__xludf.DUMMYFUNCTION("""COMPUTED_VALUE"""),"Adult")</f>
        <v>Adult</v>
      </c>
      <c r="E54" s="13">
        <f>IF(D54&lt;&gt;"",VLOOKUP(D54,Settings!$G$3:$H$6,2,false),"")</f>
        <v>2300</v>
      </c>
      <c r="F54" s="15" t="str">
        <f>IFERROR(__xludf.DUMMYFUNCTION("""COMPUTED_VALUE"""),"Relative")</f>
        <v>Relative</v>
      </c>
      <c r="G54" s="15" t="str">
        <f>IFERROR(__xludf.DUMMYFUNCTION("""COMPUTED_VALUE"""),"Blooming Flowers")</f>
        <v>Blooming Flowers</v>
      </c>
      <c r="H54" s="12" t="str">
        <f>IF(G54&lt;&gt;"",VLOOKUP(G54,Settings!$B$4:$C$35,2,false),"")</f>
        <v>Amita Deshpande</v>
      </c>
      <c r="I54" s="12" t="str">
        <f>IFERROR(__xludf.DUMMYFUNCTION("""COMPUTED_VALUE"""),"")</f>
        <v/>
      </c>
      <c r="J54" s="15" t="s">
        <v>241</v>
      </c>
      <c r="K54" s="16"/>
      <c r="L54" s="6"/>
    </row>
    <row r="55">
      <c r="A55" s="17">
        <f t="shared" si="1"/>
        <v>53</v>
      </c>
      <c r="B55" s="12" t="str">
        <f>IFERROR(__xludf.DUMMYFUNCTION("""COMPUTED_VALUE"""),"Nitin Patil")</f>
        <v>Nitin Patil</v>
      </c>
      <c r="C55" s="12" t="str">
        <f>IFERROR(__xludf.DUMMYFUNCTION("""COMPUTED_VALUE"""),"ndpatil9@gmail.com")</f>
        <v>ndpatil9@gmail.com</v>
      </c>
      <c r="D55" s="12" t="str">
        <f>IFERROR(__xludf.DUMMYFUNCTION("""COMPUTED_VALUE"""),"Adult")</f>
        <v>Adult</v>
      </c>
      <c r="E55" s="13">
        <f>IF(D55&lt;&gt;"",VLOOKUP(D55,Settings!$G$3:$H$6,2,false),"")</f>
        <v>2300</v>
      </c>
      <c r="F55" s="15" t="str">
        <f>IFERROR(__xludf.DUMMYFUNCTION("""COMPUTED_VALUE"""),"Relative")</f>
        <v>Relative</v>
      </c>
      <c r="G55" s="15" t="str">
        <f>IFERROR(__xludf.DUMMYFUNCTION("""COMPUTED_VALUE"""),"Blooming Flowers")</f>
        <v>Blooming Flowers</v>
      </c>
      <c r="H55" s="12" t="str">
        <f>IF(G55&lt;&gt;"",VLOOKUP(G55,Settings!$B$4:$C$35,2,false),"")</f>
        <v>Amita Deshpande</v>
      </c>
      <c r="I55" s="12" t="str">
        <f>IFERROR(__xludf.DUMMYFUNCTION("""COMPUTED_VALUE"""),"")</f>
        <v/>
      </c>
      <c r="J55" s="15" t="s">
        <v>241</v>
      </c>
      <c r="K55" s="16"/>
      <c r="L55" s="3"/>
    </row>
    <row r="56">
      <c r="A56" s="17">
        <f t="shared" si="1"/>
        <v>54</v>
      </c>
      <c r="B56" s="12" t="str">
        <f>IFERROR(__xludf.DUMMYFUNCTION("""COMPUTED_VALUE"""),"Vaidehi Patil")</f>
        <v>Vaidehi Patil</v>
      </c>
      <c r="C56" s="12" t="str">
        <f>IFERROR(__xludf.DUMMYFUNCTION("""COMPUTED_VALUE"""),"ndpatil9@gmail.com")</f>
        <v>ndpatil9@gmail.com</v>
      </c>
      <c r="D56" s="12" t="str">
        <f>IFERROR(__xludf.DUMMYFUNCTION("""COMPUTED_VALUE"""),"Child")</f>
        <v>Child</v>
      </c>
      <c r="E56" s="13">
        <f>IF(D56&lt;&gt;"",VLOOKUP(D56,Settings!$G$3:$H$6,2,false),"")</f>
        <v>1200</v>
      </c>
      <c r="F56" s="15" t="str">
        <f>IFERROR(__xludf.DUMMYFUNCTION("""COMPUTED_VALUE"""),"Performer")</f>
        <v>Performer</v>
      </c>
      <c r="G56" s="15" t="str">
        <f>IFERROR(__xludf.DUMMYFUNCTION("""COMPUTED_VALUE"""),"Blooming Flowers")</f>
        <v>Blooming Flowers</v>
      </c>
      <c r="H56" s="12" t="str">
        <f>IF(G56&lt;&gt;"",VLOOKUP(G56,Settings!$B$4:$C$35,2,false),"")</f>
        <v>Amita Deshpande</v>
      </c>
      <c r="I56" s="12" t="str">
        <f>IFERROR(__xludf.DUMMYFUNCTION("""COMPUTED_VALUE"""),"")</f>
        <v/>
      </c>
      <c r="J56" s="15" t="s">
        <v>241</v>
      </c>
      <c r="K56" s="16"/>
      <c r="L56" s="3"/>
    </row>
    <row r="57" hidden="1">
      <c r="A57" s="17">
        <f t="shared" si="1"/>
        <v>55</v>
      </c>
      <c r="B57" s="12" t="str">
        <f>IFERROR(__xludf.DUMMYFUNCTION("""COMPUTED_VALUE"""),"Sanay  Patil")</f>
        <v>Sanay  Patil</v>
      </c>
      <c r="C57" s="12" t="str">
        <f>IFERROR(__xludf.DUMMYFUNCTION("""COMPUTED_VALUE"""),"ndpatil9@gmail.com")</f>
        <v>ndpatil9@gmail.com</v>
      </c>
      <c r="D57" s="12" t="str">
        <f>IFERROR(__xludf.DUMMYFUNCTION("""COMPUTED_VALUE"""),"Child")</f>
        <v>Child</v>
      </c>
      <c r="E57" s="13">
        <f>IF(D57&lt;&gt;"",VLOOKUP(D57,Settings!$G$3:$H$6,2,false),"")</f>
        <v>1200</v>
      </c>
      <c r="F57" s="15" t="str">
        <f>IFERROR(__xludf.DUMMYFUNCTION("""COMPUTED_VALUE"""),"Relative")</f>
        <v>Relative</v>
      </c>
      <c r="G57" s="15" t="str">
        <f>IFERROR(__xludf.DUMMYFUNCTION("""COMPUTED_VALUE"""),"Blooming Flowers")</f>
        <v>Blooming Flowers</v>
      </c>
      <c r="H57" s="12" t="str">
        <f>IF(G57&lt;&gt;"",VLOOKUP(G57,Settings!$B$4:$C$35,2,false),"")</f>
        <v>Amita Deshpande</v>
      </c>
      <c r="I57" s="12" t="str">
        <f>IFERROR(__xludf.DUMMYFUNCTION("""COMPUTED_VALUE"""),"")</f>
        <v/>
      </c>
      <c r="J57" s="15"/>
      <c r="K57" s="16"/>
      <c r="L57" s="6" t="s">
        <v>592</v>
      </c>
    </row>
    <row r="58">
      <c r="A58" s="17">
        <f t="shared" si="1"/>
        <v>56</v>
      </c>
      <c r="B58" s="12" t="str">
        <f>IFERROR(__xludf.DUMMYFUNCTION("""COMPUTED_VALUE"""),"Deshpande Priya")</f>
        <v>Deshpande Priya</v>
      </c>
      <c r="C58" s="12" t="str">
        <f>IFERROR(__xludf.DUMMYFUNCTION("""COMPUTED_VALUE"""),"bhalerao.deshpande@gmail.com")</f>
        <v>bhalerao.deshpande@gmail.com</v>
      </c>
      <c r="D58" s="12" t="str">
        <f>IFERROR(__xludf.DUMMYFUNCTION("""COMPUTED_VALUE"""),"Adult")</f>
        <v>Adult</v>
      </c>
      <c r="E58" s="13">
        <f>IF(D58&lt;&gt;"",VLOOKUP(D58,Settings!$G$3:$H$6,2,false),"")</f>
        <v>2300</v>
      </c>
      <c r="F58" s="15" t="str">
        <f>IFERROR(__xludf.DUMMYFUNCTION("""COMPUTED_VALUE"""),"Performer / Coordinator")</f>
        <v>Performer / Coordinator</v>
      </c>
      <c r="G58" s="15" t="str">
        <f>IFERROR(__xludf.DUMMYFUNCTION("""COMPUTED_VALUE"""),"Tatkar Group")</f>
        <v>Tatkar Group</v>
      </c>
      <c r="H58" s="12" t="str">
        <f>IF(G58&lt;&gt;"",VLOOKUP(G58,Settings!$B$4:$C$35,2,false),"")</f>
        <v>Priya Deshpande</v>
      </c>
      <c r="I58" s="12" t="str">
        <f>IFERROR(__xludf.DUMMYFUNCTION("""COMPUTED_VALUE"""),"")</f>
        <v/>
      </c>
      <c r="J58" s="15" t="s">
        <v>241</v>
      </c>
      <c r="K58" s="16"/>
      <c r="L58" s="3"/>
    </row>
    <row r="59">
      <c r="A59" s="17">
        <f t="shared" si="1"/>
        <v>57</v>
      </c>
      <c r="B59" s="12" t="str">
        <f>IFERROR(__xludf.DUMMYFUNCTION("""COMPUTED_VALUE"""),"Deshpande Laasya")</f>
        <v>Deshpande Laasya</v>
      </c>
      <c r="C59" s="12" t="str">
        <f>IFERROR(__xludf.DUMMYFUNCTION("""COMPUTED_VALUE"""),"bhalerao.deshpande@gmail.com")</f>
        <v>bhalerao.deshpande@gmail.com</v>
      </c>
      <c r="D59" s="12" t="str">
        <f>IFERROR(__xludf.DUMMYFUNCTION("""COMPUTED_VALUE"""),"Child")</f>
        <v>Child</v>
      </c>
      <c r="E59" s="13">
        <f>IF(D59&lt;&gt;"",VLOOKUP(D59,Settings!$G$3:$H$6,2,false),"")</f>
        <v>1200</v>
      </c>
      <c r="F59" s="15" t="str">
        <f>IFERROR(__xludf.DUMMYFUNCTION("""COMPUTED_VALUE"""),"Performer")</f>
        <v>Performer</v>
      </c>
      <c r="G59" s="15" t="str">
        <f>IFERROR(__xludf.DUMMYFUNCTION("""COMPUTED_VALUE"""),"Blooming Flowers")</f>
        <v>Blooming Flowers</v>
      </c>
      <c r="H59" s="12" t="str">
        <f>IF(G59&lt;&gt;"",VLOOKUP(G59,Settings!$B$4:$C$35,2,false),"")</f>
        <v>Amita Deshpande</v>
      </c>
      <c r="I59" s="12" t="str">
        <f>IFERROR(__xludf.DUMMYFUNCTION("""COMPUTED_VALUE"""),"")</f>
        <v/>
      </c>
      <c r="J59" s="15" t="s">
        <v>241</v>
      </c>
      <c r="K59" s="16"/>
      <c r="L59" s="3"/>
    </row>
    <row r="60">
      <c r="A60" s="17">
        <f t="shared" si="1"/>
        <v>58</v>
      </c>
      <c r="B60" s="12" t="str">
        <f>IFERROR(__xludf.DUMMYFUNCTION("""COMPUTED_VALUE"""),"Deshpande Abhishek")</f>
        <v>Deshpande Abhishek</v>
      </c>
      <c r="C60" s="12" t="str">
        <f>IFERROR(__xludf.DUMMYFUNCTION("""COMPUTED_VALUE"""),"bhalerao.deshpande@gmail.com")</f>
        <v>bhalerao.deshpande@gmail.com</v>
      </c>
      <c r="D60" s="12" t="str">
        <f>IFERROR(__xludf.DUMMYFUNCTION("""COMPUTED_VALUE"""),"Adult")</f>
        <v>Adult</v>
      </c>
      <c r="E60" s="13">
        <f>IF(D60&lt;&gt;"",VLOOKUP(D60,Settings!$G$3:$H$6,2,false),"")</f>
        <v>2300</v>
      </c>
      <c r="F60" s="15" t="str">
        <f>IFERROR(__xludf.DUMMYFUNCTION("""COMPUTED_VALUE"""),"Relative")</f>
        <v>Relative</v>
      </c>
      <c r="G60" s="15" t="str">
        <f>IFERROR(__xludf.DUMMYFUNCTION("""COMPUTED_VALUE"""),"Blooming Flowers")</f>
        <v>Blooming Flowers</v>
      </c>
      <c r="H60" s="12" t="str">
        <f>IF(G60&lt;&gt;"",VLOOKUP(G60,Settings!$B$4:$C$35,2,false),"")</f>
        <v>Amita Deshpande</v>
      </c>
      <c r="I60" s="12" t="str">
        <f>IFERROR(__xludf.DUMMYFUNCTION("""COMPUTED_VALUE"""),"")</f>
        <v/>
      </c>
      <c r="J60" s="15" t="s">
        <v>241</v>
      </c>
      <c r="K60" s="16"/>
      <c r="L60" s="3"/>
    </row>
    <row r="61">
      <c r="A61" s="17">
        <f t="shared" si="1"/>
        <v>59</v>
      </c>
      <c r="B61" s="12" t="str">
        <f>IFERROR(__xludf.DUMMYFUNCTION("""COMPUTED_VALUE"""),"DHANYA JAYESH")</f>
        <v>DHANYA JAYESH</v>
      </c>
      <c r="C61" s="12" t="str">
        <f>IFERROR(__xludf.DUMMYFUNCTION("""COMPUTED_VALUE"""),"dhanyajayesh01@gmail.com")</f>
        <v>dhanyajayesh01@gmail.com</v>
      </c>
      <c r="D61" s="12" t="str">
        <f>IFERROR(__xludf.DUMMYFUNCTION("""COMPUTED_VALUE"""),"Adult")</f>
        <v>Adult</v>
      </c>
      <c r="E61" s="13">
        <f>IF(D61&lt;&gt;"",VLOOKUP(D61,Settings!$G$3:$H$6,2,false),"")</f>
        <v>2300</v>
      </c>
      <c r="F61" s="15" t="str">
        <f>IFERROR(__xludf.DUMMYFUNCTION("""COMPUTED_VALUE"""),"Coordinator")</f>
        <v>Coordinator</v>
      </c>
      <c r="G61" s="15" t="str">
        <f>IFERROR(__xludf.DUMMYFUNCTION("""COMPUTED_VALUE"""),"Twinkle Toes")</f>
        <v>Twinkle Toes</v>
      </c>
      <c r="H61" s="12" t="str">
        <f>IF(G61&lt;&gt;"",VLOOKUP(G61,Settings!$B$4:$C$35,2,false),"")</f>
        <v>DHANYA.K.G</v>
      </c>
      <c r="I61" s="12" t="str">
        <f>IFERROR(__xludf.DUMMYFUNCTION("""COMPUTED_VALUE"""),"")</f>
        <v/>
      </c>
      <c r="J61" s="15" t="s">
        <v>241</v>
      </c>
      <c r="K61" s="16"/>
      <c r="L61" s="3"/>
    </row>
    <row r="62" hidden="1">
      <c r="A62" s="17">
        <f t="shared" si="1"/>
        <v>60</v>
      </c>
      <c r="B62" s="12" t="str">
        <f>IFERROR(__xludf.DUMMYFUNCTION("""COMPUTED_VALUE"""),"MACIN JOE")</f>
        <v>MACIN JOE</v>
      </c>
      <c r="C62" s="12" t="str">
        <f>IFERROR(__xludf.DUMMYFUNCTION("""COMPUTED_VALUE"""),"dhanyajayesh01@gmail.com")</f>
        <v>dhanyajayesh01@gmail.com</v>
      </c>
      <c r="D62" s="12" t="str">
        <f>IFERROR(__xludf.DUMMYFUNCTION("""COMPUTED_VALUE"""),"Adult")</f>
        <v>Adult</v>
      </c>
      <c r="E62" s="13">
        <f>IF(D62&lt;&gt;"",VLOOKUP(D62,Settings!$G$3:$H$6,2,false),"")</f>
        <v>2300</v>
      </c>
      <c r="F62" s="15" t="str">
        <f>IFERROR(__xludf.DUMMYFUNCTION("""COMPUTED_VALUE"""),"Relative")</f>
        <v>Relative</v>
      </c>
      <c r="G62" s="15" t="str">
        <f>IFERROR(__xludf.DUMMYFUNCTION("""COMPUTED_VALUE"""),"Twinkle Toes")</f>
        <v>Twinkle Toes</v>
      </c>
      <c r="H62" s="12" t="str">
        <f>IF(G62&lt;&gt;"",VLOOKUP(G62,Settings!$B$4:$C$35,2,false),"")</f>
        <v>DHANYA.K.G</v>
      </c>
      <c r="I62" s="12" t="str">
        <f>IFERROR(__xludf.DUMMYFUNCTION("""COMPUTED_VALUE"""),"")</f>
        <v/>
      </c>
      <c r="J62" s="15"/>
      <c r="K62" s="16"/>
      <c r="L62" s="6" t="s">
        <v>592</v>
      </c>
    </row>
    <row r="63" hidden="1">
      <c r="A63" s="17">
        <f t="shared" si="1"/>
        <v>61</v>
      </c>
      <c r="B63" s="12" t="str">
        <f>IFERROR(__xludf.DUMMYFUNCTION("""COMPUTED_VALUE"""),"MANJU SANTOSH")</f>
        <v>MANJU SANTOSH</v>
      </c>
      <c r="C63" s="12" t="str">
        <f>IFERROR(__xludf.DUMMYFUNCTION("""COMPUTED_VALUE"""),"dhanyajayesh01@gmail.com")</f>
        <v>dhanyajayesh01@gmail.com</v>
      </c>
      <c r="D63" s="12" t="str">
        <f>IFERROR(__xludf.DUMMYFUNCTION("""COMPUTED_VALUE"""),"Adult")</f>
        <v>Adult</v>
      </c>
      <c r="E63" s="13">
        <f>IF(D63&lt;&gt;"",VLOOKUP(D63,Settings!$G$3:$H$6,2,false),"")</f>
        <v>2300</v>
      </c>
      <c r="F63" s="15" t="str">
        <f>IFERROR(__xludf.DUMMYFUNCTION("""COMPUTED_VALUE"""),"Relative")</f>
        <v>Relative</v>
      </c>
      <c r="G63" s="15" t="str">
        <f>IFERROR(__xludf.DUMMYFUNCTION("""COMPUTED_VALUE"""),"Twinkle Toes")</f>
        <v>Twinkle Toes</v>
      </c>
      <c r="H63" s="12" t="str">
        <f>IF(G63&lt;&gt;"",VLOOKUP(G63,Settings!$B$4:$C$35,2,false),"")</f>
        <v>DHANYA.K.G</v>
      </c>
      <c r="I63" s="12" t="str">
        <f>IFERROR(__xludf.DUMMYFUNCTION("""COMPUTED_VALUE"""),"")</f>
        <v/>
      </c>
      <c r="J63" s="15"/>
      <c r="K63" s="16"/>
      <c r="L63" s="6" t="s">
        <v>592</v>
      </c>
    </row>
    <row r="64" hidden="1">
      <c r="A64" s="17">
        <f t="shared" si="1"/>
        <v>62</v>
      </c>
      <c r="B64" s="12" t="str">
        <f>IFERROR(__xludf.DUMMYFUNCTION("""COMPUTED_VALUE"""),"SAHAJ")</f>
        <v>SAHAJ</v>
      </c>
      <c r="C64" s="12" t="str">
        <f>IFERROR(__xludf.DUMMYFUNCTION("""COMPUTED_VALUE"""),"dhanyajayesh@gmail.com")</f>
        <v>dhanyajayesh@gmail.com</v>
      </c>
      <c r="D64" s="12" t="str">
        <f>IFERROR(__xludf.DUMMYFUNCTION("""COMPUTED_VALUE"""),"Child")</f>
        <v>Child</v>
      </c>
      <c r="E64" s="13">
        <f>IF(D64&lt;&gt;"",VLOOKUP(D64,Settings!$G$3:$H$6,2,false),"")</f>
        <v>1200</v>
      </c>
      <c r="F64" s="15" t="str">
        <f>IFERROR(__xludf.DUMMYFUNCTION("""COMPUTED_VALUE"""),"Relative")</f>
        <v>Relative</v>
      </c>
      <c r="G64" s="15" t="str">
        <f>IFERROR(__xludf.DUMMYFUNCTION("""COMPUTED_VALUE"""),"Twinkle Toes")</f>
        <v>Twinkle Toes</v>
      </c>
      <c r="H64" s="12" t="str">
        <f>IF(G64&lt;&gt;"",VLOOKUP(G64,Settings!$B$4:$C$35,2,false),"")</f>
        <v>DHANYA.K.G</v>
      </c>
      <c r="I64" s="12" t="str">
        <f>IFERROR(__xludf.DUMMYFUNCTION("""COMPUTED_VALUE"""),"")</f>
        <v/>
      </c>
      <c r="J64" s="15"/>
      <c r="K64" s="16"/>
      <c r="L64" s="6" t="s">
        <v>592</v>
      </c>
    </row>
    <row r="65">
      <c r="A65" s="17">
        <f t="shared" si="1"/>
        <v>63</v>
      </c>
      <c r="B65" s="12" t="str">
        <f>IFERROR(__xludf.DUMMYFUNCTION("""COMPUTED_VALUE"""),"Resmi Joby")</f>
        <v>Resmi Joby</v>
      </c>
      <c r="C65" s="12" t="str">
        <f>IFERROR(__xludf.DUMMYFUNCTION("""COMPUTED_VALUE"""),"resmijoby@gmail.com")</f>
        <v>resmijoby@gmail.com</v>
      </c>
      <c r="D65" s="12" t="str">
        <f>IFERROR(__xludf.DUMMYFUNCTION("""COMPUTED_VALUE"""),"Adult")</f>
        <v>Adult</v>
      </c>
      <c r="E65" s="13">
        <f>IF(D65&lt;&gt;"",VLOOKUP(D65,Settings!$G$3:$H$6,2,false),"")</f>
        <v>2300</v>
      </c>
      <c r="F65" s="15" t="str">
        <f>IFERROR(__xludf.DUMMYFUNCTION("""COMPUTED_VALUE"""),"Coordinator")</f>
        <v>Coordinator</v>
      </c>
      <c r="G65" s="15" t="str">
        <f>IFERROR(__xludf.DUMMYFUNCTION("""COMPUTED_VALUE"""),"Thalam - Brahmari School Of Dance")</f>
        <v>Thalam - Brahmari School Of Dance</v>
      </c>
      <c r="H65" s="12" t="str">
        <f>IF(G65&lt;&gt;"",VLOOKUP(G65,Settings!$B$4:$C$35,2,false),"")</f>
        <v>Resmi Joby</v>
      </c>
      <c r="I65" s="12" t="str">
        <f>IFERROR(__xludf.DUMMYFUNCTION("""COMPUTED_VALUE"""),"")</f>
        <v/>
      </c>
      <c r="J65" s="15"/>
      <c r="K65" s="16"/>
      <c r="L65" s="6"/>
    </row>
    <row r="66">
      <c r="A66" s="17">
        <f t="shared" si="1"/>
        <v>64</v>
      </c>
      <c r="B66" s="12" t="str">
        <f>IFERROR(__xludf.DUMMYFUNCTION("""COMPUTED_VALUE"""),"Pooja Abhilash")</f>
        <v>Pooja Abhilash</v>
      </c>
      <c r="C66" s="12" t="str">
        <f>IFERROR(__xludf.DUMMYFUNCTION("""COMPUTED_VALUE"""),"paru25@gmail.com")</f>
        <v>paru25@gmail.com</v>
      </c>
      <c r="D66" s="12" t="str">
        <f>IFERROR(__xludf.DUMMYFUNCTION("""COMPUTED_VALUE"""),"Child")</f>
        <v>Child</v>
      </c>
      <c r="E66" s="13">
        <f>IF(D66&lt;&gt;"",VLOOKUP(D66,Settings!$G$3:$H$6,2,false),"")</f>
        <v>1200</v>
      </c>
      <c r="F66" s="15" t="str">
        <f>IFERROR(__xludf.DUMMYFUNCTION("""COMPUTED_VALUE"""),"Performer")</f>
        <v>Performer</v>
      </c>
      <c r="G66" s="15" t="str">
        <f>IFERROR(__xludf.DUMMYFUNCTION("""COMPUTED_VALUE"""),"Thalam - Brahmari School Of Dance")</f>
        <v>Thalam - Brahmari School Of Dance</v>
      </c>
      <c r="H66" s="12" t="str">
        <f>IF(G66&lt;&gt;"",VLOOKUP(G66,Settings!$B$4:$C$35,2,false),"")</f>
        <v>Resmi Joby</v>
      </c>
      <c r="I66" s="12" t="str">
        <f>IFERROR(__xludf.DUMMYFUNCTION("""COMPUTED_VALUE"""),"")</f>
        <v/>
      </c>
      <c r="J66" s="15" t="s">
        <v>470</v>
      </c>
      <c r="K66" s="16">
        <v>43401.0</v>
      </c>
      <c r="L66" s="6"/>
    </row>
    <row r="67">
      <c r="A67" s="17">
        <f t="shared" si="1"/>
        <v>65</v>
      </c>
      <c r="B67" s="12" t="str">
        <f>IFERROR(__xludf.DUMMYFUNCTION("""COMPUTED_VALUE"""),"Abhilash Radhakrishnan")</f>
        <v>Abhilash Radhakrishnan</v>
      </c>
      <c r="C67" s="12" t="str">
        <f>IFERROR(__xludf.DUMMYFUNCTION("""COMPUTED_VALUE"""),"paru25@gmail.com")</f>
        <v>paru25@gmail.com</v>
      </c>
      <c r="D67" s="12" t="str">
        <f>IFERROR(__xludf.DUMMYFUNCTION("""COMPUTED_VALUE"""),"Adult")</f>
        <v>Adult</v>
      </c>
      <c r="E67" s="13">
        <f>IF(D67&lt;&gt;"",VLOOKUP(D67,Settings!$G$3:$H$6,2,false),"")</f>
        <v>2300</v>
      </c>
      <c r="F67" s="15" t="str">
        <f>IFERROR(__xludf.DUMMYFUNCTION("""COMPUTED_VALUE"""),"Relative")</f>
        <v>Relative</v>
      </c>
      <c r="G67" s="15" t="str">
        <f>IFERROR(__xludf.DUMMYFUNCTION("""COMPUTED_VALUE"""),"Thalam - Brahmari School Of Dance")</f>
        <v>Thalam - Brahmari School Of Dance</v>
      </c>
      <c r="H67" s="12" t="str">
        <f>IF(G67&lt;&gt;"",VLOOKUP(G67,Settings!$B$4:$C$35,2,false),"")</f>
        <v>Resmi Joby</v>
      </c>
      <c r="I67" s="12" t="str">
        <f>IFERROR(__xludf.DUMMYFUNCTION("""COMPUTED_VALUE"""),"")</f>
        <v/>
      </c>
      <c r="J67" s="15" t="s">
        <v>470</v>
      </c>
      <c r="K67" s="16">
        <v>43401.0</v>
      </c>
      <c r="L67" s="3"/>
    </row>
    <row r="68" hidden="1">
      <c r="A68" s="17">
        <f t="shared" si="1"/>
        <v>66</v>
      </c>
      <c r="B68" s="12" t="str">
        <f>IFERROR(__xludf.DUMMYFUNCTION("""COMPUTED_VALUE"""),"SIDDHI")</f>
        <v>SIDDHI</v>
      </c>
      <c r="C68" s="12" t="str">
        <f>IFERROR(__xludf.DUMMYFUNCTION("""COMPUTED_VALUE"""),"dhanyajayesh01@gmail.com")</f>
        <v>dhanyajayesh01@gmail.com</v>
      </c>
      <c r="D68" s="12" t="str">
        <f>IFERROR(__xludf.DUMMYFUNCTION("""COMPUTED_VALUE"""),"Child")</f>
        <v>Child</v>
      </c>
      <c r="E68" s="13">
        <f>IF(D68&lt;&gt;"",VLOOKUP(D68,Settings!$G$3:$H$6,2,false),"")</f>
        <v>1200</v>
      </c>
      <c r="F68" s="15" t="str">
        <f>IFERROR(__xludf.DUMMYFUNCTION("""COMPUTED_VALUE"""),"Performer")</f>
        <v>Performer</v>
      </c>
      <c r="G68" s="15" t="str">
        <f>IFERROR(__xludf.DUMMYFUNCTION("""COMPUTED_VALUE"""),"Twinkle Toes")</f>
        <v>Twinkle Toes</v>
      </c>
      <c r="H68" s="12" t="str">
        <f>IF(G68&lt;&gt;"",VLOOKUP(G68,Settings!$B$4:$C$35,2,false),"")</f>
        <v>DHANYA.K.G</v>
      </c>
      <c r="I68" s="12" t="str">
        <f>IFERROR(__xludf.DUMMYFUNCTION("""COMPUTED_VALUE"""),"")</f>
        <v/>
      </c>
      <c r="J68" s="15"/>
      <c r="K68" s="16"/>
      <c r="L68" s="60" t="s">
        <v>592</v>
      </c>
    </row>
    <row r="69">
      <c r="A69" s="17">
        <f t="shared" si="1"/>
        <v>67</v>
      </c>
      <c r="B69" s="12" t="str">
        <f>IFERROR(__xludf.DUMMYFUNCTION("""COMPUTED_VALUE"""),"Nigi Tiby")</f>
        <v>Nigi Tiby</v>
      </c>
      <c r="C69" s="12" t="str">
        <f>IFERROR(__xludf.DUMMYFUNCTION("""COMPUTED_VALUE"""),"nigigibson@gmail.com")</f>
        <v>nigigibson@gmail.com</v>
      </c>
      <c r="D69" s="12" t="str">
        <f>IFERROR(__xludf.DUMMYFUNCTION("""COMPUTED_VALUE"""),"Adult")</f>
        <v>Adult</v>
      </c>
      <c r="E69" s="13">
        <f>IF(D69&lt;&gt;"",VLOOKUP(D69,Settings!$G$3:$H$6,2,false),"")</f>
        <v>2300</v>
      </c>
      <c r="F69" s="15" t="str">
        <f>IFERROR(__xludf.DUMMYFUNCTION("""COMPUTED_VALUE"""),"Performer")</f>
        <v>Performer</v>
      </c>
      <c r="G69" s="15" t="str">
        <f>IFERROR(__xludf.DUMMYFUNCTION("""COMPUTED_VALUE"""),"Shiva")</f>
        <v>Shiva</v>
      </c>
      <c r="H69" s="12" t="str">
        <f>IF(G69&lt;&gt;"",VLOOKUP(G69,Settings!$B$4:$C$35,2,false),"")</f>
        <v>Sandhya Jan</v>
      </c>
      <c r="I69" s="12" t="str">
        <f>IFERROR(__xludf.DUMMYFUNCTION("""COMPUTED_VALUE"""),"")</f>
        <v/>
      </c>
      <c r="J69" s="15" t="s">
        <v>129</v>
      </c>
      <c r="K69" s="16">
        <v>43399.0</v>
      </c>
      <c r="L69" s="3"/>
    </row>
    <row r="70">
      <c r="A70" s="17">
        <f t="shared" si="1"/>
        <v>68</v>
      </c>
      <c r="B70" s="12" t="str">
        <f>IFERROR(__xludf.DUMMYFUNCTION("""COMPUTED_VALUE"""),"Samanvita kanchinadam")</f>
        <v>Samanvita kanchinadam</v>
      </c>
      <c r="C70" s="12" t="str">
        <f>IFERROR(__xludf.DUMMYFUNCTION("""COMPUTED_VALUE"""),"srilu.sammu@gmail.com")</f>
        <v>srilu.sammu@gmail.com</v>
      </c>
      <c r="D70" s="12" t="str">
        <f>IFERROR(__xludf.DUMMYFUNCTION("""COMPUTED_VALUE"""),"Child")</f>
        <v>Child</v>
      </c>
      <c r="E70" s="13">
        <f>IF(D70&lt;&gt;"",VLOOKUP(D70,Settings!$G$3:$H$6,2,false),"")</f>
        <v>1200</v>
      </c>
      <c r="F70" s="15" t="str">
        <f>IFERROR(__xludf.DUMMYFUNCTION("""COMPUTED_VALUE"""),"Performer")</f>
        <v>Performer</v>
      </c>
      <c r="G70" s="15" t="str">
        <f>IFERROR(__xludf.DUMMYFUNCTION("""COMPUTED_VALUE"""),"Thapasya - Brahmari School Of Dance")</f>
        <v>Thapasya - Brahmari School Of Dance</v>
      </c>
      <c r="H70" s="12" t="str">
        <f>IF(G70&lt;&gt;"",VLOOKUP(G70,Settings!$B$4:$C$35,2,false),"")</f>
        <v>Resmi Joby</v>
      </c>
      <c r="I70" s="12" t="str">
        <f>IFERROR(__xludf.DUMMYFUNCTION("""COMPUTED_VALUE"""),"")</f>
        <v/>
      </c>
      <c r="J70" s="15" t="s">
        <v>470</v>
      </c>
      <c r="K70" s="16">
        <v>43401.0</v>
      </c>
      <c r="L70" s="3"/>
    </row>
    <row r="71">
      <c r="A71" s="17">
        <f t="shared" si="1"/>
        <v>69</v>
      </c>
      <c r="B71" s="12" t="str">
        <f>IFERROR(__xludf.DUMMYFUNCTION("""COMPUTED_VALUE"""),"Srilakshmi kanchinadam")</f>
        <v>Srilakshmi kanchinadam</v>
      </c>
      <c r="C71" s="12" t="str">
        <f>IFERROR(__xludf.DUMMYFUNCTION("""COMPUTED_VALUE"""),"srilu.sammu@gmail.com")</f>
        <v>srilu.sammu@gmail.com</v>
      </c>
      <c r="D71" s="12" t="str">
        <f>IFERROR(__xludf.DUMMYFUNCTION("""COMPUTED_VALUE"""),"Adult")</f>
        <v>Adult</v>
      </c>
      <c r="E71" s="13">
        <f>IF(D71&lt;&gt;"",VLOOKUP(D71,Settings!$G$3:$H$6,2,false),"")</f>
        <v>2300</v>
      </c>
      <c r="F71" s="15" t="str">
        <f>IFERROR(__xludf.DUMMYFUNCTION("""COMPUTED_VALUE"""),"Relative")</f>
        <v>Relative</v>
      </c>
      <c r="G71" s="15" t="str">
        <f>IFERROR(__xludf.DUMMYFUNCTION("""COMPUTED_VALUE"""),"Thapasya - Brahmari School Of Dance")</f>
        <v>Thapasya - Brahmari School Of Dance</v>
      </c>
      <c r="H71" s="12" t="str">
        <f>IF(G71&lt;&gt;"",VLOOKUP(G71,Settings!$B$4:$C$35,2,false),"")</f>
        <v>Resmi Joby</v>
      </c>
      <c r="I71" s="12" t="str">
        <f>IFERROR(__xludf.DUMMYFUNCTION("""COMPUTED_VALUE"""),"")</f>
        <v/>
      </c>
      <c r="J71" s="15" t="s">
        <v>470</v>
      </c>
      <c r="K71" s="16">
        <v>43401.0</v>
      </c>
      <c r="L71" s="3"/>
    </row>
    <row r="72">
      <c r="A72" s="17">
        <f t="shared" si="1"/>
        <v>70</v>
      </c>
      <c r="B72" s="12" t="str">
        <f>IFERROR(__xludf.DUMMYFUNCTION("""COMPUTED_VALUE"""),"Sangeethaprasanth ")</f>
        <v>Sangeethaprasanth </v>
      </c>
      <c r="C72" s="12" t="str">
        <f>IFERROR(__xludf.DUMMYFUNCTION("""COMPUTED_VALUE"""),"sangu.prasanth@gmail.com")</f>
        <v>sangu.prasanth@gmail.com</v>
      </c>
      <c r="D72" s="12" t="str">
        <f>IFERROR(__xludf.DUMMYFUNCTION("""COMPUTED_VALUE"""),"Adult")</f>
        <v>Adult</v>
      </c>
      <c r="E72" s="13">
        <f>IF(D72&lt;&gt;"",VLOOKUP(D72,Settings!$G$3:$H$6,2,false),"")</f>
        <v>2300</v>
      </c>
      <c r="F72" s="15" t="str">
        <f>IFERROR(__xludf.DUMMYFUNCTION("""COMPUTED_VALUE"""),"Relative")</f>
        <v>Relative</v>
      </c>
      <c r="G72" s="15" t="str">
        <f>IFERROR(__xludf.DUMMYFUNCTION("""COMPUTED_VALUE"""),"Shiva")</f>
        <v>Shiva</v>
      </c>
      <c r="H72" s="12" t="str">
        <f>IF(G72&lt;&gt;"",VLOOKUP(G72,Settings!$B$4:$C$35,2,false),"")</f>
        <v>Sandhya Jan</v>
      </c>
      <c r="I72" s="12" t="str">
        <f>IFERROR(__xludf.DUMMYFUNCTION("""COMPUTED_VALUE"""),"")</f>
        <v/>
      </c>
      <c r="J72" s="15" t="s">
        <v>129</v>
      </c>
      <c r="K72" s="16">
        <v>43399.0</v>
      </c>
      <c r="L72" s="3"/>
    </row>
    <row r="73">
      <c r="A73" s="17">
        <f t="shared" si="1"/>
        <v>71</v>
      </c>
      <c r="B73" s="12" t="str">
        <f>IFERROR(__xludf.DUMMYFUNCTION("""COMPUTED_VALUE"""),"Venkata ramana kanchinadam")</f>
        <v>Venkata ramana kanchinadam</v>
      </c>
      <c r="C73" s="12" t="str">
        <f>IFERROR(__xludf.DUMMYFUNCTION("""COMPUTED_VALUE"""),"srilu.sammu@gmail.com")</f>
        <v>srilu.sammu@gmail.com</v>
      </c>
      <c r="D73" s="12" t="str">
        <f>IFERROR(__xludf.DUMMYFUNCTION("""COMPUTED_VALUE"""),"Adult")</f>
        <v>Adult</v>
      </c>
      <c r="E73" s="13">
        <f>IF(D73&lt;&gt;"",VLOOKUP(D73,Settings!$G$3:$H$6,2,false),"")</f>
        <v>2300</v>
      </c>
      <c r="F73" s="15" t="str">
        <f>IFERROR(__xludf.DUMMYFUNCTION("""COMPUTED_VALUE"""),"Relative")</f>
        <v>Relative</v>
      </c>
      <c r="G73" s="15" t="str">
        <f>IFERROR(__xludf.DUMMYFUNCTION("""COMPUTED_VALUE"""),"Thapasya - Brahmari School Of Dance")</f>
        <v>Thapasya - Brahmari School Of Dance</v>
      </c>
      <c r="H73" s="12" t="str">
        <f>IF(G73&lt;&gt;"",VLOOKUP(G73,Settings!$B$4:$C$35,2,false),"")</f>
        <v>Resmi Joby</v>
      </c>
      <c r="I73" s="12" t="str">
        <f>IFERROR(__xludf.DUMMYFUNCTION("""COMPUTED_VALUE"""),"")</f>
        <v/>
      </c>
      <c r="J73" s="15" t="s">
        <v>470</v>
      </c>
      <c r="K73" s="16">
        <v>43401.0</v>
      </c>
      <c r="L73" s="3"/>
    </row>
    <row r="74">
      <c r="A74" s="17">
        <f t="shared" si="1"/>
        <v>72</v>
      </c>
      <c r="B74" s="12" t="str">
        <f>IFERROR(__xludf.DUMMYFUNCTION("""COMPUTED_VALUE"""),"Sauhitya kanchinadam")</f>
        <v>Sauhitya kanchinadam</v>
      </c>
      <c r="C74" s="12" t="str">
        <f>IFERROR(__xludf.DUMMYFUNCTION("""COMPUTED_VALUE"""),"srilu.sammu@gmail.com")</f>
        <v>srilu.sammu@gmail.com</v>
      </c>
      <c r="D74" s="12" t="str">
        <f>IFERROR(__xludf.DUMMYFUNCTION("""COMPUTED_VALUE"""),"Child")</f>
        <v>Child</v>
      </c>
      <c r="E74" s="13">
        <f>IF(D74&lt;&gt;"",VLOOKUP(D74,Settings!$G$3:$H$6,2,false),"")</f>
        <v>1200</v>
      </c>
      <c r="F74" s="15" t="str">
        <f>IFERROR(__xludf.DUMMYFUNCTION("""COMPUTED_VALUE"""),"Relative")</f>
        <v>Relative</v>
      </c>
      <c r="G74" s="15" t="str">
        <f>IFERROR(__xludf.DUMMYFUNCTION("""COMPUTED_VALUE"""),"Thapasya - Brahmari School Of Dance")</f>
        <v>Thapasya - Brahmari School Of Dance</v>
      </c>
      <c r="H74" s="12" t="str">
        <f>IF(G74&lt;&gt;"",VLOOKUP(G74,Settings!$B$4:$C$35,2,false),"")</f>
        <v>Resmi Joby</v>
      </c>
      <c r="I74" s="12" t="str">
        <f>IFERROR(__xludf.DUMMYFUNCTION("""COMPUTED_VALUE"""),"")</f>
        <v/>
      </c>
      <c r="J74" s="15" t="s">
        <v>470</v>
      </c>
      <c r="K74" s="16">
        <v>43401.0</v>
      </c>
      <c r="L74" s="3"/>
    </row>
    <row r="75">
      <c r="A75" s="17">
        <f t="shared" si="1"/>
        <v>73</v>
      </c>
      <c r="B75" s="12" t="str">
        <f>IFERROR(__xludf.DUMMYFUNCTION("""COMPUTED_VALUE"""),"Sripujitha polisetti ")</f>
        <v>Sripujitha polisetti </v>
      </c>
      <c r="C75" s="12" t="str">
        <f>IFERROR(__xludf.DUMMYFUNCTION("""COMPUTED_VALUE"""),"kalpanapoojitha@gmail.com")</f>
        <v>kalpanapoojitha@gmail.com</v>
      </c>
      <c r="D75" s="12" t="str">
        <f>IFERROR(__xludf.DUMMYFUNCTION("""COMPUTED_VALUE"""),"Child")</f>
        <v>Child</v>
      </c>
      <c r="E75" s="13">
        <f>IF(D75&lt;&gt;"",VLOOKUP(D75,Settings!$G$3:$H$6,2,false),"")</f>
        <v>1200</v>
      </c>
      <c r="F75" s="15" t="str">
        <f>IFERROR(__xludf.DUMMYFUNCTION("""COMPUTED_VALUE"""),"Performer")</f>
        <v>Performer</v>
      </c>
      <c r="G75" s="15" t="str">
        <f>IFERROR(__xludf.DUMMYFUNCTION("""COMPUTED_VALUE"""),"Classical Mermaids")</f>
        <v>Classical Mermaids</v>
      </c>
      <c r="H75" s="12" t="str">
        <f>IF(G75&lt;&gt;"",VLOOKUP(G75,Settings!$B$4:$C$35,2,false),"")</f>
        <v>Preetha</v>
      </c>
      <c r="I75" s="12" t="str">
        <f>IFERROR(__xludf.DUMMYFUNCTION("""COMPUTED_VALUE"""),"")</f>
        <v/>
      </c>
      <c r="J75" s="15" t="s">
        <v>470</v>
      </c>
      <c r="K75" s="16">
        <v>43401.0</v>
      </c>
      <c r="L75" s="3"/>
    </row>
    <row r="76">
      <c r="A76" s="17">
        <f t="shared" si="1"/>
        <v>74</v>
      </c>
      <c r="B76" s="12" t="str">
        <f>IFERROR(__xludf.DUMMYFUNCTION("""COMPUTED_VALUE"""),"Jaisakthi chandrakumar")</f>
        <v>Jaisakthi chandrakumar</v>
      </c>
      <c r="C76" s="12" t="str">
        <f>IFERROR(__xludf.DUMMYFUNCTION("""COMPUTED_VALUE"""),"jaiambichan@gmail.com")</f>
        <v>jaiambichan@gmail.com</v>
      </c>
      <c r="D76" s="12" t="str">
        <f>IFERROR(__xludf.DUMMYFUNCTION("""COMPUTED_VALUE"""),"Child")</f>
        <v>Child</v>
      </c>
      <c r="E76" s="13">
        <f>IF(D76&lt;&gt;"",VLOOKUP(D76,Settings!$G$3:$H$6,2,false),"")</f>
        <v>1200</v>
      </c>
      <c r="F76" s="15" t="str">
        <f>IFERROR(__xludf.DUMMYFUNCTION("""COMPUTED_VALUE"""),"Performer")</f>
        <v>Performer</v>
      </c>
      <c r="G76" s="15" t="str">
        <f>IFERROR(__xludf.DUMMYFUNCTION("""COMPUTED_VALUE"""),"Thalam - Brahmari School Of Dance")</f>
        <v>Thalam - Brahmari School Of Dance</v>
      </c>
      <c r="H76" s="12" t="str">
        <f>IF(G76&lt;&gt;"",VLOOKUP(G76,Settings!$B$4:$C$35,2,false),"")</f>
        <v>Resmi Joby</v>
      </c>
      <c r="I76" s="12" t="str">
        <f>IFERROR(__xludf.DUMMYFUNCTION("""COMPUTED_VALUE"""),"")</f>
        <v/>
      </c>
      <c r="J76" s="15" t="s">
        <v>470</v>
      </c>
      <c r="K76" s="16">
        <v>43401.0</v>
      </c>
      <c r="L76" s="3"/>
    </row>
    <row r="77">
      <c r="A77" s="17">
        <f t="shared" si="1"/>
        <v>75</v>
      </c>
      <c r="B77" s="12" t="str">
        <f>IFERROR(__xludf.DUMMYFUNCTION("""COMPUTED_VALUE"""),"Kalpana Polisetti ")</f>
        <v>Kalpana Polisetti </v>
      </c>
      <c r="C77" s="12" t="str">
        <f>IFERROR(__xludf.DUMMYFUNCTION("""COMPUTED_VALUE"""),"kalpanapoojitha@gmail.com")</f>
        <v>kalpanapoojitha@gmail.com</v>
      </c>
      <c r="D77" s="12" t="str">
        <f>IFERROR(__xludf.DUMMYFUNCTION("""COMPUTED_VALUE"""),"Adult")</f>
        <v>Adult</v>
      </c>
      <c r="E77" s="13">
        <f>IF(D77&lt;&gt;"",VLOOKUP(D77,Settings!$G$3:$H$6,2,false),"")</f>
        <v>2300</v>
      </c>
      <c r="F77" s="15" t="str">
        <f>IFERROR(__xludf.DUMMYFUNCTION("""COMPUTED_VALUE"""),"Relative")</f>
        <v>Relative</v>
      </c>
      <c r="G77" s="15" t="str">
        <f>IFERROR(__xludf.DUMMYFUNCTION("""COMPUTED_VALUE"""),"Classical Mermaids")</f>
        <v>Classical Mermaids</v>
      </c>
      <c r="H77" s="12" t="str">
        <f>IF(G77&lt;&gt;"",VLOOKUP(G77,Settings!$B$4:$C$35,2,false),"")</f>
        <v>Preetha</v>
      </c>
      <c r="I77" s="12" t="str">
        <f>IFERROR(__xludf.DUMMYFUNCTION("""COMPUTED_VALUE"""),"")</f>
        <v/>
      </c>
      <c r="J77" s="15" t="s">
        <v>470</v>
      </c>
      <c r="K77" s="16">
        <v>43401.0</v>
      </c>
      <c r="L77" s="3"/>
    </row>
    <row r="78">
      <c r="A78" s="17">
        <f t="shared" si="1"/>
        <v>76</v>
      </c>
      <c r="B78" s="12" t="str">
        <f>IFERROR(__xludf.DUMMYFUNCTION("""COMPUTED_VALUE"""),"Nayak Rajshree")</f>
        <v>Nayak Rajshree</v>
      </c>
      <c r="C78" s="12" t="str">
        <f>IFERROR(__xludf.DUMMYFUNCTION("""COMPUTED_VALUE"""),"rajshreelinu@gmail.com")</f>
        <v>rajshreelinu@gmail.com</v>
      </c>
      <c r="D78" s="12" t="str">
        <f>IFERROR(__xludf.DUMMYFUNCTION("""COMPUTED_VALUE"""),"Adult")</f>
        <v>Adult</v>
      </c>
      <c r="E78" s="13">
        <f>IF(D78&lt;&gt;"",VLOOKUP(D78,Settings!$G$3:$H$6,2,false),"")</f>
        <v>2300</v>
      </c>
      <c r="F78" s="15" t="str">
        <f>IFERROR(__xludf.DUMMYFUNCTION("""COMPUTED_VALUE"""),"Performer")</f>
        <v>Performer</v>
      </c>
      <c r="G78" s="15" t="str">
        <f>IFERROR(__xludf.DUMMYFUNCTION("""COMPUTED_VALUE"""),"The Dazzling Divas")</f>
        <v>The Dazzling Divas</v>
      </c>
      <c r="H78" s="12" t="str">
        <f>IF(G78&lt;&gt;"",VLOOKUP(G78,Settings!$B$4:$C$35,2,false),"")</f>
        <v>Mousumi Moharana</v>
      </c>
      <c r="I78" s="12" t="str">
        <f>IFERROR(__xludf.DUMMYFUNCTION("""COMPUTED_VALUE"""),"")</f>
        <v/>
      </c>
      <c r="J78" s="15" t="s">
        <v>470</v>
      </c>
      <c r="K78" s="16">
        <v>43399.0</v>
      </c>
      <c r="L78" s="3"/>
    </row>
    <row r="79">
      <c r="A79" s="17">
        <f t="shared" si="1"/>
        <v>77</v>
      </c>
      <c r="B79" s="12" t="str">
        <f>IFERROR(__xludf.DUMMYFUNCTION("""COMPUTED_VALUE"""),"Chandran Chaithanya")</f>
        <v>Chandran Chaithanya</v>
      </c>
      <c r="C79" s="12" t="str">
        <f>IFERROR(__xludf.DUMMYFUNCTION("""COMPUTED_VALUE"""),"chaithanyamenon@gmail.com")</f>
        <v>chaithanyamenon@gmail.com</v>
      </c>
      <c r="D79" s="12" t="str">
        <f>IFERROR(__xludf.DUMMYFUNCTION("""COMPUTED_VALUE"""),"Adult")</f>
        <v>Adult</v>
      </c>
      <c r="E79" s="13">
        <f>IF(D79&lt;&gt;"",VLOOKUP(D79,Settings!$G$3:$H$6,2,false),"")</f>
        <v>2300</v>
      </c>
      <c r="F79" s="15" t="str">
        <f>IFERROR(__xludf.DUMMYFUNCTION("""COMPUTED_VALUE"""),"Performer")</f>
        <v>Performer</v>
      </c>
      <c r="G79" s="15" t="str">
        <f>IFERROR(__xludf.DUMMYFUNCTION("""COMPUTED_VALUE"""),"Sparkle Queens")</f>
        <v>Sparkle Queens</v>
      </c>
      <c r="H79" s="12" t="str">
        <f>IF(G79&lt;&gt;"",VLOOKUP(G79,Settings!$B$4:$C$35,2,false),"")</f>
        <v>Vidya Bhole</v>
      </c>
      <c r="I79" s="12" t="str">
        <f>IFERROR(__xludf.DUMMYFUNCTION("""COMPUTED_VALUE"""),"")</f>
        <v/>
      </c>
      <c r="J79" s="15" t="s">
        <v>241</v>
      </c>
      <c r="K79" s="103"/>
      <c r="L79" s="3"/>
    </row>
    <row r="80">
      <c r="A80" s="17">
        <f t="shared" si="1"/>
        <v>78</v>
      </c>
      <c r="B80" s="12" t="str">
        <f>IFERROR(__xludf.DUMMYFUNCTION("""COMPUTED_VALUE"""),"MACIN JOE")</f>
        <v>MACIN JOE</v>
      </c>
      <c r="C80" s="12" t="str">
        <f>IFERROR(__xludf.DUMMYFUNCTION("""COMPUTED_VALUE"""),"macinannphilip@gmail.com")</f>
        <v>macinannphilip@gmail.com</v>
      </c>
      <c r="D80" s="12" t="str">
        <f>IFERROR(__xludf.DUMMYFUNCTION("""COMPUTED_VALUE"""),"Adult")</f>
        <v>Adult</v>
      </c>
      <c r="E80" s="13">
        <f>IF(D80&lt;&gt;"",VLOOKUP(D80,Settings!$G$3:$H$6,2,false),"")</f>
        <v>2300</v>
      </c>
      <c r="F80" s="15" t="str">
        <f>IFERROR(__xludf.DUMMYFUNCTION("""COMPUTED_VALUE"""),"Relative")</f>
        <v>Relative</v>
      </c>
      <c r="G80" s="15" t="str">
        <f>IFERROR(__xludf.DUMMYFUNCTION("""COMPUTED_VALUE"""),"Twinkle Toes")</f>
        <v>Twinkle Toes</v>
      </c>
      <c r="H80" s="12" t="str">
        <f>IF(G80&lt;&gt;"",VLOOKUP(G80,Settings!$B$4:$C$35,2,false),"")</f>
        <v>DHANYA.K.G</v>
      </c>
      <c r="I80" s="12" t="str">
        <f>IFERROR(__xludf.DUMMYFUNCTION("""COMPUTED_VALUE"""),"")</f>
        <v/>
      </c>
      <c r="J80" s="15" t="s">
        <v>241</v>
      </c>
      <c r="K80" s="103"/>
      <c r="L80" s="3"/>
    </row>
    <row r="81">
      <c r="A81" s="17">
        <f t="shared" si="1"/>
        <v>79</v>
      </c>
      <c r="B81" s="12" t="str">
        <f>IFERROR(__xludf.DUMMYFUNCTION("""COMPUTED_VALUE"""),"SANA MARY JOE")</f>
        <v>SANA MARY JOE</v>
      </c>
      <c r="C81" s="12" t="str">
        <f>IFERROR(__xludf.DUMMYFUNCTION("""COMPUTED_VALUE"""),"macinannphilip@gmail.com")</f>
        <v>macinannphilip@gmail.com</v>
      </c>
      <c r="D81" s="12" t="str">
        <f>IFERROR(__xludf.DUMMYFUNCTION("""COMPUTED_VALUE"""),"Child")</f>
        <v>Child</v>
      </c>
      <c r="E81" s="13">
        <f>IF(D81&lt;&gt;"",VLOOKUP(D81,Settings!$G$3:$H$6,2,false),"")</f>
        <v>1200</v>
      </c>
      <c r="F81" s="15" t="str">
        <f>IFERROR(__xludf.DUMMYFUNCTION("""COMPUTED_VALUE"""),"Performer")</f>
        <v>Performer</v>
      </c>
      <c r="G81" s="15" t="str">
        <f>IFERROR(__xludf.DUMMYFUNCTION("""COMPUTED_VALUE"""),"Twinkle Toes")</f>
        <v>Twinkle Toes</v>
      </c>
      <c r="H81" s="12" t="str">
        <f>IF(G81&lt;&gt;"",VLOOKUP(G81,Settings!$B$4:$C$35,2,false),"")</f>
        <v>DHANYA.K.G</v>
      </c>
      <c r="I81" s="12" t="str">
        <f>IFERROR(__xludf.DUMMYFUNCTION("""COMPUTED_VALUE"""),"")</f>
        <v/>
      </c>
      <c r="J81" s="15" t="s">
        <v>241</v>
      </c>
      <c r="K81" s="12"/>
      <c r="L81" s="3"/>
    </row>
    <row r="82">
      <c r="A82" s="17">
        <f t="shared" si="1"/>
        <v>80</v>
      </c>
      <c r="B82" s="12" t="str">
        <f>IFERROR(__xludf.DUMMYFUNCTION("""COMPUTED_VALUE"""),"ADITI")</f>
        <v>ADITI</v>
      </c>
      <c r="C82" s="12" t="str">
        <f>IFERROR(__xludf.DUMMYFUNCTION("""COMPUTED_VALUE"""),"sapanapaudel@gmail.com")</f>
        <v>sapanapaudel@gmail.com</v>
      </c>
      <c r="D82" s="12" t="str">
        <f>IFERROR(__xludf.DUMMYFUNCTION("""COMPUTED_VALUE"""),"Child")</f>
        <v>Child</v>
      </c>
      <c r="E82" s="13">
        <f>IF(D82&lt;&gt;"",VLOOKUP(D82,Settings!$G$3:$H$6,2,false),"")</f>
        <v>1200</v>
      </c>
      <c r="F82" s="15" t="str">
        <f>IFERROR(__xludf.DUMMYFUNCTION("""COMPUTED_VALUE"""),"Performer")</f>
        <v>Performer</v>
      </c>
      <c r="G82" s="15" t="str">
        <f>IFERROR(__xludf.DUMMYFUNCTION("""COMPUTED_VALUE"""),"Twinkle Toes")</f>
        <v>Twinkle Toes</v>
      </c>
      <c r="H82" s="12" t="str">
        <f>IF(G82&lt;&gt;"",VLOOKUP(G82,Settings!$B$4:$C$35,2,false),"")</f>
        <v>DHANYA.K.G</v>
      </c>
      <c r="I82" s="12" t="str">
        <f>IFERROR(__xludf.DUMMYFUNCTION("""COMPUTED_VALUE"""),"")</f>
        <v/>
      </c>
      <c r="J82" s="15" t="s">
        <v>241</v>
      </c>
      <c r="K82" s="12"/>
      <c r="L82" s="3"/>
    </row>
    <row r="83">
      <c r="A83" s="17">
        <f t="shared" si="1"/>
        <v>81</v>
      </c>
      <c r="B83" s="12" t="str">
        <f>IFERROR(__xludf.DUMMYFUNCTION("""COMPUTED_VALUE"""),"SIDDHI")</f>
        <v>SIDDHI</v>
      </c>
      <c r="C83" s="12" t="str">
        <f>IFERROR(__xludf.DUMMYFUNCTION("""COMPUTED_VALUE"""),"priya.shelar@gmail.com")</f>
        <v>priya.shelar@gmail.com</v>
      </c>
      <c r="D83" s="12" t="str">
        <f>IFERROR(__xludf.DUMMYFUNCTION("""COMPUTED_VALUE"""),"Child")</f>
        <v>Child</v>
      </c>
      <c r="E83" s="13">
        <f>IF(D83&lt;&gt;"",VLOOKUP(D83,Settings!$G$3:$H$6,2,false),"")</f>
        <v>1200</v>
      </c>
      <c r="F83" s="15" t="str">
        <f>IFERROR(__xludf.DUMMYFUNCTION("""COMPUTED_VALUE"""),"Performer")</f>
        <v>Performer</v>
      </c>
      <c r="G83" s="15" t="str">
        <f>IFERROR(__xludf.DUMMYFUNCTION("""COMPUTED_VALUE"""),"Twinkle Toes")</f>
        <v>Twinkle Toes</v>
      </c>
      <c r="H83" s="12" t="str">
        <f>IF(G83&lt;&gt;"",VLOOKUP(G83,Settings!$B$4:$C$35,2,false),"")</f>
        <v>DHANYA.K.G</v>
      </c>
      <c r="I83" s="12" t="str">
        <f>IFERROR(__xludf.DUMMYFUNCTION("""COMPUTED_VALUE"""),"")</f>
        <v/>
      </c>
      <c r="J83" s="15" t="s">
        <v>241</v>
      </c>
      <c r="K83" s="103"/>
      <c r="L83" s="3"/>
    </row>
    <row r="84">
      <c r="A84" s="17">
        <f t="shared" si="1"/>
        <v>82</v>
      </c>
      <c r="B84" s="12" t="str">
        <f>IFERROR(__xludf.DUMMYFUNCTION("""COMPUTED_VALUE"""),"JAYAN ASWATHY ")</f>
        <v>JAYAN ASWATHY </v>
      </c>
      <c r="C84" s="12" t="str">
        <f>IFERROR(__xludf.DUMMYFUNCTION("""COMPUTED_VALUE"""),"aswathyjayan9@gmail.com")</f>
        <v>aswathyjayan9@gmail.com</v>
      </c>
      <c r="D84" s="12" t="str">
        <f>IFERROR(__xludf.DUMMYFUNCTION("""COMPUTED_VALUE"""),"Adult")</f>
        <v>Adult</v>
      </c>
      <c r="E84" s="13">
        <f>IF(D84&lt;&gt;"",VLOOKUP(D84,Settings!$G$3:$H$6,2,false),"")</f>
        <v>2300</v>
      </c>
      <c r="F84" s="15" t="str">
        <f>IFERROR(__xludf.DUMMYFUNCTION("""COMPUTED_VALUE"""),"Performer")</f>
        <v>Performer</v>
      </c>
      <c r="G84" s="15" t="str">
        <f>IFERROR(__xludf.DUMMYFUNCTION("""COMPUTED_VALUE"""),"Sparkle Queens")</f>
        <v>Sparkle Queens</v>
      </c>
      <c r="H84" s="12" t="str">
        <f>IF(G84&lt;&gt;"",VLOOKUP(G84,Settings!$B$4:$C$35,2,false),"")</f>
        <v>Vidya Bhole</v>
      </c>
      <c r="I84" s="12" t="str">
        <f>IFERROR(__xludf.DUMMYFUNCTION("""COMPUTED_VALUE"""),"")</f>
        <v/>
      </c>
      <c r="J84" s="15" t="s">
        <v>241</v>
      </c>
      <c r="K84" s="12"/>
      <c r="L84" s="3"/>
    </row>
    <row r="85" hidden="1">
      <c r="A85" s="17">
        <f t="shared" si="1"/>
        <v>83</v>
      </c>
      <c r="B85" s="12" t="str">
        <f>IFERROR(__xludf.DUMMYFUNCTION("""COMPUTED_VALUE"""),"JAYAN ASWATHY ")</f>
        <v>JAYAN ASWATHY </v>
      </c>
      <c r="C85" s="12" t="str">
        <f>IFERROR(__xludf.DUMMYFUNCTION("""COMPUTED_VALUE"""),"aswathyjayan9@gmail.com")</f>
        <v>aswathyjayan9@gmail.com</v>
      </c>
      <c r="D85" s="12" t="str">
        <f>IFERROR(__xludf.DUMMYFUNCTION("""COMPUTED_VALUE"""),"Adult")</f>
        <v>Adult</v>
      </c>
      <c r="E85" s="13">
        <f>IF(D85&lt;&gt;"",VLOOKUP(D85,Settings!$G$3:$H$6,2,false),"")</f>
        <v>2300</v>
      </c>
      <c r="F85" s="15" t="str">
        <f>IFERROR(__xludf.DUMMYFUNCTION("""COMPUTED_VALUE"""),"Performer")</f>
        <v>Performer</v>
      </c>
      <c r="G85" s="15" t="str">
        <f>IFERROR(__xludf.DUMMYFUNCTION("""COMPUTED_VALUE"""),"Sparkle Queens")</f>
        <v>Sparkle Queens</v>
      </c>
      <c r="H85" s="12" t="str">
        <f>IF(G85&lt;&gt;"",VLOOKUP(G85,Settings!$B$4:$C$35,2,false),"")</f>
        <v>Vidya Bhole</v>
      </c>
      <c r="I85" s="12" t="str">
        <f>IFERROR(__xludf.DUMMYFUNCTION("""COMPUTED_VALUE"""),"")</f>
        <v/>
      </c>
      <c r="J85" s="15"/>
      <c r="K85" s="12"/>
      <c r="L85" s="6" t="s">
        <v>592</v>
      </c>
    </row>
    <row r="86">
      <c r="A86" s="17">
        <f t="shared" si="1"/>
        <v>84</v>
      </c>
      <c r="B86" s="12" t="str">
        <f>IFERROR(__xludf.DUMMYFUNCTION("""COMPUTED_VALUE"""),"Sameeha")</f>
        <v>Sameeha</v>
      </c>
      <c r="C86" s="12" t="str">
        <f>IFERROR(__xludf.DUMMYFUNCTION("""COMPUTED_VALUE"""),"snabina@gmail.com")</f>
        <v>snabina@gmail.com</v>
      </c>
      <c r="D86" s="12" t="str">
        <f>IFERROR(__xludf.DUMMYFUNCTION("""COMPUTED_VALUE"""),"Child")</f>
        <v>Child</v>
      </c>
      <c r="E86" s="13">
        <f>IF(D86&lt;&gt;"",VLOOKUP(D86,Settings!$G$3:$H$6,2,false),"")</f>
        <v>1200</v>
      </c>
      <c r="F86" s="15" t="str">
        <f>IFERROR(__xludf.DUMMYFUNCTION("""COMPUTED_VALUE"""),"Performer")</f>
        <v>Performer</v>
      </c>
      <c r="G86" s="15" t="str">
        <f>IFERROR(__xludf.DUMMYFUNCTION("""COMPUTED_VALUE"""),"Dance Ojima Dance-DOD")</f>
        <v>Dance Ojima Dance-DOD</v>
      </c>
      <c r="H86" s="12" t="str">
        <f>IF(G86&lt;&gt;"",VLOOKUP(G86,Settings!$B$4:$C$35,2,false),"")</f>
        <v>Shweta Singla</v>
      </c>
      <c r="I86" s="12" t="str">
        <f>IFERROR(__xludf.DUMMYFUNCTION("""COMPUTED_VALUE"""),"")</f>
        <v/>
      </c>
      <c r="J86" s="15" t="s">
        <v>241</v>
      </c>
      <c r="K86" s="12"/>
      <c r="L86" s="3"/>
    </row>
    <row r="87">
      <c r="A87" s="17">
        <f t="shared" si="1"/>
        <v>85</v>
      </c>
      <c r="B87" s="12" t="str">
        <f>IFERROR(__xludf.DUMMYFUNCTION("""COMPUTED_VALUE"""),"Samriddhi")</f>
        <v>Samriddhi</v>
      </c>
      <c r="C87" s="12" t="str">
        <f>IFERROR(__xludf.DUMMYFUNCTION("""COMPUTED_VALUE"""),"snabina@gmail.com")</f>
        <v>snabina@gmail.com</v>
      </c>
      <c r="D87" s="12" t="str">
        <f>IFERROR(__xludf.DUMMYFUNCTION("""COMPUTED_VALUE"""),"Child")</f>
        <v>Child</v>
      </c>
      <c r="E87" s="13">
        <f>IF(D87&lt;&gt;"",VLOOKUP(D87,Settings!$G$3:$H$6,2,false),"")</f>
        <v>1200</v>
      </c>
      <c r="F87" s="15" t="str">
        <f>IFERROR(__xludf.DUMMYFUNCTION("""COMPUTED_VALUE"""),"Relative")</f>
        <v>Relative</v>
      </c>
      <c r="G87" s="15" t="str">
        <f>IFERROR(__xludf.DUMMYFUNCTION("""COMPUTED_VALUE"""),"Dance Ojima Dance-DOD")</f>
        <v>Dance Ojima Dance-DOD</v>
      </c>
      <c r="H87" s="12" t="str">
        <f>IF(G87&lt;&gt;"",VLOOKUP(G87,Settings!$B$4:$C$35,2,false),"")</f>
        <v>Shweta Singla</v>
      </c>
      <c r="I87" s="12" t="str">
        <f>IFERROR(__xludf.DUMMYFUNCTION("""COMPUTED_VALUE"""),"")</f>
        <v/>
      </c>
      <c r="J87" s="15" t="s">
        <v>241</v>
      </c>
      <c r="K87" s="103"/>
      <c r="L87" s="3"/>
    </row>
    <row r="88">
      <c r="A88" s="17">
        <f t="shared" si="1"/>
        <v>86</v>
      </c>
      <c r="B88" s="12" t="str">
        <f>IFERROR(__xludf.DUMMYFUNCTION("""COMPUTED_VALUE"""),"Nabina")</f>
        <v>Nabina</v>
      </c>
      <c r="C88" s="12" t="str">
        <f>IFERROR(__xludf.DUMMYFUNCTION("""COMPUTED_VALUE"""),"snabina@gmail.com")</f>
        <v>snabina@gmail.com</v>
      </c>
      <c r="D88" s="12" t="str">
        <f>IFERROR(__xludf.DUMMYFUNCTION("""COMPUTED_VALUE"""),"Adult")</f>
        <v>Adult</v>
      </c>
      <c r="E88" s="13">
        <f>IF(D88&lt;&gt;"",VLOOKUP(D88,Settings!$G$3:$H$6,2,false),"")</f>
        <v>2300</v>
      </c>
      <c r="F88" s="15" t="str">
        <f>IFERROR(__xludf.DUMMYFUNCTION("""COMPUTED_VALUE"""),"Relative")</f>
        <v>Relative</v>
      </c>
      <c r="G88" s="15" t="str">
        <f>IFERROR(__xludf.DUMMYFUNCTION("""COMPUTED_VALUE"""),"Dance Ojima Dance-DOD")</f>
        <v>Dance Ojima Dance-DOD</v>
      </c>
      <c r="H88" s="12" t="str">
        <f>IF(G88&lt;&gt;"",VLOOKUP(G88,Settings!$B$4:$C$35,2,false),"")</f>
        <v>Shweta Singla</v>
      </c>
      <c r="I88" s="12" t="str">
        <f>IFERROR(__xludf.DUMMYFUNCTION("""COMPUTED_VALUE"""),"")</f>
        <v/>
      </c>
      <c r="J88" s="15" t="s">
        <v>241</v>
      </c>
      <c r="K88" s="16"/>
      <c r="L88" s="3"/>
    </row>
    <row r="89">
      <c r="A89" s="17">
        <f t="shared" si="1"/>
        <v>87</v>
      </c>
      <c r="B89" s="12" t="str">
        <f>IFERROR(__xludf.DUMMYFUNCTION("""COMPUTED_VALUE"""),"Sugam")</f>
        <v>Sugam</v>
      </c>
      <c r="C89" s="12" t="str">
        <f>IFERROR(__xludf.DUMMYFUNCTION("""COMPUTED_VALUE"""),"snabina@gmail.com")</f>
        <v>snabina@gmail.com</v>
      </c>
      <c r="D89" s="12" t="str">
        <f>IFERROR(__xludf.DUMMYFUNCTION("""COMPUTED_VALUE"""),"Adult")</f>
        <v>Adult</v>
      </c>
      <c r="E89" s="13">
        <f>IF(D89&lt;&gt;"",VLOOKUP(D89,Settings!$G$3:$H$6,2,false),"")</f>
        <v>2300</v>
      </c>
      <c r="F89" s="15" t="str">
        <f>IFERROR(__xludf.DUMMYFUNCTION("""COMPUTED_VALUE"""),"Relative")</f>
        <v>Relative</v>
      </c>
      <c r="G89" s="15" t="str">
        <f>IFERROR(__xludf.DUMMYFUNCTION("""COMPUTED_VALUE"""),"Dance Ojima Dance-DOD")</f>
        <v>Dance Ojima Dance-DOD</v>
      </c>
      <c r="H89" s="12" t="str">
        <f>IF(G89&lt;&gt;"",VLOOKUP(G89,Settings!$B$4:$C$35,2,false),"")</f>
        <v>Shweta Singla</v>
      </c>
      <c r="I89" s="12" t="str">
        <f>IFERROR(__xludf.DUMMYFUNCTION("""COMPUTED_VALUE"""),"")</f>
        <v/>
      </c>
      <c r="J89" s="15" t="s">
        <v>241</v>
      </c>
      <c r="K89" s="12"/>
      <c r="L89" s="3"/>
    </row>
    <row r="90">
      <c r="A90" s="17">
        <f t="shared" si="1"/>
        <v>88</v>
      </c>
      <c r="B90" s="12" t="str">
        <f>IFERROR(__xludf.DUMMYFUNCTION("""COMPUTED_VALUE"""),"Ghosh Ranjan")</f>
        <v>Ghosh Ranjan</v>
      </c>
      <c r="C90" s="12" t="str">
        <f>IFERROR(__xludf.DUMMYFUNCTION("""COMPUTED_VALUE"""),"ronghosh77@gmail.com")</f>
        <v>ronghosh77@gmail.com</v>
      </c>
      <c r="D90" s="12" t="str">
        <f>IFERROR(__xludf.DUMMYFUNCTION("""COMPUTED_VALUE"""),"Adult")</f>
        <v>Adult</v>
      </c>
      <c r="E90" s="13">
        <f>IF(D90&lt;&gt;"",VLOOKUP(D90,Settings!$G$3:$H$6,2,false),"")</f>
        <v>2300</v>
      </c>
      <c r="F90" s="15" t="str">
        <f>IFERROR(__xludf.DUMMYFUNCTION("""COMPUTED_VALUE"""),"Relative")</f>
        <v>Relative</v>
      </c>
      <c r="G90" s="15" t="str">
        <f>IFERROR(__xludf.DUMMYFUNCTION("""COMPUTED_VALUE"""),"The Dazzlers")</f>
        <v>The Dazzlers</v>
      </c>
      <c r="H90" s="12" t="str">
        <f>IF(G90&lt;&gt;"",VLOOKUP(G90,Settings!$B$4:$C$35,2,false),"")</f>
        <v>Mousumi Moharana</v>
      </c>
      <c r="I90" s="12" t="str">
        <f>IFERROR(__xludf.DUMMYFUNCTION("""COMPUTED_VALUE"""),"I am father of Arjun Ghosh")</f>
        <v>I am father of Arjun Ghosh</v>
      </c>
      <c r="J90" s="15" t="s">
        <v>470</v>
      </c>
      <c r="K90" s="16">
        <v>43399.0</v>
      </c>
      <c r="L90" s="3"/>
    </row>
    <row r="91">
      <c r="A91" s="17">
        <f t="shared" si="1"/>
        <v>89</v>
      </c>
      <c r="B91" s="12" t="str">
        <f>IFERROR(__xludf.DUMMYFUNCTION("""COMPUTED_VALUE"""),"Ghosh Amrita")</f>
        <v>Ghosh Amrita</v>
      </c>
      <c r="C91" s="12" t="str">
        <f>IFERROR(__xludf.DUMMYFUNCTION("""COMPUTED_VALUE"""),"ronghosh77@gmail.com")</f>
        <v>ronghosh77@gmail.com</v>
      </c>
      <c r="D91" s="12" t="str">
        <f>IFERROR(__xludf.DUMMYFUNCTION("""COMPUTED_VALUE"""),"Adult")</f>
        <v>Adult</v>
      </c>
      <c r="E91" s="13">
        <f>IF(D91&lt;&gt;"",VLOOKUP(D91,Settings!$G$3:$H$6,2,false),"")</f>
        <v>2300</v>
      </c>
      <c r="F91" s="15" t="str">
        <f>IFERROR(__xludf.DUMMYFUNCTION("""COMPUTED_VALUE"""),"Relative")</f>
        <v>Relative</v>
      </c>
      <c r="G91" s="15" t="str">
        <f>IFERROR(__xludf.DUMMYFUNCTION("""COMPUTED_VALUE"""),"The Dazzlers")</f>
        <v>The Dazzlers</v>
      </c>
      <c r="H91" s="12" t="str">
        <f>IF(G91&lt;&gt;"",VLOOKUP(G91,Settings!$B$4:$C$35,2,false),"")</f>
        <v>Mousumi Moharana</v>
      </c>
      <c r="I91" s="12" t="str">
        <f>IFERROR(__xludf.DUMMYFUNCTION("""COMPUTED_VALUE"""),"Mother of Arjun Ghosh")</f>
        <v>Mother of Arjun Ghosh</v>
      </c>
      <c r="J91" s="15" t="s">
        <v>470</v>
      </c>
      <c r="K91" s="16">
        <v>43399.0</v>
      </c>
      <c r="L91" s="3"/>
    </row>
    <row r="92">
      <c r="A92" s="17">
        <f t="shared" si="1"/>
        <v>90</v>
      </c>
      <c r="B92" s="12" t="str">
        <f>IFERROR(__xludf.DUMMYFUNCTION("""COMPUTED_VALUE"""),"Ghosh Anannya")</f>
        <v>Ghosh Anannya</v>
      </c>
      <c r="C92" s="12" t="str">
        <f>IFERROR(__xludf.DUMMYFUNCTION("""COMPUTED_VALUE"""),"ronghosh77@gmail.com")</f>
        <v>ronghosh77@gmail.com</v>
      </c>
      <c r="D92" s="12" t="str">
        <f>IFERROR(__xludf.DUMMYFUNCTION("""COMPUTED_VALUE"""),"Child")</f>
        <v>Child</v>
      </c>
      <c r="E92" s="13">
        <f>IF(D92&lt;&gt;"",VLOOKUP(D92,Settings!$G$3:$H$6,2,false),"")</f>
        <v>1200</v>
      </c>
      <c r="F92" s="15" t="str">
        <f>IFERROR(__xludf.DUMMYFUNCTION("""COMPUTED_VALUE"""),"Relative")</f>
        <v>Relative</v>
      </c>
      <c r="G92" s="15" t="str">
        <f>IFERROR(__xludf.DUMMYFUNCTION("""COMPUTED_VALUE"""),"The Dazzlers")</f>
        <v>The Dazzlers</v>
      </c>
      <c r="H92" s="12" t="str">
        <f>IF(G92&lt;&gt;"",VLOOKUP(G92,Settings!$B$4:$C$35,2,false),"")</f>
        <v>Mousumi Moharana</v>
      </c>
      <c r="I92" s="12" t="str">
        <f>IFERROR(__xludf.DUMMYFUNCTION("""COMPUTED_VALUE"""),"Sister of Arjun Ghosh.")</f>
        <v>Sister of Arjun Ghosh.</v>
      </c>
      <c r="J92" s="15" t="s">
        <v>470</v>
      </c>
      <c r="K92" s="16">
        <v>43399.0</v>
      </c>
      <c r="L92" s="3"/>
    </row>
    <row r="93">
      <c r="A93" s="17">
        <f t="shared" si="1"/>
        <v>91</v>
      </c>
      <c r="B93" s="12" t="str">
        <f>IFERROR(__xludf.DUMMYFUNCTION("""COMPUTED_VALUE"""),"Ghosh Arjun")</f>
        <v>Ghosh Arjun</v>
      </c>
      <c r="C93" s="12" t="str">
        <f>IFERROR(__xludf.DUMMYFUNCTION("""COMPUTED_VALUE"""),"ronghosh77@gmail.com")</f>
        <v>ronghosh77@gmail.com</v>
      </c>
      <c r="D93" s="12" t="str">
        <f>IFERROR(__xludf.DUMMYFUNCTION("""COMPUTED_VALUE"""),"Child")</f>
        <v>Child</v>
      </c>
      <c r="E93" s="13">
        <f>IF(D93&lt;&gt;"",VLOOKUP(D93,Settings!$G$3:$H$6,2,false),"")</f>
        <v>1200</v>
      </c>
      <c r="F93" s="15" t="str">
        <f>IFERROR(__xludf.DUMMYFUNCTION("""COMPUTED_VALUE"""),"Performer")</f>
        <v>Performer</v>
      </c>
      <c r="G93" s="15" t="str">
        <f>IFERROR(__xludf.DUMMYFUNCTION("""COMPUTED_VALUE"""),"The Dazzlers")</f>
        <v>The Dazzlers</v>
      </c>
      <c r="H93" s="12" t="str">
        <f>IF(G93&lt;&gt;"",VLOOKUP(G93,Settings!$B$4:$C$35,2,false),"")</f>
        <v>Mousumi Moharana</v>
      </c>
      <c r="I93" s="12" t="str">
        <f>IFERROR(__xludf.DUMMYFUNCTION("""COMPUTED_VALUE"""),"He will perform at the event.")</f>
        <v>He will perform at the event.</v>
      </c>
      <c r="J93" s="15" t="s">
        <v>470</v>
      </c>
      <c r="K93" s="16">
        <v>43399.0</v>
      </c>
      <c r="L93" s="3"/>
    </row>
    <row r="94">
      <c r="A94" s="17">
        <f t="shared" si="1"/>
        <v>92</v>
      </c>
      <c r="B94" s="12" t="str">
        <f>IFERROR(__xludf.DUMMYFUNCTION("""COMPUTED_VALUE"""),"Chaudhary Anindita")</f>
        <v>Chaudhary Anindita</v>
      </c>
      <c r="C94" s="12" t="str">
        <f>IFERROR(__xludf.DUMMYFUNCTION("""COMPUTED_VALUE"""),"ashucdri@gmail.com")</f>
        <v>ashucdri@gmail.com</v>
      </c>
      <c r="D94" s="12" t="str">
        <f>IFERROR(__xludf.DUMMYFUNCTION("""COMPUTED_VALUE"""),"Child")</f>
        <v>Child</v>
      </c>
      <c r="E94" s="13">
        <f>IF(D94&lt;&gt;"",VLOOKUP(D94,Settings!$G$3:$H$6,2,false),"")</f>
        <v>1200</v>
      </c>
      <c r="F94" s="15" t="str">
        <f>IFERROR(__xludf.DUMMYFUNCTION("""COMPUTED_VALUE"""),"Performer")</f>
        <v>Performer</v>
      </c>
      <c r="G94" s="15" t="str">
        <f>IFERROR(__xludf.DUMMYFUNCTION("""COMPUTED_VALUE"""),"Dance Ojima Dance-DOD")</f>
        <v>Dance Ojima Dance-DOD</v>
      </c>
      <c r="H94" s="12" t="str">
        <f>IF(G94&lt;&gt;"",VLOOKUP(G94,Settings!$B$4:$C$35,2,false),"")</f>
        <v>Shweta Singla</v>
      </c>
      <c r="I94" s="12" t="str">
        <f>IFERROR(__xludf.DUMMYFUNCTION("""COMPUTED_VALUE"""),"")</f>
        <v/>
      </c>
      <c r="J94" s="15" t="s">
        <v>241</v>
      </c>
      <c r="K94" s="12"/>
      <c r="L94" s="3"/>
    </row>
    <row r="95">
      <c r="A95" s="17">
        <f t="shared" si="1"/>
        <v>93</v>
      </c>
      <c r="B95" s="12" t="str">
        <f>IFERROR(__xludf.DUMMYFUNCTION("""COMPUTED_VALUE"""),"Verma Alka")</f>
        <v>Verma Alka</v>
      </c>
      <c r="C95" s="12" t="str">
        <f>IFERROR(__xludf.DUMMYFUNCTION("""COMPUTED_VALUE"""),"ashucdri@gmail.com")</f>
        <v>ashucdri@gmail.com</v>
      </c>
      <c r="D95" s="12" t="str">
        <f>IFERROR(__xludf.DUMMYFUNCTION("""COMPUTED_VALUE"""),"Adult")</f>
        <v>Adult</v>
      </c>
      <c r="E95" s="13">
        <f>IF(D95&lt;&gt;"",VLOOKUP(D95,Settings!$G$3:$H$6,2,false),"")</f>
        <v>2300</v>
      </c>
      <c r="F95" s="15" t="str">
        <f>IFERROR(__xludf.DUMMYFUNCTION("""COMPUTED_VALUE"""),"Relative")</f>
        <v>Relative</v>
      </c>
      <c r="G95" s="15" t="str">
        <f>IFERROR(__xludf.DUMMYFUNCTION("""COMPUTED_VALUE"""),"Dance Ojima Dance-DOD")</f>
        <v>Dance Ojima Dance-DOD</v>
      </c>
      <c r="H95" s="12" t="str">
        <f>IF(G95&lt;&gt;"",VLOOKUP(G95,Settings!$B$4:$C$35,2,false),"")</f>
        <v>Shweta Singla</v>
      </c>
      <c r="I95" s="12" t="str">
        <f>IFERROR(__xludf.DUMMYFUNCTION("""COMPUTED_VALUE"""),"")</f>
        <v/>
      </c>
      <c r="J95" s="15" t="s">
        <v>241</v>
      </c>
      <c r="K95" s="16"/>
      <c r="L95" s="3"/>
    </row>
    <row r="96">
      <c r="A96" s="17">
        <f t="shared" si="1"/>
        <v>94</v>
      </c>
      <c r="B96" s="12" t="str">
        <f>IFERROR(__xludf.DUMMYFUNCTION("""COMPUTED_VALUE"""),"Kumar Ashutosh")</f>
        <v>Kumar Ashutosh</v>
      </c>
      <c r="C96" s="12" t="str">
        <f>IFERROR(__xludf.DUMMYFUNCTION("""COMPUTED_VALUE"""),"ashucdri@gmail.com")</f>
        <v>ashucdri@gmail.com</v>
      </c>
      <c r="D96" s="12" t="str">
        <f>IFERROR(__xludf.DUMMYFUNCTION("""COMPUTED_VALUE"""),"Adult")</f>
        <v>Adult</v>
      </c>
      <c r="E96" s="13">
        <f>IF(D96&lt;&gt;"",VLOOKUP(D96,Settings!$G$3:$H$6,2,false),"")</f>
        <v>2300</v>
      </c>
      <c r="F96" s="15" t="str">
        <f>IFERROR(__xludf.DUMMYFUNCTION("""COMPUTED_VALUE"""),"Relative")</f>
        <v>Relative</v>
      </c>
      <c r="G96" s="15" t="str">
        <f>IFERROR(__xludf.DUMMYFUNCTION("""COMPUTED_VALUE"""),"Dance Ojima Dance-DOD")</f>
        <v>Dance Ojima Dance-DOD</v>
      </c>
      <c r="H96" s="12" t="str">
        <f>IF(G96&lt;&gt;"",VLOOKUP(G96,Settings!$B$4:$C$35,2,false),"")</f>
        <v>Shweta Singla</v>
      </c>
      <c r="I96" s="12" t="str">
        <f>IFERROR(__xludf.DUMMYFUNCTION("""COMPUTED_VALUE"""),"")</f>
        <v/>
      </c>
      <c r="J96" s="15" t="s">
        <v>241</v>
      </c>
      <c r="K96" s="12"/>
      <c r="L96" s="3"/>
    </row>
    <row r="97">
      <c r="A97" s="17">
        <f t="shared" si="1"/>
        <v>95</v>
      </c>
      <c r="B97" s="12" t="str">
        <f>IFERROR(__xludf.DUMMYFUNCTION("""COMPUTED_VALUE"""),"Nayak Avantika")</f>
        <v>Nayak Avantika</v>
      </c>
      <c r="C97" s="12" t="str">
        <f>IFERROR(__xludf.DUMMYFUNCTION("""COMPUTED_VALUE"""),"rajshreelinu@gmail.com")</f>
        <v>rajshreelinu@gmail.com</v>
      </c>
      <c r="D97" s="12" t="str">
        <f>IFERROR(__xludf.DUMMYFUNCTION("""COMPUTED_VALUE"""),"Child")</f>
        <v>Child</v>
      </c>
      <c r="E97" s="13">
        <f>IF(D97&lt;&gt;"",VLOOKUP(D97,Settings!$G$3:$H$6,2,false),"")</f>
        <v>1200</v>
      </c>
      <c r="F97" s="15" t="str">
        <f>IFERROR(__xludf.DUMMYFUNCTION("""COMPUTED_VALUE"""),"Relative")</f>
        <v>Relative</v>
      </c>
      <c r="G97" s="15" t="str">
        <f>IFERROR(__xludf.DUMMYFUNCTION("""COMPUTED_VALUE"""),"The Dazzling Divas")</f>
        <v>The Dazzling Divas</v>
      </c>
      <c r="H97" s="12" t="str">
        <f>IF(G97&lt;&gt;"",VLOOKUP(G97,Settings!$B$4:$C$35,2,false),"")</f>
        <v>Mousumi Moharana</v>
      </c>
      <c r="I97" s="12" t="str">
        <f>IFERROR(__xludf.DUMMYFUNCTION("""COMPUTED_VALUE"""),"")</f>
        <v/>
      </c>
      <c r="J97" s="15" t="s">
        <v>470</v>
      </c>
      <c r="K97" s="16">
        <v>43399.0</v>
      </c>
      <c r="L97" s="3"/>
    </row>
    <row r="98">
      <c r="A98" s="17">
        <f t="shared" si="1"/>
        <v>96</v>
      </c>
      <c r="B98" s="117" t="str">
        <f>IFERROR(__xludf.DUMMYFUNCTION("""COMPUTED_VALUE"""),"Ragesh Aditi")</f>
        <v>Ragesh Aditi</v>
      </c>
      <c r="C98" s="12" t="str">
        <f>IFERROR(__xludf.DUMMYFUNCTION("""COMPUTED_VALUE"""),"nimithab@gmail.com")</f>
        <v>nimithab@gmail.com</v>
      </c>
      <c r="D98" s="12" t="str">
        <f>IFERROR(__xludf.DUMMYFUNCTION("""COMPUTED_VALUE"""),"Child")</f>
        <v>Child</v>
      </c>
      <c r="E98" s="13">
        <f>IF(D98&lt;&gt;"",VLOOKUP(D98,Settings!$G$3:$H$6,2,false),"")</f>
        <v>1200</v>
      </c>
      <c r="F98" s="15" t="str">
        <f>IFERROR(__xludf.DUMMYFUNCTION("""COMPUTED_VALUE"""),"Performer")</f>
        <v>Performer</v>
      </c>
      <c r="G98" s="15" t="str">
        <f>IFERROR(__xludf.DUMMYFUNCTION("""COMPUTED_VALUE"""),"Thalam - Brahmari School Of Dance")</f>
        <v>Thalam - Brahmari School Of Dance</v>
      </c>
      <c r="H98" s="12" t="str">
        <f>IF(G98&lt;&gt;"",VLOOKUP(G98,Settings!$B$4:$C$35,2,false),"")</f>
        <v>Resmi Joby</v>
      </c>
      <c r="I98" s="12" t="str">
        <f>IFERROR(__xludf.DUMMYFUNCTION("""COMPUTED_VALUE"""),"")</f>
        <v/>
      </c>
      <c r="J98" s="15" t="s">
        <v>470</v>
      </c>
      <c r="K98" s="16">
        <v>43401.0</v>
      </c>
      <c r="L98" s="6"/>
    </row>
    <row r="99">
      <c r="A99" s="17">
        <f t="shared" si="1"/>
        <v>97</v>
      </c>
      <c r="B99" s="12" t="str">
        <f>IFERROR(__xludf.DUMMYFUNCTION("""COMPUTED_VALUE"""),"Dwivedi Anushri")</f>
        <v>Dwivedi Anushri</v>
      </c>
      <c r="C99" s="12" t="str">
        <f>IFERROR(__xludf.DUMMYFUNCTION("""COMPUTED_VALUE"""),"pindwi@gmail.com")</f>
        <v>pindwi@gmail.com</v>
      </c>
      <c r="D99" s="12" t="str">
        <f>IFERROR(__xludf.DUMMYFUNCTION("""COMPUTED_VALUE"""),"Child")</f>
        <v>Child</v>
      </c>
      <c r="E99" s="13">
        <f>IF(D99&lt;&gt;"",VLOOKUP(D99,Settings!$G$3:$H$6,2,false),"")</f>
        <v>1200</v>
      </c>
      <c r="F99" s="15" t="str">
        <f>IFERROR(__xludf.DUMMYFUNCTION("""COMPUTED_VALUE"""),"Performer")</f>
        <v>Performer</v>
      </c>
      <c r="G99" s="15" t="str">
        <f>IFERROR(__xludf.DUMMYFUNCTION("""COMPUTED_VALUE"""),"The Dazzlers")</f>
        <v>The Dazzlers</v>
      </c>
      <c r="H99" s="12" t="str">
        <f>IF(G99&lt;&gt;"",VLOOKUP(G99,Settings!$B$4:$C$35,2,false),"")</f>
        <v>Mousumi Moharana</v>
      </c>
      <c r="I99" s="12" t="str">
        <f>IFERROR(__xludf.DUMMYFUNCTION("""COMPUTED_VALUE"""),"")</f>
        <v/>
      </c>
      <c r="J99" s="15" t="s">
        <v>470</v>
      </c>
      <c r="K99" s="16">
        <v>43399.0</v>
      </c>
      <c r="L99" s="3"/>
    </row>
    <row r="100">
      <c r="A100" s="17">
        <f t="shared" si="1"/>
        <v>98</v>
      </c>
      <c r="B100" s="12" t="str">
        <f>IFERROR(__xludf.DUMMYFUNCTION("""COMPUTED_VALUE"""),"Dwivedi Arindam")</f>
        <v>Dwivedi Arindam</v>
      </c>
      <c r="C100" s="12" t="str">
        <f>IFERROR(__xludf.DUMMYFUNCTION("""COMPUTED_VALUE"""),"pindwi@gmail.com")</f>
        <v>pindwi@gmail.com</v>
      </c>
      <c r="D100" s="12" t="str">
        <f>IFERROR(__xludf.DUMMYFUNCTION("""COMPUTED_VALUE"""),"Adult")</f>
        <v>Adult</v>
      </c>
      <c r="E100" s="13">
        <f>IF(D100&lt;&gt;"",VLOOKUP(D100,Settings!$G$3:$H$6,2,false),"")</f>
        <v>2300</v>
      </c>
      <c r="F100" s="15" t="str">
        <f>IFERROR(__xludf.DUMMYFUNCTION("""COMPUTED_VALUE"""),"Relative")</f>
        <v>Relative</v>
      </c>
      <c r="G100" s="15" t="str">
        <f>IFERROR(__xludf.DUMMYFUNCTION("""COMPUTED_VALUE"""),"The Dazzlers")</f>
        <v>The Dazzlers</v>
      </c>
      <c r="H100" s="12" t="str">
        <f>IF(G100&lt;&gt;"",VLOOKUP(G100,Settings!$B$4:$C$35,2,false),"")</f>
        <v>Mousumi Moharana</v>
      </c>
      <c r="I100" s="12" t="str">
        <f>IFERROR(__xludf.DUMMYFUNCTION("""COMPUTED_VALUE"""),"")</f>
        <v/>
      </c>
      <c r="J100" s="15" t="s">
        <v>470</v>
      </c>
      <c r="K100" s="16">
        <v>43399.0</v>
      </c>
      <c r="L100" s="3"/>
    </row>
    <row r="101">
      <c r="A101" s="17">
        <f t="shared" si="1"/>
        <v>99</v>
      </c>
      <c r="B101" s="12" t="str">
        <f>IFERROR(__xludf.DUMMYFUNCTION("""COMPUTED_VALUE"""),"Dwivedi Satakshi ")</f>
        <v>Dwivedi Satakshi </v>
      </c>
      <c r="C101" s="12" t="str">
        <f>IFERROR(__xludf.DUMMYFUNCTION("""COMPUTED_VALUE"""),"pindwi@gmail.com")</f>
        <v>pindwi@gmail.com</v>
      </c>
      <c r="D101" s="12" t="str">
        <f>IFERROR(__xludf.DUMMYFUNCTION("""COMPUTED_VALUE"""),"Adult")</f>
        <v>Adult</v>
      </c>
      <c r="E101" s="13">
        <f>IF(D101&lt;&gt;"",VLOOKUP(D101,Settings!$G$3:$H$6,2,false),"")</f>
        <v>2300</v>
      </c>
      <c r="F101" s="15" t="str">
        <f>IFERROR(__xludf.DUMMYFUNCTION("""COMPUTED_VALUE"""),"Relative")</f>
        <v>Relative</v>
      </c>
      <c r="G101" s="15" t="str">
        <f>IFERROR(__xludf.DUMMYFUNCTION("""COMPUTED_VALUE"""),"The Dazzlers")</f>
        <v>The Dazzlers</v>
      </c>
      <c r="H101" s="12" t="str">
        <f>IF(G101&lt;&gt;"",VLOOKUP(G101,Settings!$B$4:$C$35,2,false),"")</f>
        <v>Mousumi Moharana</v>
      </c>
      <c r="I101" s="15" t="str">
        <f>IFERROR(__xludf.DUMMYFUNCTION("""COMPUTED_VALUE"""),"")</f>
        <v/>
      </c>
      <c r="J101" s="15" t="s">
        <v>470</v>
      </c>
      <c r="K101" s="16">
        <v>43399.0</v>
      </c>
      <c r="L101" s="3"/>
    </row>
    <row r="102">
      <c r="A102" s="17">
        <f t="shared" si="1"/>
        <v>100</v>
      </c>
      <c r="B102" s="12" t="str">
        <f>IFERROR(__xludf.DUMMYFUNCTION("""COMPUTED_VALUE"""),"Janavika")</f>
        <v>Janavika</v>
      </c>
      <c r="C102" s="12" t="str">
        <f>IFERROR(__xludf.DUMMYFUNCTION("""COMPUTED_VALUE"""),"laks_sanj@yahoo.co.in")</f>
        <v>laks_sanj@yahoo.co.in</v>
      </c>
      <c r="D102" s="12" t="str">
        <f>IFERROR(__xludf.DUMMYFUNCTION("""COMPUTED_VALUE"""),"Child")</f>
        <v>Child</v>
      </c>
      <c r="E102" s="13">
        <f>IF(D102&lt;&gt;"",VLOOKUP(D102,Settings!$G$3:$H$6,2,false),"")</f>
        <v>1200</v>
      </c>
      <c r="F102" s="15" t="str">
        <f>IFERROR(__xludf.DUMMYFUNCTION("""COMPUTED_VALUE"""),"Performer")</f>
        <v>Performer</v>
      </c>
      <c r="G102" s="15" t="str">
        <f>IFERROR(__xludf.DUMMYFUNCTION("""COMPUTED_VALUE"""),"Classical Mermaids")</f>
        <v>Classical Mermaids</v>
      </c>
      <c r="H102" s="12" t="str">
        <f>IF(G102&lt;&gt;"",VLOOKUP(G102,Settings!$B$4:$C$35,2,false),"")</f>
        <v>Preetha</v>
      </c>
      <c r="I102" s="12" t="str">
        <f>IFERROR(__xludf.DUMMYFUNCTION("""COMPUTED_VALUE"""),"")</f>
        <v/>
      </c>
      <c r="J102" s="15" t="s">
        <v>470</v>
      </c>
      <c r="K102" s="16">
        <v>43401.0</v>
      </c>
      <c r="L102" s="3"/>
    </row>
    <row r="103">
      <c r="A103" s="17">
        <f t="shared" si="1"/>
        <v>101</v>
      </c>
      <c r="B103" s="12" t="str">
        <f>IFERROR(__xludf.DUMMYFUNCTION("""COMPUTED_VALUE"""),"Dubey Kalpnath")</f>
        <v>Dubey Kalpnath</v>
      </c>
      <c r="C103" s="12" t="str">
        <f>IFERROR(__xludf.DUMMYFUNCTION("""COMPUTED_VALUE"""),"pindwi@gmail.com")</f>
        <v>pindwi@gmail.com</v>
      </c>
      <c r="D103" s="12" t="str">
        <f>IFERROR(__xludf.DUMMYFUNCTION("""COMPUTED_VALUE"""),"Adult")</f>
        <v>Adult</v>
      </c>
      <c r="E103" s="13">
        <f>IF(D103&lt;&gt;"",VLOOKUP(D103,Settings!$G$3:$H$6,2,false),"")</f>
        <v>2300</v>
      </c>
      <c r="F103" s="15" t="str">
        <f>IFERROR(__xludf.DUMMYFUNCTION("""COMPUTED_VALUE"""),"Relative")</f>
        <v>Relative</v>
      </c>
      <c r="G103" s="15" t="str">
        <f>IFERROR(__xludf.DUMMYFUNCTION("""COMPUTED_VALUE"""),"The Dazzlers")</f>
        <v>The Dazzlers</v>
      </c>
      <c r="H103" s="12" t="str">
        <f>IF(G103&lt;&gt;"",VLOOKUP(G103,Settings!$B$4:$C$35,2,false),"")</f>
        <v>Mousumi Moharana</v>
      </c>
      <c r="I103" s="12" t="str">
        <f>IFERROR(__xludf.DUMMYFUNCTION("""COMPUTED_VALUE"""),"")</f>
        <v/>
      </c>
      <c r="J103" s="15" t="s">
        <v>470</v>
      </c>
      <c r="K103" s="16">
        <v>43399.0</v>
      </c>
      <c r="L103" s="3"/>
    </row>
    <row r="104">
      <c r="A104" s="17">
        <f t="shared" si="1"/>
        <v>102</v>
      </c>
      <c r="B104" s="12" t="str">
        <f>IFERROR(__xludf.DUMMYFUNCTION("""COMPUTED_VALUE"""),"Dubey Mandvi ")</f>
        <v>Dubey Mandvi </v>
      </c>
      <c r="C104" s="12" t="str">
        <f>IFERROR(__xludf.DUMMYFUNCTION("""COMPUTED_VALUE"""),"pindwi@gmail.com")</f>
        <v>pindwi@gmail.com</v>
      </c>
      <c r="D104" s="12" t="str">
        <f>IFERROR(__xludf.DUMMYFUNCTION("""COMPUTED_VALUE"""),"Adult")</f>
        <v>Adult</v>
      </c>
      <c r="E104" s="13">
        <f>IF(D104&lt;&gt;"",VLOOKUP(D104,Settings!$G$3:$H$6,2,false),"")</f>
        <v>2300</v>
      </c>
      <c r="F104" s="15" t="str">
        <f>IFERROR(__xludf.DUMMYFUNCTION("""COMPUTED_VALUE"""),"Relative")</f>
        <v>Relative</v>
      </c>
      <c r="G104" s="15" t="str">
        <f>IFERROR(__xludf.DUMMYFUNCTION("""COMPUTED_VALUE"""),"The Dazzlers")</f>
        <v>The Dazzlers</v>
      </c>
      <c r="H104" s="12" t="str">
        <f>IF(G104&lt;&gt;"",VLOOKUP(G104,Settings!$B$4:$C$35,2,false),"")</f>
        <v>Mousumi Moharana</v>
      </c>
      <c r="I104" s="12" t="str">
        <f>IFERROR(__xludf.DUMMYFUNCTION("""COMPUTED_VALUE"""),"")</f>
        <v/>
      </c>
      <c r="J104" s="15" t="s">
        <v>470</v>
      </c>
      <c r="K104" s="16">
        <v>43399.0</v>
      </c>
      <c r="L104" s="3"/>
    </row>
    <row r="105">
      <c r="A105" s="17">
        <f t="shared" si="1"/>
        <v>103</v>
      </c>
      <c r="B105" s="12" t="str">
        <f>IFERROR(__xludf.DUMMYFUNCTION("""COMPUTED_VALUE"""),"Lakshmi")</f>
        <v>Lakshmi</v>
      </c>
      <c r="C105" s="12" t="str">
        <f>IFERROR(__xludf.DUMMYFUNCTION("""COMPUTED_VALUE"""),"laks_sanj@yahoo.co.in")</f>
        <v>laks_sanj@yahoo.co.in</v>
      </c>
      <c r="D105" s="12" t="str">
        <f>IFERROR(__xludf.DUMMYFUNCTION("""COMPUTED_VALUE"""),"Adult")</f>
        <v>Adult</v>
      </c>
      <c r="E105" s="13">
        <f>IF(D105&lt;&gt;"",VLOOKUP(D105,Settings!$G$3:$H$6,2,false),"")</f>
        <v>2300</v>
      </c>
      <c r="F105" s="15" t="str">
        <f>IFERROR(__xludf.DUMMYFUNCTION("""COMPUTED_VALUE"""),"Relative")</f>
        <v>Relative</v>
      </c>
      <c r="G105" s="15" t="str">
        <f>IFERROR(__xludf.DUMMYFUNCTION("""COMPUTED_VALUE"""),"Classical Mermaids")</f>
        <v>Classical Mermaids</v>
      </c>
      <c r="H105" s="12" t="str">
        <f>IF(G105&lt;&gt;"",VLOOKUP(G105,Settings!$B$4:$C$35,2,false),"")</f>
        <v>Preetha</v>
      </c>
      <c r="I105" s="12" t="str">
        <f>IFERROR(__xludf.DUMMYFUNCTION("""COMPUTED_VALUE"""),"")</f>
        <v/>
      </c>
      <c r="J105" s="15" t="s">
        <v>470</v>
      </c>
      <c r="K105" s="16">
        <v>43401.0</v>
      </c>
      <c r="L105" s="3"/>
    </row>
    <row r="106">
      <c r="A106" s="17">
        <f t="shared" si="1"/>
        <v>104</v>
      </c>
      <c r="B106" s="12" t="str">
        <f>IFERROR(__xludf.DUMMYFUNCTION("""COMPUTED_VALUE"""),"Ayaan Ibrahim")</f>
        <v>Ayaan Ibrahim</v>
      </c>
      <c r="C106" s="12" t="str">
        <f>IFERROR(__xludf.DUMMYFUNCTION("""COMPUTED_VALUE"""),"aboobacker@gmail.com")</f>
        <v>aboobacker@gmail.com</v>
      </c>
      <c r="D106" s="12" t="str">
        <f>IFERROR(__xludf.DUMMYFUNCTION("""COMPUTED_VALUE"""),"Child")</f>
        <v>Child</v>
      </c>
      <c r="E106" s="13">
        <f>IF(D106&lt;&gt;"",VLOOKUP(D106,Settings!$G$3:$H$6,2,false),"")</f>
        <v>1200</v>
      </c>
      <c r="F106" s="15" t="str">
        <f>IFERROR(__xludf.DUMMYFUNCTION("""COMPUTED_VALUE"""),"Performer")</f>
        <v>Performer</v>
      </c>
      <c r="G106" s="15" t="str">
        <f>IFERROR(__xludf.DUMMYFUNCTION("""COMPUTED_VALUE"""),"Little Champions")</f>
        <v>Little Champions</v>
      </c>
      <c r="H106" s="12" t="str">
        <f>IF(G106&lt;&gt;"",VLOOKUP(G106,Settings!$B$4:$C$35,2,false),"")</f>
        <v>Vividha Bhopre</v>
      </c>
      <c r="I106" s="12" t="str">
        <f>IFERROR(__xludf.DUMMYFUNCTION("""COMPUTED_VALUE"""),"")</f>
        <v/>
      </c>
      <c r="J106" s="15" t="s">
        <v>241</v>
      </c>
      <c r="K106" s="12"/>
      <c r="L106" s="3"/>
    </row>
    <row r="107">
      <c r="A107" s="17">
        <f t="shared" si="1"/>
        <v>105</v>
      </c>
      <c r="B107" s="12" t="str">
        <f>IFERROR(__xludf.DUMMYFUNCTION("""COMPUTED_VALUE"""),"Dhiya Aboobacker ")</f>
        <v>Dhiya Aboobacker </v>
      </c>
      <c r="C107" s="12" t="str">
        <f>IFERROR(__xludf.DUMMYFUNCTION("""COMPUTED_VALUE"""),"aboobacker@gmail.com")</f>
        <v>aboobacker@gmail.com</v>
      </c>
      <c r="D107" s="12" t="str">
        <f>IFERROR(__xludf.DUMMYFUNCTION("""COMPUTED_VALUE"""),"Child")</f>
        <v>Child</v>
      </c>
      <c r="E107" s="13">
        <f>IF(D107&lt;&gt;"",VLOOKUP(D107,Settings!$G$3:$H$6,2,false),"")</f>
        <v>1200</v>
      </c>
      <c r="F107" s="15" t="str">
        <f>IFERROR(__xludf.DUMMYFUNCTION("""COMPUTED_VALUE"""),"Relative")</f>
        <v>Relative</v>
      </c>
      <c r="G107" s="15" t="str">
        <f>IFERROR(__xludf.DUMMYFUNCTION("""COMPUTED_VALUE"""),"Little Champions")</f>
        <v>Little Champions</v>
      </c>
      <c r="H107" s="12" t="str">
        <f>IF(G107&lt;&gt;"",VLOOKUP(G107,Settings!$B$4:$C$35,2,false),"")</f>
        <v>Vividha Bhopre</v>
      </c>
      <c r="I107" s="12" t="str">
        <f>IFERROR(__xludf.DUMMYFUNCTION("""COMPUTED_VALUE"""),"")</f>
        <v/>
      </c>
      <c r="J107" s="15" t="s">
        <v>241</v>
      </c>
      <c r="K107" s="16"/>
      <c r="L107" s="3"/>
    </row>
    <row r="108">
      <c r="A108" s="17">
        <f t="shared" si="1"/>
        <v>106</v>
      </c>
      <c r="B108" s="12" t="str">
        <f>IFERROR(__xludf.DUMMYFUNCTION("""COMPUTED_VALUE"""),"Raseena Aboobacker ")</f>
        <v>Raseena Aboobacker </v>
      </c>
      <c r="C108" s="12" t="str">
        <f>IFERROR(__xludf.DUMMYFUNCTION("""COMPUTED_VALUE"""),"aboobacker@gmail.com")</f>
        <v>aboobacker@gmail.com</v>
      </c>
      <c r="D108" s="12" t="str">
        <f>IFERROR(__xludf.DUMMYFUNCTION("""COMPUTED_VALUE"""),"Adult")</f>
        <v>Adult</v>
      </c>
      <c r="E108" s="13">
        <f>IF(D108&lt;&gt;"",VLOOKUP(D108,Settings!$G$3:$H$6,2,false),"")</f>
        <v>2300</v>
      </c>
      <c r="F108" s="15" t="str">
        <f>IFERROR(__xludf.DUMMYFUNCTION("""COMPUTED_VALUE"""),"Relative")</f>
        <v>Relative</v>
      </c>
      <c r="G108" s="15" t="str">
        <f>IFERROR(__xludf.DUMMYFUNCTION("""COMPUTED_VALUE"""),"Little Champions")</f>
        <v>Little Champions</v>
      </c>
      <c r="H108" s="12" t="str">
        <f>IF(G108&lt;&gt;"",VLOOKUP(G108,Settings!$B$4:$C$35,2,false),"")</f>
        <v>Vividha Bhopre</v>
      </c>
      <c r="I108" s="12" t="str">
        <f>IFERROR(__xludf.DUMMYFUNCTION("""COMPUTED_VALUE"""),"")</f>
        <v/>
      </c>
      <c r="J108" s="15" t="s">
        <v>241</v>
      </c>
      <c r="K108" s="16"/>
      <c r="L108" s="3"/>
    </row>
    <row r="109">
      <c r="A109" s="17">
        <f t="shared" si="1"/>
        <v>107</v>
      </c>
      <c r="B109" s="12" t="str">
        <f>IFERROR(__xludf.DUMMYFUNCTION("""COMPUTED_VALUE"""),"Babu Aboobacker ")</f>
        <v>Babu Aboobacker </v>
      </c>
      <c r="C109" s="12" t="str">
        <f>IFERROR(__xludf.DUMMYFUNCTION("""COMPUTED_VALUE"""),"aboobacker@gmail.com")</f>
        <v>aboobacker@gmail.com</v>
      </c>
      <c r="D109" s="12" t="str">
        <f>IFERROR(__xludf.DUMMYFUNCTION("""COMPUTED_VALUE"""),"Adult")</f>
        <v>Adult</v>
      </c>
      <c r="E109" s="13">
        <f>IF(D109&lt;&gt;"",VLOOKUP(D109,Settings!$G$3:$H$6,2,false),"")</f>
        <v>2300</v>
      </c>
      <c r="F109" s="15" t="str">
        <f>IFERROR(__xludf.DUMMYFUNCTION("""COMPUTED_VALUE"""),"Relative")</f>
        <v>Relative</v>
      </c>
      <c r="G109" s="15" t="str">
        <f>IFERROR(__xludf.DUMMYFUNCTION("""COMPUTED_VALUE"""),"Little Champions")</f>
        <v>Little Champions</v>
      </c>
      <c r="H109" s="12" t="str">
        <f>IF(G109&lt;&gt;"",VLOOKUP(G109,Settings!$B$4:$C$35,2,false),"")</f>
        <v>Vividha Bhopre</v>
      </c>
      <c r="I109" s="12" t="str">
        <f>IFERROR(__xludf.DUMMYFUNCTION("""COMPUTED_VALUE"""),"")</f>
        <v/>
      </c>
      <c r="J109" s="15" t="s">
        <v>241</v>
      </c>
      <c r="K109" s="16"/>
      <c r="L109" s="3"/>
    </row>
    <row r="110">
      <c r="A110" s="17">
        <f t="shared" si="1"/>
        <v>108</v>
      </c>
      <c r="B110" s="12" t="str">
        <f>IFERROR(__xludf.DUMMYFUNCTION("""COMPUTED_VALUE"""),"MEGHNA SANTHOSH")</f>
        <v>MEGHNA SANTHOSH</v>
      </c>
      <c r="C110" s="12" t="str">
        <f>IFERROR(__xludf.DUMMYFUNCTION("""COMPUTED_VALUE"""),"santhosh.sreelakshmi@gmail.com")</f>
        <v>santhosh.sreelakshmi@gmail.com</v>
      </c>
      <c r="D110" s="12" t="str">
        <f>IFERROR(__xludf.DUMMYFUNCTION("""COMPUTED_VALUE"""),"Child")</f>
        <v>Child</v>
      </c>
      <c r="E110" s="13">
        <f>IF(D110&lt;&gt;"",VLOOKUP(D110,Settings!$G$3:$H$6,2,false),"")</f>
        <v>1200</v>
      </c>
      <c r="F110" s="15" t="str">
        <f>IFERROR(__xludf.DUMMYFUNCTION("""COMPUTED_VALUE"""),"Performer")</f>
        <v>Performer</v>
      </c>
      <c r="G110" s="15" t="str">
        <f>IFERROR(__xludf.DUMMYFUNCTION("""COMPUTED_VALUE"""),"Twinkle Toes")</f>
        <v>Twinkle Toes</v>
      </c>
      <c r="H110" s="12" t="str">
        <f>IF(G110&lt;&gt;"",VLOOKUP(G110,Settings!$B$4:$C$35,2,false),"")</f>
        <v>DHANYA.K.G</v>
      </c>
      <c r="I110" s="12" t="str">
        <f>IFERROR(__xludf.DUMMYFUNCTION("""COMPUTED_VALUE"""),"")</f>
        <v/>
      </c>
      <c r="J110" s="15" t="s">
        <v>241</v>
      </c>
      <c r="K110" s="16"/>
      <c r="L110" s="3"/>
    </row>
    <row r="111">
      <c r="A111" s="17">
        <f t="shared" si="1"/>
        <v>109</v>
      </c>
      <c r="B111" s="12" t="str">
        <f>IFERROR(__xludf.DUMMYFUNCTION("""COMPUTED_VALUE"""),"MANJU SANTHOSH")</f>
        <v>MANJU SANTHOSH</v>
      </c>
      <c r="C111" s="12" t="str">
        <f>IFERROR(__xludf.DUMMYFUNCTION("""COMPUTED_VALUE"""),"santhosh.sreelakshmi@gmail.com")</f>
        <v>santhosh.sreelakshmi@gmail.com</v>
      </c>
      <c r="D111" s="12" t="str">
        <f>IFERROR(__xludf.DUMMYFUNCTION("""COMPUTED_VALUE"""),"Adult")</f>
        <v>Adult</v>
      </c>
      <c r="E111" s="13">
        <f>IF(D111&lt;&gt;"",VLOOKUP(D111,Settings!$G$3:$H$6,2,false),"")</f>
        <v>2300</v>
      </c>
      <c r="F111" s="15" t="str">
        <f>IFERROR(__xludf.DUMMYFUNCTION("""COMPUTED_VALUE"""),"Relative")</f>
        <v>Relative</v>
      </c>
      <c r="G111" s="15" t="str">
        <f>IFERROR(__xludf.DUMMYFUNCTION("""COMPUTED_VALUE"""),"Twinkle Toes")</f>
        <v>Twinkle Toes</v>
      </c>
      <c r="H111" s="12" t="str">
        <f>IF(G111&lt;&gt;"",VLOOKUP(G111,Settings!$B$4:$C$35,2,false),"")</f>
        <v>DHANYA.K.G</v>
      </c>
      <c r="I111" s="12" t="str">
        <f>IFERROR(__xludf.DUMMYFUNCTION("""COMPUTED_VALUE"""),"")</f>
        <v/>
      </c>
      <c r="J111" s="15" t="s">
        <v>241</v>
      </c>
      <c r="K111" s="16"/>
      <c r="L111" s="3"/>
    </row>
    <row r="112">
      <c r="A112" s="17">
        <f t="shared" si="1"/>
        <v>110</v>
      </c>
      <c r="B112" s="12" t="str">
        <f>IFERROR(__xludf.DUMMYFUNCTION("""COMPUTED_VALUE"""),"PRIYA SHELAR")</f>
        <v>PRIYA SHELAR</v>
      </c>
      <c r="C112" s="12" t="str">
        <f>IFERROR(__xludf.DUMMYFUNCTION("""COMPUTED_VALUE"""),"priya.shelar@gmail.com")</f>
        <v>priya.shelar@gmail.com</v>
      </c>
      <c r="D112" s="12" t="str">
        <f>IFERROR(__xludf.DUMMYFUNCTION("""COMPUTED_VALUE"""),"Adult")</f>
        <v>Adult</v>
      </c>
      <c r="E112" s="13">
        <f>IF(D112&lt;&gt;"",VLOOKUP(D112,Settings!$G$3:$H$6,2,false),"")</f>
        <v>2300</v>
      </c>
      <c r="F112" s="15" t="str">
        <f>IFERROR(__xludf.DUMMYFUNCTION("""COMPUTED_VALUE"""),"Relative")</f>
        <v>Relative</v>
      </c>
      <c r="G112" s="15" t="str">
        <f>IFERROR(__xludf.DUMMYFUNCTION("""COMPUTED_VALUE"""),"Twinkle Toes")</f>
        <v>Twinkle Toes</v>
      </c>
      <c r="H112" s="12" t="str">
        <f>IF(G112&lt;&gt;"",VLOOKUP(G112,Settings!$B$4:$C$35,2,false),"")</f>
        <v>DHANYA.K.G</v>
      </c>
      <c r="I112" s="12" t="str">
        <f>IFERROR(__xludf.DUMMYFUNCTION("""COMPUTED_VALUE"""),"")</f>
        <v/>
      </c>
      <c r="J112" s="15" t="s">
        <v>241</v>
      </c>
      <c r="K112" s="16"/>
      <c r="L112" s="3"/>
    </row>
    <row r="113">
      <c r="A113" s="17">
        <f t="shared" si="1"/>
        <v>111</v>
      </c>
      <c r="B113" s="12" t="str">
        <f>IFERROR(__xludf.DUMMYFUNCTION("""COMPUTED_VALUE"""),"Ghatole Arya")</f>
        <v>Ghatole Arya</v>
      </c>
      <c r="C113" s="12" t="str">
        <f>IFERROR(__xludf.DUMMYFUNCTION("""COMPUTED_VALUE"""),"ajay.ghatole@gmail.com")</f>
        <v>ajay.ghatole@gmail.com</v>
      </c>
      <c r="D113" s="12" t="str">
        <f>IFERROR(__xludf.DUMMYFUNCTION("""COMPUTED_VALUE"""),"Adult")</f>
        <v>Adult</v>
      </c>
      <c r="E113" s="13">
        <f>IF(D113&lt;&gt;"",VLOOKUP(D113,Settings!$G$3:$H$6,2,false),"")</f>
        <v>2300</v>
      </c>
      <c r="F113" s="15" t="str">
        <f>IFERROR(__xludf.DUMMYFUNCTION("""COMPUTED_VALUE"""),"Performer")</f>
        <v>Performer</v>
      </c>
      <c r="G113" s="15" t="str">
        <f>IFERROR(__xludf.DUMMYFUNCTION("""COMPUTED_VALUE"""),"Dance Ojima Dance-DOD")</f>
        <v>Dance Ojima Dance-DOD</v>
      </c>
      <c r="H113" s="12" t="str">
        <f>IF(G113&lt;&gt;"",VLOOKUP(G113,Settings!$B$4:$C$35,2,false),"")</f>
        <v>Shweta Singla</v>
      </c>
      <c r="I113" s="12" t="str">
        <f>IFERROR(__xludf.DUMMYFUNCTION("""COMPUTED_VALUE"""),"")</f>
        <v/>
      </c>
      <c r="J113" s="15" t="s">
        <v>241</v>
      </c>
      <c r="K113" s="12"/>
      <c r="L113" s="3"/>
    </row>
    <row r="114">
      <c r="A114" s="17">
        <f t="shared" si="1"/>
        <v>112</v>
      </c>
      <c r="B114" s="12" t="str">
        <f>IFERROR(__xludf.DUMMYFUNCTION("""COMPUTED_VALUE"""),"Adhya Ghatole ")</f>
        <v>Adhya Ghatole </v>
      </c>
      <c r="C114" s="12" t="str">
        <f>IFERROR(__xludf.DUMMYFUNCTION("""COMPUTED_VALUE"""),"ajay.ghatole@gmail.com")</f>
        <v>ajay.ghatole@gmail.com</v>
      </c>
      <c r="D114" s="12" t="str">
        <f>IFERROR(__xludf.DUMMYFUNCTION("""COMPUTED_VALUE"""),"Child")</f>
        <v>Child</v>
      </c>
      <c r="E114" s="13">
        <f>IF(D114&lt;&gt;"",VLOOKUP(D114,Settings!$G$3:$H$6,2,false),"")</f>
        <v>1200</v>
      </c>
      <c r="F114" s="15" t="str">
        <f>IFERROR(__xludf.DUMMYFUNCTION("""COMPUTED_VALUE"""),"Performer")</f>
        <v>Performer</v>
      </c>
      <c r="G114" s="15" t="str">
        <f>IFERROR(__xludf.DUMMYFUNCTION("""COMPUTED_VALUE"""),"Blooming Flowers")</f>
        <v>Blooming Flowers</v>
      </c>
      <c r="H114" s="12" t="str">
        <f>IF(G114&lt;&gt;"",VLOOKUP(G114,Settings!$B$4:$C$35,2,false),"")</f>
        <v>Amita Deshpande</v>
      </c>
      <c r="I114" s="12" t="str">
        <f>IFERROR(__xludf.DUMMYFUNCTION("""COMPUTED_VALUE"""),"")</f>
        <v/>
      </c>
      <c r="J114" s="15" t="s">
        <v>241</v>
      </c>
      <c r="K114" s="12"/>
      <c r="L114" s="3"/>
    </row>
    <row r="115">
      <c r="A115" s="17">
        <f t="shared" si="1"/>
        <v>113</v>
      </c>
      <c r="B115" s="12" t="str">
        <f>IFERROR(__xludf.DUMMYFUNCTION("""COMPUTED_VALUE"""),"GHATOLE ANURADHA")</f>
        <v>GHATOLE ANURADHA</v>
      </c>
      <c r="C115" s="12" t="str">
        <f>IFERROR(__xludf.DUMMYFUNCTION("""COMPUTED_VALUE"""),"ajay.ghatole@gmail.com")</f>
        <v>ajay.ghatole@gmail.com</v>
      </c>
      <c r="D115" s="12" t="str">
        <f>IFERROR(__xludf.DUMMYFUNCTION("""COMPUTED_VALUE"""),"Adult")</f>
        <v>Adult</v>
      </c>
      <c r="E115" s="13">
        <f>IF(D115&lt;&gt;"",VLOOKUP(D115,Settings!$G$3:$H$6,2,false),"")</f>
        <v>2300</v>
      </c>
      <c r="F115" s="15" t="str">
        <f>IFERROR(__xludf.DUMMYFUNCTION("""COMPUTED_VALUE"""),"Relative")</f>
        <v>Relative</v>
      </c>
      <c r="G115" s="15" t="str">
        <f>IFERROR(__xludf.DUMMYFUNCTION("""COMPUTED_VALUE"""),"Dance Ojima Dance-DOD")</f>
        <v>Dance Ojima Dance-DOD</v>
      </c>
      <c r="H115" s="12" t="str">
        <f>IF(G115&lt;&gt;"",VLOOKUP(G115,Settings!$B$4:$C$35,2,false),"")</f>
        <v>Shweta Singla</v>
      </c>
      <c r="I115" s="12" t="str">
        <f>IFERROR(__xludf.DUMMYFUNCTION("""COMPUTED_VALUE"""),"")</f>
        <v/>
      </c>
      <c r="J115" s="15" t="s">
        <v>241</v>
      </c>
      <c r="K115" s="12"/>
      <c r="L115" s="3"/>
    </row>
    <row r="116">
      <c r="A116" s="17">
        <f t="shared" si="1"/>
        <v>114</v>
      </c>
      <c r="B116" s="12" t="str">
        <f>IFERROR(__xludf.DUMMYFUNCTION("""COMPUTED_VALUE"""),"Geethika Laneesh")</f>
        <v>Geethika Laneesh</v>
      </c>
      <c r="C116" s="12" t="str">
        <f>IFERROR(__xludf.DUMMYFUNCTION("""COMPUTED_VALUE"""),"nanisha_a@yahoo.co.in")</f>
        <v>nanisha_a@yahoo.co.in</v>
      </c>
      <c r="D116" s="12" t="str">
        <f>IFERROR(__xludf.DUMMYFUNCTION("""COMPUTED_VALUE"""),"Child")</f>
        <v>Child</v>
      </c>
      <c r="E116" s="13">
        <f>IF(D116&lt;&gt;"",VLOOKUP(D116,Settings!$G$3:$H$6,2,false),"")</f>
        <v>1200</v>
      </c>
      <c r="F116" s="15" t="str">
        <f>IFERROR(__xludf.DUMMYFUNCTION("""COMPUTED_VALUE"""),"Performer")</f>
        <v>Performer</v>
      </c>
      <c r="G116" s="15" t="str">
        <f>IFERROR(__xludf.DUMMYFUNCTION("""COMPUTED_VALUE"""),"Thapasya - Brahmari School Of Dance")</f>
        <v>Thapasya - Brahmari School Of Dance</v>
      </c>
      <c r="H116" s="12" t="str">
        <f>IF(G116&lt;&gt;"",VLOOKUP(G116,Settings!$B$4:$C$35,2,false),"")</f>
        <v>Resmi Joby</v>
      </c>
      <c r="I116" s="12" t="str">
        <f>IFERROR(__xludf.DUMMYFUNCTION("""COMPUTED_VALUE"""),"")</f>
        <v/>
      </c>
      <c r="J116" s="15" t="s">
        <v>470</v>
      </c>
      <c r="K116" s="16">
        <v>43401.0</v>
      </c>
      <c r="L116" s="3"/>
    </row>
    <row r="117">
      <c r="A117" s="17">
        <f t="shared" si="1"/>
        <v>115</v>
      </c>
      <c r="B117" s="12" t="str">
        <f>IFERROR(__xludf.DUMMYFUNCTION("""COMPUTED_VALUE"""),"KIRAN PRAVEENA")</f>
        <v>KIRAN PRAVEENA</v>
      </c>
      <c r="C117" s="12" t="str">
        <f>IFERROR(__xludf.DUMMYFUNCTION("""COMPUTED_VALUE"""),"kirrugk@gmail.com")</f>
        <v>kirrugk@gmail.com</v>
      </c>
      <c r="D117" s="12" t="str">
        <f>IFERROR(__xludf.DUMMYFUNCTION("""COMPUTED_VALUE"""),"Adult")</f>
        <v>Adult</v>
      </c>
      <c r="E117" s="13">
        <f>IF(D117&lt;&gt;"",VLOOKUP(D117,Settings!$G$3:$H$6,2,false),"")</f>
        <v>2300</v>
      </c>
      <c r="F117" s="15" t="str">
        <f>IFERROR(__xludf.DUMMYFUNCTION("""COMPUTED_VALUE"""),"Performer")</f>
        <v>Performer</v>
      </c>
      <c r="G117" s="15" t="str">
        <f>IFERROR(__xludf.DUMMYFUNCTION("""COMPUTED_VALUE"""),"Thapasya - Brahmari School Of Dance")</f>
        <v>Thapasya - Brahmari School Of Dance</v>
      </c>
      <c r="H117" s="12" t="str">
        <f>IF(G117&lt;&gt;"",VLOOKUP(G117,Settings!$B$4:$C$35,2,false),"")</f>
        <v>Resmi Joby</v>
      </c>
      <c r="I117" s="12" t="str">
        <f>IFERROR(__xludf.DUMMYFUNCTION("""COMPUTED_VALUE"""),"")</f>
        <v/>
      </c>
      <c r="J117" s="15" t="s">
        <v>470</v>
      </c>
      <c r="K117" s="16">
        <v>43401.0</v>
      </c>
      <c r="L117" s="3"/>
    </row>
    <row r="118">
      <c r="A118" s="17">
        <f t="shared" si="1"/>
        <v>116</v>
      </c>
      <c r="B118" s="12" t="str">
        <f>IFERROR(__xludf.DUMMYFUNCTION("""COMPUTED_VALUE"""),"Amrita Jayaprakash ")</f>
        <v>Amrita Jayaprakash </v>
      </c>
      <c r="C118" s="12" t="str">
        <f>IFERROR(__xludf.DUMMYFUNCTION("""COMPUTED_VALUE"""),"kaniyajayaprakash@gmail.com")</f>
        <v>kaniyajayaprakash@gmail.com</v>
      </c>
      <c r="D118" s="12" t="str">
        <f>IFERROR(__xludf.DUMMYFUNCTION("""COMPUTED_VALUE"""),"Child")</f>
        <v>Child</v>
      </c>
      <c r="E118" s="13">
        <f>IF(D118&lt;&gt;"",VLOOKUP(D118,Settings!$G$3:$H$6,2,false),"")</f>
        <v>1200</v>
      </c>
      <c r="F118" s="15" t="str">
        <f>IFERROR(__xludf.DUMMYFUNCTION("""COMPUTED_VALUE"""),"Performer")</f>
        <v>Performer</v>
      </c>
      <c r="G118" s="15" t="str">
        <f>IFERROR(__xludf.DUMMYFUNCTION("""COMPUTED_VALUE"""),"Thapasya - Brahmari School Of Dance")</f>
        <v>Thapasya - Brahmari School Of Dance</v>
      </c>
      <c r="H118" s="12" t="str">
        <f>IF(G118&lt;&gt;"",VLOOKUP(G118,Settings!$B$4:$C$35,2,false),"")</f>
        <v>Resmi Joby</v>
      </c>
      <c r="I118" s="12" t="str">
        <f>IFERROR(__xludf.DUMMYFUNCTION("""COMPUTED_VALUE"""),"")</f>
        <v/>
      </c>
      <c r="J118" s="15" t="s">
        <v>470</v>
      </c>
      <c r="K118" s="16">
        <v>43401.0</v>
      </c>
      <c r="L118" s="3"/>
    </row>
    <row r="119">
      <c r="A119" s="17">
        <f t="shared" si="1"/>
        <v>117</v>
      </c>
      <c r="B119" s="12" t="str">
        <f>IFERROR(__xludf.DUMMYFUNCTION("""COMPUTED_VALUE"""),"Arya Jayaprakash ")</f>
        <v>Arya Jayaprakash </v>
      </c>
      <c r="C119" s="12" t="str">
        <f>IFERROR(__xludf.DUMMYFUNCTION("""COMPUTED_VALUE"""),"kaniyajayaprakash@gmail.com")</f>
        <v>kaniyajayaprakash@gmail.com</v>
      </c>
      <c r="D119" s="12" t="str">
        <f>IFERROR(__xludf.DUMMYFUNCTION("""COMPUTED_VALUE"""),"Adult")</f>
        <v>Adult</v>
      </c>
      <c r="E119" s="13">
        <f>IF(D119&lt;&gt;"",VLOOKUP(D119,Settings!$G$3:$H$6,2,false),"")</f>
        <v>2300</v>
      </c>
      <c r="F119" s="15" t="str">
        <f>IFERROR(__xludf.DUMMYFUNCTION("""COMPUTED_VALUE"""),"Performer")</f>
        <v>Performer</v>
      </c>
      <c r="G119" s="15" t="str">
        <f>IFERROR(__xludf.DUMMYFUNCTION("""COMPUTED_VALUE"""),"Classical Mermaids")</f>
        <v>Classical Mermaids</v>
      </c>
      <c r="H119" s="12" t="str">
        <f>IF(G119&lt;&gt;"",VLOOKUP(G119,Settings!$B$4:$C$35,2,false),"")</f>
        <v>Preetha</v>
      </c>
      <c r="I119" s="12" t="str">
        <f>IFERROR(__xludf.DUMMYFUNCTION("""COMPUTED_VALUE"""),"")</f>
        <v/>
      </c>
      <c r="J119" s="15" t="s">
        <v>470</v>
      </c>
      <c r="K119" s="16">
        <v>43401.0</v>
      </c>
      <c r="L119" s="3"/>
    </row>
    <row r="120">
      <c r="A120" s="17">
        <f t="shared" si="1"/>
        <v>118</v>
      </c>
      <c r="B120" s="12" t="str">
        <f>IFERROR(__xludf.DUMMYFUNCTION("""COMPUTED_VALUE"""),"Kaniya Jayaprakash  ")</f>
        <v>Kaniya Jayaprakash  </v>
      </c>
      <c r="C120" s="12" t="str">
        <f>IFERROR(__xludf.DUMMYFUNCTION("""COMPUTED_VALUE"""),"kaniyajayaprakash@gmail.com")</f>
        <v>kaniyajayaprakash@gmail.com</v>
      </c>
      <c r="D120" s="12" t="str">
        <f>IFERROR(__xludf.DUMMYFUNCTION("""COMPUTED_VALUE"""),"Adult")</f>
        <v>Adult</v>
      </c>
      <c r="E120" s="13">
        <f>IF(D120&lt;&gt;"",VLOOKUP(D120,Settings!$G$3:$H$6,2,false),"")</f>
        <v>2300</v>
      </c>
      <c r="F120" s="15" t="str">
        <f>IFERROR(__xludf.DUMMYFUNCTION("""COMPUTED_VALUE"""),"Relative")</f>
        <v>Relative</v>
      </c>
      <c r="G120" s="15" t="str">
        <f>IFERROR(__xludf.DUMMYFUNCTION("""COMPUTED_VALUE"""),"Classical Mermaids")</f>
        <v>Classical Mermaids</v>
      </c>
      <c r="H120" s="12" t="str">
        <f>IF(G120&lt;&gt;"",VLOOKUP(G120,Settings!$B$4:$C$35,2,false),"")</f>
        <v>Preetha</v>
      </c>
      <c r="I120" s="12" t="str">
        <f>IFERROR(__xludf.DUMMYFUNCTION("""COMPUTED_VALUE"""),"")</f>
        <v/>
      </c>
      <c r="J120" s="15" t="s">
        <v>470</v>
      </c>
      <c r="K120" s="16">
        <v>43401.0</v>
      </c>
      <c r="L120" s="3"/>
    </row>
    <row r="121">
      <c r="A121" s="17">
        <f t="shared" si="1"/>
        <v>119</v>
      </c>
      <c r="B121" s="12" t="str">
        <f>IFERROR(__xludf.DUMMYFUNCTION("""COMPUTED_VALUE"""),"Snigdha Tunuguntla (performer)")</f>
        <v>Snigdha Tunuguntla (performer)</v>
      </c>
      <c r="C121" s="12" t="str">
        <f>IFERROR(__xludf.DUMMYFUNCTION("""COMPUTED_VALUE"""),"sireeshatunuguntla@yahoo.com")</f>
        <v>sireeshatunuguntla@yahoo.com</v>
      </c>
      <c r="D121" s="12" t="str">
        <f>IFERROR(__xludf.DUMMYFUNCTION("""COMPUTED_VALUE"""),"Child")</f>
        <v>Child</v>
      </c>
      <c r="E121" s="13">
        <f>IF(D121&lt;&gt;"",VLOOKUP(D121,Settings!$G$3:$H$6,2,false),"")</f>
        <v>1200</v>
      </c>
      <c r="F121" s="15" t="str">
        <f>IFERROR(__xludf.DUMMYFUNCTION("""COMPUTED_VALUE"""),"Performer")</f>
        <v>Performer</v>
      </c>
      <c r="G121" s="15" t="str">
        <f>IFERROR(__xludf.DUMMYFUNCTION("""COMPUTED_VALUE"""),"Thapasya - Brahmari School Of Dance")</f>
        <v>Thapasya - Brahmari School Of Dance</v>
      </c>
      <c r="H121" s="12" t="str">
        <f>IF(G121&lt;&gt;"",VLOOKUP(G121,Settings!$B$4:$C$35,2,false),"")</f>
        <v>Resmi Joby</v>
      </c>
      <c r="I121" s="12" t="str">
        <f>IFERROR(__xludf.DUMMYFUNCTION("""COMPUTED_VALUE"""),"")</f>
        <v/>
      </c>
      <c r="J121" s="15" t="s">
        <v>470</v>
      </c>
      <c r="K121" s="16">
        <v>43401.0</v>
      </c>
      <c r="L121" s="3"/>
    </row>
    <row r="122">
      <c r="A122" s="17">
        <f t="shared" si="1"/>
        <v>120</v>
      </c>
      <c r="B122" s="12" t="str">
        <f>IFERROR(__xludf.DUMMYFUNCTION("""COMPUTED_VALUE"""),"Sireesha")</f>
        <v>Sireesha</v>
      </c>
      <c r="C122" s="12" t="str">
        <f>IFERROR(__xludf.DUMMYFUNCTION("""COMPUTED_VALUE"""),"sireeshatunuguntla@yahoo.com")</f>
        <v>sireeshatunuguntla@yahoo.com</v>
      </c>
      <c r="D122" s="12" t="str">
        <f>IFERROR(__xludf.DUMMYFUNCTION("""COMPUTED_VALUE"""),"Adult")</f>
        <v>Adult</v>
      </c>
      <c r="E122" s="13">
        <f>IF(D122&lt;&gt;"",VLOOKUP(D122,Settings!$G$3:$H$6,2,false),"")</f>
        <v>2300</v>
      </c>
      <c r="F122" s="15" t="str">
        <f>IFERROR(__xludf.DUMMYFUNCTION("""COMPUTED_VALUE"""),"Relative")</f>
        <v>Relative</v>
      </c>
      <c r="G122" s="15" t="str">
        <f>IFERROR(__xludf.DUMMYFUNCTION("""COMPUTED_VALUE"""),"Thapasya - Brahmari School Of Dance")</f>
        <v>Thapasya - Brahmari School Of Dance</v>
      </c>
      <c r="H122" s="12" t="str">
        <f>IF(G122&lt;&gt;"",VLOOKUP(G122,Settings!$B$4:$C$35,2,false),"")</f>
        <v>Resmi Joby</v>
      </c>
      <c r="I122" s="12" t="str">
        <f>IFERROR(__xludf.DUMMYFUNCTION("""COMPUTED_VALUE"""),"")</f>
        <v/>
      </c>
      <c r="J122" s="15" t="s">
        <v>470</v>
      </c>
      <c r="K122" s="16">
        <v>43401.0</v>
      </c>
      <c r="L122" s="3"/>
    </row>
    <row r="123">
      <c r="A123" s="17">
        <f t="shared" si="1"/>
        <v>121</v>
      </c>
      <c r="B123" s="12" t="str">
        <f>IFERROR(__xludf.DUMMYFUNCTION("""COMPUTED_VALUE"""),"MiniAju")</f>
        <v>MiniAju</v>
      </c>
      <c r="C123" s="12" t="str">
        <f>IFERROR(__xludf.DUMMYFUNCTION("""COMPUTED_VALUE"""),"miniaju@gmail.com")</f>
        <v>miniaju@gmail.com</v>
      </c>
      <c r="D123" s="12" t="str">
        <f>IFERROR(__xludf.DUMMYFUNCTION("""COMPUTED_VALUE"""),"Adult")</f>
        <v>Adult</v>
      </c>
      <c r="E123" s="13">
        <f>IF(D123&lt;&gt;"",VLOOKUP(D123,Settings!$G$3:$H$6,2,false),"")</f>
        <v>2300</v>
      </c>
      <c r="F123" s="15" t="str">
        <f>IFERROR(__xludf.DUMMYFUNCTION("""COMPUTED_VALUE"""),"Relative")</f>
        <v>Relative</v>
      </c>
      <c r="G123" s="15" t="str">
        <f>IFERROR(__xludf.DUMMYFUNCTION("""COMPUTED_VALUE"""),"Classical Mermaids")</f>
        <v>Classical Mermaids</v>
      </c>
      <c r="H123" s="12" t="str">
        <f>IF(G123&lt;&gt;"",VLOOKUP(G123,Settings!$B$4:$C$35,2,false),"")</f>
        <v>Preetha</v>
      </c>
      <c r="I123" s="12" t="str">
        <f>IFERROR(__xludf.DUMMYFUNCTION("""COMPUTED_VALUE"""),"")</f>
        <v/>
      </c>
      <c r="J123" s="15" t="s">
        <v>470</v>
      </c>
      <c r="K123" s="16">
        <v>43401.0</v>
      </c>
      <c r="L123" s="3"/>
    </row>
    <row r="124">
      <c r="A124" s="17">
        <f t="shared" si="1"/>
        <v>122</v>
      </c>
      <c r="B124" s="12" t="str">
        <f>IFERROR(__xludf.DUMMYFUNCTION("""COMPUTED_VALUE"""),"Spoorthi Pyarilal")</f>
        <v>Spoorthi Pyarilal</v>
      </c>
      <c r="C124" s="12" t="str">
        <f>IFERROR(__xludf.DUMMYFUNCTION("""COMPUTED_VALUE"""),"mamatha.pyari@gmail.com")</f>
        <v>mamatha.pyari@gmail.com</v>
      </c>
      <c r="D124" s="12" t="str">
        <f>IFERROR(__xludf.DUMMYFUNCTION("""COMPUTED_VALUE"""),"Child")</f>
        <v>Child</v>
      </c>
      <c r="E124" s="13">
        <f>IF(D124&lt;&gt;"",VLOOKUP(D124,Settings!$G$3:$H$6,2,false),"")</f>
        <v>1200</v>
      </c>
      <c r="F124" s="15" t="str">
        <f>IFERROR(__xludf.DUMMYFUNCTION("""COMPUTED_VALUE"""),"Performer")</f>
        <v>Performer</v>
      </c>
      <c r="G124" s="15" t="str">
        <f>IFERROR(__xludf.DUMMYFUNCTION("""COMPUTED_VALUE"""),"Classical Mermaids")</f>
        <v>Classical Mermaids</v>
      </c>
      <c r="H124" s="12" t="str">
        <f>IF(G124&lt;&gt;"",VLOOKUP(G124,Settings!$B$4:$C$35,2,false),"")</f>
        <v>Preetha</v>
      </c>
      <c r="I124" s="12" t="str">
        <f>IFERROR(__xludf.DUMMYFUNCTION("""COMPUTED_VALUE"""),"")</f>
        <v/>
      </c>
      <c r="J124" s="15" t="s">
        <v>470</v>
      </c>
      <c r="K124" s="16">
        <v>43401.0</v>
      </c>
      <c r="L124" s="3"/>
    </row>
    <row r="125">
      <c r="A125" s="17">
        <f t="shared" si="1"/>
        <v>123</v>
      </c>
      <c r="B125" s="12" t="str">
        <f>IFERROR(__xludf.DUMMYFUNCTION("""COMPUTED_VALUE"""),"Mamatha Pyarilal")</f>
        <v>Mamatha Pyarilal</v>
      </c>
      <c r="C125" s="12" t="str">
        <f>IFERROR(__xludf.DUMMYFUNCTION("""COMPUTED_VALUE"""),"mamatha.pyari@gmail.com")</f>
        <v>mamatha.pyari@gmail.com</v>
      </c>
      <c r="D125" s="12" t="str">
        <f>IFERROR(__xludf.DUMMYFUNCTION("""COMPUTED_VALUE"""),"Adult")</f>
        <v>Adult</v>
      </c>
      <c r="E125" s="13">
        <f>IF(D125&lt;&gt;"",VLOOKUP(D125,Settings!$G$3:$H$6,2,false),"")</f>
        <v>2300</v>
      </c>
      <c r="F125" s="15" t="str">
        <f>IFERROR(__xludf.DUMMYFUNCTION("""COMPUTED_VALUE"""),"Relative")</f>
        <v>Relative</v>
      </c>
      <c r="G125" s="15" t="str">
        <f>IFERROR(__xludf.DUMMYFUNCTION("""COMPUTED_VALUE"""),"Classical Mermaids")</f>
        <v>Classical Mermaids</v>
      </c>
      <c r="H125" s="12" t="str">
        <f>IF(G125&lt;&gt;"",VLOOKUP(G125,Settings!$B$4:$C$35,2,false),"")</f>
        <v>Preetha</v>
      </c>
      <c r="I125" s="12" t="str">
        <f>IFERROR(__xludf.DUMMYFUNCTION("""COMPUTED_VALUE"""),"")</f>
        <v/>
      </c>
      <c r="J125" s="15" t="s">
        <v>470</v>
      </c>
      <c r="K125" s="16">
        <v>43401.0</v>
      </c>
      <c r="L125" s="3"/>
    </row>
    <row r="126">
      <c r="A126" s="17">
        <f t="shared" si="1"/>
        <v>124</v>
      </c>
      <c r="B126" s="12" t="str">
        <f>IFERROR(__xludf.DUMMYFUNCTION("""COMPUTED_VALUE"""),"Devika Rajeev ")</f>
        <v>Devika Rajeev </v>
      </c>
      <c r="C126" s="12" t="str">
        <f>IFERROR(__xludf.DUMMYFUNCTION("""COMPUTED_VALUE"""),"tgvini1982@gmail.com")</f>
        <v>tgvini1982@gmail.com</v>
      </c>
      <c r="D126" s="12" t="str">
        <f>IFERROR(__xludf.DUMMYFUNCTION("""COMPUTED_VALUE"""),"Child")</f>
        <v>Child</v>
      </c>
      <c r="E126" s="13">
        <f>IF(D126&lt;&gt;"",VLOOKUP(D126,Settings!$G$3:$H$6,2,false),"")</f>
        <v>1200</v>
      </c>
      <c r="F126" s="15" t="str">
        <f>IFERROR(__xludf.DUMMYFUNCTION("""COMPUTED_VALUE"""),"Performer")</f>
        <v>Performer</v>
      </c>
      <c r="G126" s="15" t="str">
        <f>IFERROR(__xludf.DUMMYFUNCTION("""COMPUTED_VALUE"""),"Thapasya - Brahmari School Of Dance")</f>
        <v>Thapasya - Brahmari School Of Dance</v>
      </c>
      <c r="H126" s="12" t="str">
        <f>IF(G126&lt;&gt;"",VLOOKUP(G126,Settings!$B$4:$C$35,2,false),"")</f>
        <v>Resmi Joby</v>
      </c>
      <c r="I126" s="12" t="str">
        <f>IFERROR(__xludf.DUMMYFUNCTION("""COMPUTED_VALUE"""),"")</f>
        <v/>
      </c>
      <c r="J126" s="15" t="s">
        <v>470</v>
      </c>
      <c r="K126" s="16">
        <v>43401.0</v>
      </c>
      <c r="L126" s="3"/>
    </row>
    <row r="127">
      <c r="A127" s="17">
        <f t="shared" si="1"/>
        <v>125</v>
      </c>
      <c r="B127" s="12" t="str">
        <f>IFERROR(__xludf.DUMMYFUNCTION("""COMPUTED_VALUE"""),"Keertana Pusapati")</f>
        <v>Keertana Pusapati</v>
      </c>
      <c r="C127" s="12" t="str">
        <f>IFERROR(__xludf.DUMMYFUNCTION("""COMPUTED_VALUE"""),"sudhadeepika@gmail.com")</f>
        <v>sudhadeepika@gmail.com</v>
      </c>
      <c r="D127" s="12" t="str">
        <f>IFERROR(__xludf.DUMMYFUNCTION("""COMPUTED_VALUE"""),"Child")</f>
        <v>Child</v>
      </c>
      <c r="E127" s="13">
        <f>IF(D127&lt;&gt;"",VLOOKUP(D127,Settings!$G$3:$H$6,2,false),"")</f>
        <v>1200</v>
      </c>
      <c r="F127" s="15" t="str">
        <f>IFERROR(__xludf.DUMMYFUNCTION("""COMPUTED_VALUE"""),"Performer")</f>
        <v>Performer</v>
      </c>
      <c r="G127" s="15" t="str">
        <f>IFERROR(__xludf.DUMMYFUNCTION("""COMPUTED_VALUE"""),"Thapasya - Brahmari School Of Dance")</f>
        <v>Thapasya - Brahmari School Of Dance</v>
      </c>
      <c r="H127" s="12" t="str">
        <f>IF(G127&lt;&gt;"",VLOOKUP(G127,Settings!$B$4:$C$35,2,false),"")</f>
        <v>Resmi Joby</v>
      </c>
      <c r="I127" s="12" t="str">
        <f>IFERROR(__xludf.DUMMYFUNCTION("""COMPUTED_VALUE"""),"")</f>
        <v/>
      </c>
      <c r="J127" s="15" t="s">
        <v>470</v>
      </c>
      <c r="K127" s="16">
        <v>43401.0</v>
      </c>
      <c r="L127" s="3"/>
    </row>
    <row r="128">
      <c r="A128" s="17">
        <f t="shared" si="1"/>
        <v>126</v>
      </c>
      <c r="B128" s="12" t="str">
        <f>IFERROR(__xludf.DUMMYFUNCTION("""COMPUTED_VALUE"""),"Vinitha Rajeev ")</f>
        <v>Vinitha Rajeev </v>
      </c>
      <c r="C128" s="12" t="str">
        <f>IFERROR(__xludf.DUMMYFUNCTION("""COMPUTED_VALUE"""),"tgvini1982@gmail.com")</f>
        <v>tgvini1982@gmail.com</v>
      </c>
      <c r="D128" s="12" t="str">
        <f>IFERROR(__xludf.DUMMYFUNCTION("""COMPUTED_VALUE"""),"Adult")</f>
        <v>Adult</v>
      </c>
      <c r="E128" s="13">
        <f>IF(D128&lt;&gt;"",VLOOKUP(D128,Settings!$G$3:$H$6,2,false),"")</f>
        <v>2300</v>
      </c>
      <c r="F128" s="15" t="str">
        <f>IFERROR(__xludf.DUMMYFUNCTION("""COMPUTED_VALUE"""),"Relative")</f>
        <v>Relative</v>
      </c>
      <c r="G128" s="15" t="str">
        <f>IFERROR(__xludf.DUMMYFUNCTION("""COMPUTED_VALUE"""),"Thapasya - Brahmari School Of Dance")</f>
        <v>Thapasya - Brahmari School Of Dance</v>
      </c>
      <c r="H128" s="12" t="str">
        <f>IF(G128&lt;&gt;"",VLOOKUP(G128,Settings!$B$4:$C$35,2,false),"")</f>
        <v>Resmi Joby</v>
      </c>
      <c r="I128" s="12" t="str">
        <f>IFERROR(__xludf.DUMMYFUNCTION("""COMPUTED_VALUE"""),"")</f>
        <v/>
      </c>
      <c r="J128" s="15" t="s">
        <v>470</v>
      </c>
      <c r="K128" s="16">
        <v>43401.0</v>
      </c>
      <c r="L128" s="3"/>
    </row>
    <row r="129">
      <c r="A129" s="17">
        <f t="shared" si="1"/>
        <v>127</v>
      </c>
      <c r="B129" s="12" t="str">
        <f>IFERROR(__xludf.DUMMYFUNCTION("""COMPUTED_VALUE"""),"Pusapati Deepika")</f>
        <v>Pusapati Deepika</v>
      </c>
      <c r="C129" s="12" t="str">
        <f>IFERROR(__xludf.DUMMYFUNCTION("""COMPUTED_VALUE"""),"sudhadeepika@gmail.com")</f>
        <v>sudhadeepika@gmail.com</v>
      </c>
      <c r="D129" s="12" t="str">
        <f>IFERROR(__xludf.DUMMYFUNCTION("""COMPUTED_VALUE"""),"Adult")</f>
        <v>Adult</v>
      </c>
      <c r="E129" s="13">
        <f>IF(D129&lt;&gt;"",VLOOKUP(D129,Settings!$G$3:$H$6,2,false),"")</f>
        <v>2300</v>
      </c>
      <c r="F129" s="15" t="str">
        <f>IFERROR(__xludf.DUMMYFUNCTION("""COMPUTED_VALUE"""),"Relative")</f>
        <v>Relative</v>
      </c>
      <c r="G129" s="15" t="str">
        <f>IFERROR(__xludf.DUMMYFUNCTION("""COMPUTED_VALUE"""),"Thapasya - Brahmari School Of Dance")</f>
        <v>Thapasya - Brahmari School Of Dance</v>
      </c>
      <c r="H129" s="12" t="str">
        <f>IF(G129&lt;&gt;"",VLOOKUP(G129,Settings!$B$4:$C$35,2,false),"")</f>
        <v>Resmi Joby</v>
      </c>
      <c r="I129" s="12" t="str">
        <f>IFERROR(__xludf.DUMMYFUNCTION("""COMPUTED_VALUE"""),"")</f>
        <v/>
      </c>
      <c r="J129" s="15" t="s">
        <v>470</v>
      </c>
      <c r="K129" s="16">
        <v>43401.0</v>
      </c>
      <c r="L129" s="3"/>
    </row>
    <row r="130">
      <c r="A130" s="17">
        <f t="shared" si="1"/>
        <v>128</v>
      </c>
      <c r="B130" s="12" t="str">
        <f>IFERROR(__xludf.DUMMYFUNCTION("""COMPUTED_VALUE"""),"Sanal Sharanyaka")</f>
        <v>Sanal Sharanyaka</v>
      </c>
      <c r="C130" s="12" t="str">
        <f>IFERROR(__xludf.DUMMYFUNCTION("""COMPUTED_VALUE"""),"lekhasanal@gmail.com")</f>
        <v>lekhasanal@gmail.com</v>
      </c>
      <c r="D130" s="12" t="str">
        <f>IFERROR(__xludf.DUMMYFUNCTION("""COMPUTED_VALUE"""),"Child")</f>
        <v>Child</v>
      </c>
      <c r="E130" s="13">
        <f>IF(D130&lt;&gt;"",VLOOKUP(D130,Settings!$G$3:$H$6,2,false),"")</f>
        <v>1200</v>
      </c>
      <c r="F130" s="15" t="str">
        <f>IFERROR(__xludf.DUMMYFUNCTION("""COMPUTED_VALUE"""),"Performer")</f>
        <v>Performer</v>
      </c>
      <c r="G130" s="15" t="str">
        <f>IFERROR(__xludf.DUMMYFUNCTION("""COMPUTED_VALUE"""),"Thapasya - Brahmari School Of Dance")</f>
        <v>Thapasya - Brahmari School Of Dance</v>
      </c>
      <c r="H130" s="12" t="str">
        <f>IF(G130&lt;&gt;"",VLOOKUP(G130,Settings!$B$4:$C$35,2,false),"")</f>
        <v>Resmi Joby</v>
      </c>
      <c r="I130" s="12" t="str">
        <f>IFERROR(__xludf.DUMMYFUNCTION("""COMPUTED_VALUE"""),"")</f>
        <v/>
      </c>
      <c r="J130" s="15" t="s">
        <v>470</v>
      </c>
      <c r="K130" s="16">
        <v>43401.0</v>
      </c>
      <c r="L130" s="3"/>
    </row>
    <row r="131">
      <c r="A131" s="17">
        <f t="shared" si="1"/>
        <v>129</v>
      </c>
      <c r="B131" s="12" t="str">
        <f>IFERROR(__xludf.DUMMYFUNCTION("""COMPUTED_VALUE"""),"Sanal")</f>
        <v>Sanal</v>
      </c>
      <c r="C131" s="12" t="str">
        <f>IFERROR(__xludf.DUMMYFUNCTION("""COMPUTED_VALUE"""),"lekhasanal@gmail.com")</f>
        <v>lekhasanal@gmail.com</v>
      </c>
      <c r="D131" s="12" t="str">
        <f>IFERROR(__xludf.DUMMYFUNCTION("""COMPUTED_VALUE"""),"Adult")</f>
        <v>Adult</v>
      </c>
      <c r="E131" s="13">
        <f>IF(D131&lt;&gt;"",VLOOKUP(D131,Settings!$G$3:$H$6,2,false),"")</f>
        <v>2300</v>
      </c>
      <c r="F131" s="15" t="str">
        <f>IFERROR(__xludf.DUMMYFUNCTION("""COMPUTED_VALUE"""),"Relative")</f>
        <v>Relative</v>
      </c>
      <c r="G131" s="15" t="str">
        <f>IFERROR(__xludf.DUMMYFUNCTION("""COMPUTED_VALUE"""),"Thapasya - Brahmari School Of Dance")</f>
        <v>Thapasya - Brahmari School Of Dance</v>
      </c>
      <c r="H131" s="12" t="str">
        <f>IF(G131&lt;&gt;"",VLOOKUP(G131,Settings!$B$4:$C$35,2,false),"")</f>
        <v>Resmi Joby</v>
      </c>
      <c r="I131" s="12" t="str">
        <f>IFERROR(__xludf.DUMMYFUNCTION("""COMPUTED_VALUE"""),"")</f>
        <v/>
      </c>
      <c r="J131" s="15" t="s">
        <v>470</v>
      </c>
      <c r="K131" s="16">
        <v>43401.0</v>
      </c>
      <c r="L131" s="3"/>
    </row>
    <row r="132">
      <c r="A132" s="17">
        <f t="shared" si="1"/>
        <v>130</v>
      </c>
      <c r="B132" s="12" t="str">
        <f>IFERROR(__xludf.DUMMYFUNCTION("""COMPUTED_VALUE"""),"Sanal Satvik")</f>
        <v>Sanal Satvik</v>
      </c>
      <c r="C132" s="12" t="str">
        <f>IFERROR(__xludf.DUMMYFUNCTION("""COMPUTED_VALUE"""),"lekhasanal@gmail.com")</f>
        <v>lekhasanal@gmail.com</v>
      </c>
      <c r="D132" s="12" t="str">
        <f>IFERROR(__xludf.DUMMYFUNCTION("""COMPUTED_VALUE"""),"Adult")</f>
        <v>Adult</v>
      </c>
      <c r="E132" s="13">
        <f>IF(D132&lt;&gt;"",VLOOKUP(D132,Settings!$G$3:$H$6,2,false),"")</f>
        <v>2300</v>
      </c>
      <c r="F132" s="15" t="str">
        <f>IFERROR(__xludf.DUMMYFUNCTION("""COMPUTED_VALUE"""),"Relative")</f>
        <v>Relative</v>
      </c>
      <c r="G132" s="15" t="str">
        <f>IFERROR(__xludf.DUMMYFUNCTION("""COMPUTED_VALUE"""),"Thapasya - Brahmari School Of Dance")</f>
        <v>Thapasya - Brahmari School Of Dance</v>
      </c>
      <c r="H132" s="12" t="str">
        <f>IF(G132&lt;&gt;"",VLOOKUP(G132,Settings!$B$4:$C$35,2,false),"")</f>
        <v>Resmi Joby</v>
      </c>
      <c r="I132" s="12" t="str">
        <f>IFERROR(__xludf.DUMMYFUNCTION("""COMPUTED_VALUE"""),"")</f>
        <v/>
      </c>
      <c r="J132" s="15" t="s">
        <v>470</v>
      </c>
      <c r="K132" s="16">
        <v>43401.0</v>
      </c>
      <c r="L132" s="3"/>
    </row>
    <row r="133">
      <c r="A133" s="17">
        <f t="shared" si="1"/>
        <v>131</v>
      </c>
      <c r="B133" s="12" t="str">
        <f>IFERROR(__xludf.DUMMYFUNCTION("""COMPUTED_VALUE"""),"Sanal Lekha")</f>
        <v>Sanal Lekha</v>
      </c>
      <c r="C133" s="12" t="str">
        <f>IFERROR(__xludf.DUMMYFUNCTION("""COMPUTED_VALUE"""),"lekhasanal@gmail.com")</f>
        <v>lekhasanal@gmail.com</v>
      </c>
      <c r="D133" s="12" t="str">
        <f>IFERROR(__xludf.DUMMYFUNCTION("""COMPUTED_VALUE"""),"Adult")</f>
        <v>Adult</v>
      </c>
      <c r="E133" s="13">
        <f>IF(D133&lt;&gt;"",VLOOKUP(D133,Settings!$G$3:$H$6,2,false),"")</f>
        <v>2300</v>
      </c>
      <c r="F133" s="15" t="str">
        <f>IFERROR(__xludf.DUMMYFUNCTION("""COMPUTED_VALUE"""),"Relative")</f>
        <v>Relative</v>
      </c>
      <c r="G133" s="15" t="str">
        <f>IFERROR(__xludf.DUMMYFUNCTION("""COMPUTED_VALUE"""),"Thapasya - Brahmari School Of Dance")</f>
        <v>Thapasya - Brahmari School Of Dance</v>
      </c>
      <c r="H133" s="12" t="str">
        <f>IF(G133&lt;&gt;"",VLOOKUP(G133,Settings!$B$4:$C$35,2,false),"")</f>
        <v>Resmi Joby</v>
      </c>
      <c r="I133" s="12" t="str">
        <f>IFERROR(__xludf.DUMMYFUNCTION("""COMPUTED_VALUE"""),"")</f>
        <v/>
      </c>
      <c r="J133" s="15" t="s">
        <v>470</v>
      </c>
      <c r="K133" s="16">
        <v>43401.0</v>
      </c>
      <c r="L133" s="3"/>
    </row>
    <row r="134">
      <c r="A134" s="17">
        <f t="shared" si="1"/>
        <v>132</v>
      </c>
      <c r="B134" s="12" t="str">
        <f>IFERROR(__xludf.DUMMYFUNCTION("""COMPUTED_VALUE"""),"GURRAM KIRANMAIYE ")</f>
        <v>GURRAM KIRANMAIYE </v>
      </c>
      <c r="C134" s="12" t="str">
        <f>IFERROR(__xludf.DUMMYFUNCTION("""COMPUTED_VALUE"""),"kirrugk@gmail.com")</f>
        <v>kirrugk@gmail.com</v>
      </c>
      <c r="D134" s="12" t="str">
        <f>IFERROR(__xludf.DUMMYFUNCTION("""COMPUTED_VALUE"""),"Adult")</f>
        <v>Adult</v>
      </c>
      <c r="E134" s="13">
        <f>IF(D134&lt;&gt;"",VLOOKUP(D134,Settings!$G$3:$H$6,2,false),"")</f>
        <v>2300</v>
      </c>
      <c r="F134" s="15" t="str">
        <f>IFERROR(__xludf.DUMMYFUNCTION("""COMPUTED_VALUE"""),"Relative")</f>
        <v>Relative</v>
      </c>
      <c r="G134" s="15" t="str">
        <f>IFERROR(__xludf.DUMMYFUNCTION("""COMPUTED_VALUE"""),"Thapasya - Brahmari School Of Dance")</f>
        <v>Thapasya - Brahmari School Of Dance</v>
      </c>
      <c r="H134" s="12" t="str">
        <f>IF(G134&lt;&gt;"",VLOOKUP(G134,Settings!$B$4:$C$35,2,false),"")</f>
        <v>Resmi Joby</v>
      </c>
      <c r="I134" s="12" t="str">
        <f>IFERROR(__xludf.DUMMYFUNCTION("""COMPUTED_VALUE"""),"")</f>
        <v/>
      </c>
      <c r="J134" s="15" t="s">
        <v>470</v>
      </c>
      <c r="K134" s="16">
        <v>43401.0</v>
      </c>
      <c r="L134" s="3"/>
    </row>
    <row r="135">
      <c r="A135" s="17">
        <f t="shared" si="1"/>
        <v>133</v>
      </c>
      <c r="B135" s="12" t="str">
        <f>IFERROR(__xludf.DUMMYFUNCTION("""COMPUTED_VALUE"""),"Vibhor Singla")</f>
        <v>Vibhor Singla</v>
      </c>
      <c r="C135" s="12" t="str">
        <f>IFERROR(__xludf.DUMMYFUNCTION("""COMPUTED_VALUE"""),"vibhor.singla@gmail.com")</f>
        <v>vibhor.singla@gmail.com</v>
      </c>
      <c r="D135" s="12" t="str">
        <f>IFERROR(__xludf.DUMMYFUNCTION("""COMPUTED_VALUE"""),"Adult")</f>
        <v>Adult</v>
      </c>
      <c r="E135" s="13">
        <f>IF(D135&lt;&gt;"",VLOOKUP(D135,Settings!$G$3:$H$6,2,false),"")</f>
        <v>2300</v>
      </c>
      <c r="F135" s="15" t="str">
        <f>IFERROR(__xludf.DUMMYFUNCTION("""COMPUTED_VALUE"""),"Relative")</f>
        <v>Relative</v>
      </c>
      <c r="G135" s="15" t="str">
        <f>IFERROR(__xludf.DUMMYFUNCTION("""COMPUTED_VALUE"""),"Dance Ojima Dance-DOD")</f>
        <v>Dance Ojima Dance-DOD</v>
      </c>
      <c r="H135" s="12" t="str">
        <f>IF(G135&lt;&gt;"",VLOOKUP(G135,Settings!$B$4:$C$35,2,false),"")</f>
        <v>Shweta Singla</v>
      </c>
      <c r="I135" s="15" t="str">
        <f>IFERROR(__xludf.DUMMYFUNCTION("""COMPUTED_VALUE"""),"")</f>
        <v/>
      </c>
      <c r="J135" s="15" t="s">
        <v>241</v>
      </c>
      <c r="K135" s="103"/>
      <c r="L135" s="3"/>
    </row>
    <row r="136">
      <c r="A136" s="17">
        <f t="shared" si="1"/>
        <v>134</v>
      </c>
      <c r="B136" s="12" t="str">
        <f>IFERROR(__xludf.DUMMYFUNCTION("""COMPUTED_VALUE"""),"Shweta Singla")</f>
        <v>Shweta Singla</v>
      </c>
      <c r="C136" s="12" t="str">
        <f>IFERROR(__xludf.DUMMYFUNCTION("""COMPUTED_VALUE"""),"vibhor.singla@gmail.com")</f>
        <v>vibhor.singla@gmail.com</v>
      </c>
      <c r="D136" s="12" t="str">
        <f>IFERROR(__xludf.DUMMYFUNCTION("""COMPUTED_VALUE"""),"Adult")</f>
        <v>Adult</v>
      </c>
      <c r="E136" s="13">
        <f>IF(D136&lt;&gt;"",VLOOKUP(D136,Settings!$G$3:$H$6,2,false),"")</f>
        <v>2300</v>
      </c>
      <c r="F136" s="15" t="str">
        <f>IFERROR(__xludf.DUMMYFUNCTION("""COMPUTED_VALUE"""),"Performer / Coordinator")</f>
        <v>Performer / Coordinator</v>
      </c>
      <c r="G136" s="15" t="str">
        <f>IFERROR(__xludf.DUMMYFUNCTION("""COMPUTED_VALUE"""),"Dance Ojima Dance-DOD")</f>
        <v>Dance Ojima Dance-DOD</v>
      </c>
      <c r="H136" s="12" t="str">
        <f>IF(G136&lt;&gt;"",VLOOKUP(G136,Settings!$B$4:$C$35,2,false),"")</f>
        <v>Shweta Singla</v>
      </c>
      <c r="I136" s="15" t="str">
        <f>IFERROR(__xludf.DUMMYFUNCTION("""COMPUTED_VALUE"""),"Performer in Tatkar and Coordinator+Relative in DoD")</f>
        <v>Performer in Tatkar and Coordinator+Relative in DoD</v>
      </c>
      <c r="J136" s="15" t="s">
        <v>241</v>
      </c>
      <c r="K136" s="12"/>
      <c r="L136" s="3"/>
    </row>
    <row r="137">
      <c r="A137" s="17">
        <f t="shared" si="1"/>
        <v>135</v>
      </c>
      <c r="B137" s="12" t="str">
        <f>IFERROR(__xludf.DUMMYFUNCTION("""COMPUTED_VALUE"""),"Suhani Singla")</f>
        <v>Suhani Singla</v>
      </c>
      <c r="C137" s="12" t="str">
        <f>IFERROR(__xludf.DUMMYFUNCTION("""COMPUTED_VALUE"""),"vibhor.singla@gmail.com")</f>
        <v>vibhor.singla@gmail.com</v>
      </c>
      <c r="D137" s="12" t="str">
        <f>IFERROR(__xludf.DUMMYFUNCTION("""COMPUTED_VALUE"""),"Child")</f>
        <v>Child</v>
      </c>
      <c r="E137" s="13">
        <f>IF(D137&lt;&gt;"",VLOOKUP(D137,Settings!$G$3:$H$6,2,false),"")</f>
        <v>1200</v>
      </c>
      <c r="F137" s="15" t="str">
        <f>IFERROR(__xludf.DUMMYFUNCTION("""COMPUTED_VALUE"""),"Performer")</f>
        <v>Performer</v>
      </c>
      <c r="G137" s="15" t="str">
        <f>IFERROR(__xludf.DUMMYFUNCTION("""COMPUTED_VALUE"""),"Dance Ojima Dance-DOD")</f>
        <v>Dance Ojima Dance-DOD</v>
      </c>
      <c r="H137" s="12" t="str">
        <f>IF(G137&lt;&gt;"",VLOOKUP(G137,Settings!$B$4:$C$35,2,false),"")</f>
        <v>Shweta Singla</v>
      </c>
      <c r="I137" s="12" t="str">
        <f>IFERROR(__xludf.DUMMYFUNCTION("""COMPUTED_VALUE"""),"")</f>
        <v/>
      </c>
      <c r="J137" s="15" t="s">
        <v>241</v>
      </c>
      <c r="K137" s="12"/>
      <c r="L137" s="3"/>
    </row>
    <row r="138">
      <c r="A138" s="17">
        <f t="shared" si="1"/>
        <v>136</v>
      </c>
      <c r="B138" s="12" t="str">
        <f>IFERROR(__xludf.DUMMYFUNCTION("""COMPUTED_VALUE"""),"Attarde Nayana")</f>
        <v>Attarde Nayana</v>
      </c>
      <c r="C138" s="12" t="str">
        <f>IFERROR(__xludf.DUMMYFUNCTION("""COMPUTED_VALUE"""),"attardenayana@gmail.com")</f>
        <v>attardenayana@gmail.com</v>
      </c>
      <c r="D138" s="12" t="str">
        <f>IFERROR(__xludf.DUMMYFUNCTION("""COMPUTED_VALUE"""),"Adult")</f>
        <v>Adult</v>
      </c>
      <c r="E138" s="13">
        <f>IF(D138&lt;&gt;"",VLOOKUP(D138,Settings!$G$3:$H$6,2,false),"")</f>
        <v>2300</v>
      </c>
      <c r="F138" s="15" t="str">
        <f>IFERROR(__xludf.DUMMYFUNCTION("""COMPUTED_VALUE"""),"Coordinator")</f>
        <v>Coordinator</v>
      </c>
      <c r="G138" s="15" t="str">
        <f>IFERROR(__xludf.DUMMYFUNCTION("""COMPUTED_VALUE"""),"Rockstar Divas")</f>
        <v>Rockstar Divas</v>
      </c>
      <c r="H138" s="12" t="str">
        <f>IF(G138&lt;&gt;"",VLOOKUP(G138,Settings!$B$4:$C$35,2,false),"")</f>
        <v>Nayana Attarde</v>
      </c>
      <c r="I138" s="12" t="str">
        <f>IFERROR(__xludf.DUMMYFUNCTION("""COMPUTED_VALUE"""),"")</f>
        <v/>
      </c>
      <c r="J138" s="15" t="s">
        <v>710</v>
      </c>
      <c r="K138" s="16"/>
      <c r="L138" s="3"/>
    </row>
    <row r="139">
      <c r="A139" s="17">
        <f t="shared" si="1"/>
        <v>137</v>
      </c>
      <c r="B139" s="12" t="str">
        <f>IFERROR(__xludf.DUMMYFUNCTION("""COMPUTED_VALUE"""),"Attarde Sunil")</f>
        <v>Attarde Sunil</v>
      </c>
      <c r="C139" s="12" t="str">
        <f>IFERROR(__xludf.DUMMYFUNCTION("""COMPUTED_VALUE"""),"attardenayana@gmail.com")</f>
        <v>attardenayana@gmail.com</v>
      </c>
      <c r="D139" s="12" t="str">
        <f>IFERROR(__xludf.DUMMYFUNCTION("""COMPUTED_VALUE"""),"Adult")</f>
        <v>Adult</v>
      </c>
      <c r="E139" s="13">
        <f>IF(D139&lt;&gt;"",VLOOKUP(D139,Settings!$G$3:$H$6,2,false),"")</f>
        <v>2300</v>
      </c>
      <c r="F139" s="15" t="str">
        <f>IFERROR(__xludf.DUMMYFUNCTION("""COMPUTED_VALUE"""),"Relative")</f>
        <v>Relative</v>
      </c>
      <c r="G139" s="15" t="str">
        <f>IFERROR(__xludf.DUMMYFUNCTION("""COMPUTED_VALUE"""),"Rockstar Divas")</f>
        <v>Rockstar Divas</v>
      </c>
      <c r="H139" s="12" t="str">
        <f>IF(G139&lt;&gt;"",VLOOKUP(G139,Settings!$B$4:$C$35,2,false),"")</f>
        <v>Nayana Attarde</v>
      </c>
      <c r="I139" s="12" t="str">
        <f>IFERROR(__xludf.DUMMYFUNCTION("""COMPUTED_VALUE"""),"")</f>
        <v/>
      </c>
      <c r="J139" s="15" t="s">
        <v>710</v>
      </c>
      <c r="K139" s="103"/>
      <c r="L139" s="3"/>
    </row>
    <row r="140">
      <c r="A140" s="17">
        <f t="shared" si="1"/>
        <v>138</v>
      </c>
      <c r="B140" s="12" t="str">
        <f>IFERROR(__xludf.DUMMYFUNCTION("""COMPUTED_VALUE"""),"Attarde Stuti")</f>
        <v>Attarde Stuti</v>
      </c>
      <c r="C140" s="12" t="str">
        <f>IFERROR(__xludf.DUMMYFUNCTION("""COMPUTED_VALUE"""),"attardenayana@gmail.com")</f>
        <v>attardenayana@gmail.com</v>
      </c>
      <c r="D140" s="12" t="str">
        <f>IFERROR(__xludf.DUMMYFUNCTION("""COMPUTED_VALUE"""),"Adult")</f>
        <v>Adult</v>
      </c>
      <c r="E140" s="13">
        <f>IF(D140&lt;&gt;"",VLOOKUP(D140,Settings!$G$3:$H$6,2,false),"")</f>
        <v>2300</v>
      </c>
      <c r="F140" s="15" t="str">
        <f>IFERROR(__xludf.DUMMYFUNCTION("""COMPUTED_VALUE"""),"Performer")</f>
        <v>Performer</v>
      </c>
      <c r="G140" s="15" t="str">
        <f>IFERROR(__xludf.DUMMYFUNCTION("""COMPUTED_VALUE"""),"Rockstar Divas")</f>
        <v>Rockstar Divas</v>
      </c>
      <c r="H140" s="12" t="str">
        <f>IF(G140&lt;&gt;"",VLOOKUP(G140,Settings!$B$4:$C$35,2,false),"")</f>
        <v>Nayana Attarde</v>
      </c>
      <c r="I140" s="12" t="str">
        <f>IFERROR(__xludf.DUMMYFUNCTION("""COMPUTED_VALUE"""),"")</f>
        <v/>
      </c>
      <c r="J140" s="15" t="s">
        <v>710</v>
      </c>
      <c r="K140" s="103"/>
      <c r="L140" s="3"/>
    </row>
    <row r="141">
      <c r="A141" s="17">
        <f t="shared" si="1"/>
        <v>139</v>
      </c>
      <c r="B141" s="12" t="str">
        <f>IFERROR(__xludf.DUMMYFUNCTION("""COMPUTED_VALUE"""),"Attarde Krisha")</f>
        <v>Attarde Krisha</v>
      </c>
      <c r="C141" s="12" t="str">
        <f>IFERROR(__xludf.DUMMYFUNCTION("""COMPUTED_VALUE"""),"attardenayana@gmail.com")</f>
        <v>attardenayana@gmail.com</v>
      </c>
      <c r="D141" s="12" t="str">
        <f>IFERROR(__xludf.DUMMYFUNCTION("""COMPUTED_VALUE"""),"Child")</f>
        <v>Child</v>
      </c>
      <c r="E141" s="13">
        <f>IF(D141&lt;&gt;"",VLOOKUP(D141,Settings!$G$3:$H$6,2,false),"")</f>
        <v>1200</v>
      </c>
      <c r="F141" s="15" t="str">
        <f>IFERROR(__xludf.DUMMYFUNCTION("""COMPUTED_VALUE"""),"Performer")</f>
        <v>Performer</v>
      </c>
      <c r="G141" s="15" t="str">
        <f>IFERROR(__xludf.DUMMYFUNCTION("""COMPUTED_VALUE"""),"Blooming Flowers")</f>
        <v>Blooming Flowers</v>
      </c>
      <c r="H141" s="12" t="str">
        <f>IF(G141&lt;&gt;"",VLOOKUP(G141,Settings!$B$4:$C$35,2,false),"")</f>
        <v>Amita Deshpande</v>
      </c>
      <c r="I141" s="12" t="str">
        <f>IFERROR(__xludf.DUMMYFUNCTION("""COMPUTED_VALUE"""),"")</f>
        <v/>
      </c>
      <c r="J141" s="15" t="s">
        <v>241</v>
      </c>
      <c r="K141" s="12"/>
      <c r="L141" s="3"/>
    </row>
    <row r="142">
      <c r="A142" s="17">
        <f t="shared" si="1"/>
        <v>140</v>
      </c>
      <c r="B142" s="12" t="str">
        <f>IFERROR(__xludf.DUMMYFUNCTION("""COMPUTED_VALUE"""),"Jain, Sonali")</f>
        <v>Jain, Sonali</v>
      </c>
      <c r="C142" s="12" t="str">
        <f>IFERROR(__xludf.DUMMYFUNCTION("""COMPUTED_VALUE"""),"rajeshdjain@gmail.com")</f>
        <v>rajeshdjain@gmail.com</v>
      </c>
      <c r="D142" s="12" t="str">
        <f>IFERROR(__xludf.DUMMYFUNCTION("""COMPUTED_VALUE"""),"Adult")</f>
        <v>Adult</v>
      </c>
      <c r="E142" s="13">
        <f>IF(D142&lt;&gt;"",VLOOKUP(D142,Settings!$G$3:$H$6,2,false),"")</f>
        <v>2300</v>
      </c>
      <c r="F142" s="15" t="str">
        <f>IFERROR(__xludf.DUMMYFUNCTION("""COMPUTED_VALUE"""),"Relative")</f>
        <v>Relative</v>
      </c>
      <c r="G142" s="15" t="str">
        <f>IFERROR(__xludf.DUMMYFUNCTION("""COMPUTED_VALUE"""),"Rockstar Divas")</f>
        <v>Rockstar Divas</v>
      </c>
      <c r="H142" s="12" t="str">
        <f>IF(G142&lt;&gt;"",VLOOKUP(G142,Settings!$B$4:$C$35,2,false),"")</f>
        <v>Nayana Attarde</v>
      </c>
      <c r="I142" s="12" t="str">
        <f>IFERROR(__xludf.DUMMYFUNCTION("""COMPUTED_VALUE"""),"")</f>
        <v/>
      </c>
      <c r="J142" s="15" t="s">
        <v>241</v>
      </c>
      <c r="K142" s="12"/>
      <c r="L142" s="3"/>
    </row>
    <row r="143">
      <c r="A143" s="17">
        <f t="shared" si="1"/>
        <v>141</v>
      </c>
      <c r="B143" s="12" t="str">
        <f>IFERROR(__xludf.DUMMYFUNCTION("""COMPUTED_VALUE"""),"Jain, Chavi")</f>
        <v>Jain, Chavi</v>
      </c>
      <c r="C143" s="12" t="str">
        <f>IFERROR(__xludf.DUMMYFUNCTION("""COMPUTED_VALUE"""),"rajeshdjain@gmail.com")</f>
        <v>rajeshdjain@gmail.com</v>
      </c>
      <c r="D143" s="12" t="str">
        <f>IFERROR(__xludf.DUMMYFUNCTION("""COMPUTED_VALUE"""),"Adult")</f>
        <v>Adult</v>
      </c>
      <c r="E143" s="13">
        <f>IF(D143&lt;&gt;"",VLOOKUP(D143,Settings!$G$3:$H$6,2,false),"")</f>
        <v>2300</v>
      </c>
      <c r="F143" s="15" t="str">
        <f>IFERROR(__xludf.DUMMYFUNCTION("""COMPUTED_VALUE"""),"Performer")</f>
        <v>Performer</v>
      </c>
      <c r="G143" s="15" t="str">
        <f>IFERROR(__xludf.DUMMYFUNCTION("""COMPUTED_VALUE"""),"Rockstar Divas")</f>
        <v>Rockstar Divas</v>
      </c>
      <c r="H143" s="12" t="str">
        <f>IF(G143&lt;&gt;"",VLOOKUP(G143,Settings!$B$4:$C$35,2,false),"")</f>
        <v>Nayana Attarde</v>
      </c>
      <c r="I143" s="12" t="str">
        <f>IFERROR(__xludf.DUMMYFUNCTION("""COMPUTED_VALUE"""),"")</f>
        <v/>
      </c>
      <c r="J143" s="15" t="s">
        <v>241</v>
      </c>
      <c r="K143" s="12"/>
      <c r="L143" s="3"/>
    </row>
    <row r="144">
      <c r="A144" s="17">
        <f t="shared" si="1"/>
        <v>142</v>
      </c>
      <c r="B144" s="12" t="str">
        <f>IFERROR(__xludf.DUMMYFUNCTION("""COMPUTED_VALUE"""),"Jain, Rajesh")</f>
        <v>Jain, Rajesh</v>
      </c>
      <c r="C144" s="12" t="str">
        <f>IFERROR(__xludf.DUMMYFUNCTION("""COMPUTED_VALUE"""),"rajeshdjain@gmail.com")</f>
        <v>rajeshdjain@gmail.com</v>
      </c>
      <c r="D144" s="12" t="str">
        <f>IFERROR(__xludf.DUMMYFUNCTION("""COMPUTED_VALUE"""),"Adult")</f>
        <v>Adult</v>
      </c>
      <c r="E144" s="13">
        <f>IF(D144&lt;&gt;"",VLOOKUP(D144,Settings!$G$3:$H$6,2,false),"")</f>
        <v>2300</v>
      </c>
      <c r="F144" s="15" t="str">
        <f>IFERROR(__xludf.DUMMYFUNCTION("""COMPUTED_VALUE"""),"Relative")</f>
        <v>Relative</v>
      </c>
      <c r="G144" s="15" t="str">
        <f>IFERROR(__xludf.DUMMYFUNCTION("""COMPUTED_VALUE"""),"Rockstar Divas")</f>
        <v>Rockstar Divas</v>
      </c>
      <c r="H144" s="12" t="str">
        <f>IF(G144&lt;&gt;"",VLOOKUP(G144,Settings!$B$4:$C$35,2,false),"")</f>
        <v>Nayana Attarde</v>
      </c>
      <c r="I144" s="12" t="str">
        <f>IFERROR(__xludf.DUMMYFUNCTION("""COMPUTED_VALUE"""),"")</f>
        <v/>
      </c>
      <c r="J144" s="15" t="s">
        <v>241</v>
      </c>
      <c r="K144" s="103"/>
      <c r="L144" s="3"/>
    </row>
    <row r="145">
      <c r="A145" s="17">
        <f t="shared" si="1"/>
        <v>143</v>
      </c>
      <c r="B145" s="12" t="str">
        <f>IFERROR(__xludf.DUMMYFUNCTION("""COMPUTED_VALUE"""),"Jewel Tiby")</f>
        <v>Jewel Tiby</v>
      </c>
      <c r="C145" s="12" t="str">
        <f>IFERROR(__xludf.DUMMYFUNCTION("""COMPUTED_VALUE"""),"nigigibson@gmail.com")</f>
        <v>nigigibson@gmail.com</v>
      </c>
      <c r="D145" s="12" t="str">
        <f>IFERROR(__xludf.DUMMYFUNCTION("""COMPUTED_VALUE"""),"Child")</f>
        <v>Child</v>
      </c>
      <c r="E145" s="13">
        <f>IF(D145&lt;&gt;"",VLOOKUP(D145,Settings!$G$3:$H$6,2,false),"")</f>
        <v>1200</v>
      </c>
      <c r="F145" s="15" t="str">
        <f>IFERROR(__xludf.DUMMYFUNCTION("""COMPUTED_VALUE"""),"Performer")</f>
        <v>Performer</v>
      </c>
      <c r="G145" s="15" t="str">
        <f>IFERROR(__xludf.DUMMYFUNCTION("""COMPUTED_VALUE"""),"Thalam - Brahmari School Of Dance")</f>
        <v>Thalam - Brahmari School Of Dance</v>
      </c>
      <c r="H145" s="12" t="str">
        <f>IF(G145&lt;&gt;"",VLOOKUP(G145,Settings!$B$4:$C$35,2,false),"")</f>
        <v>Resmi Joby</v>
      </c>
      <c r="I145" s="12" t="str">
        <f>IFERROR(__xludf.DUMMYFUNCTION("""COMPUTED_VALUE"""),"")</f>
        <v/>
      </c>
      <c r="J145" s="15" t="s">
        <v>470</v>
      </c>
      <c r="K145" s="16">
        <v>43401.0</v>
      </c>
      <c r="L145" s="3"/>
    </row>
    <row r="146">
      <c r="A146" s="17">
        <f t="shared" si="1"/>
        <v>144</v>
      </c>
      <c r="B146" s="12" t="str">
        <f>IFERROR(__xludf.DUMMYFUNCTION("""COMPUTED_VALUE"""),"Tiby Kuruvila")</f>
        <v>Tiby Kuruvila</v>
      </c>
      <c r="C146" s="12" t="str">
        <f>IFERROR(__xludf.DUMMYFUNCTION("""COMPUTED_VALUE"""),"nigigibson@gmail.com")</f>
        <v>nigigibson@gmail.com</v>
      </c>
      <c r="D146" s="12" t="str">
        <f>IFERROR(__xludf.DUMMYFUNCTION("""COMPUTED_VALUE"""),"Adult")</f>
        <v>Adult</v>
      </c>
      <c r="E146" s="13">
        <f>IF(D146&lt;&gt;"",VLOOKUP(D146,Settings!$G$3:$H$6,2,false),"")</f>
        <v>2300</v>
      </c>
      <c r="F146" s="15" t="str">
        <f>IFERROR(__xludf.DUMMYFUNCTION("""COMPUTED_VALUE"""),"Relative")</f>
        <v>Relative</v>
      </c>
      <c r="G146" s="15" t="str">
        <f>IFERROR(__xludf.DUMMYFUNCTION("""COMPUTED_VALUE"""),"Thalam - Brahmari School Of Dance")</f>
        <v>Thalam - Brahmari School Of Dance</v>
      </c>
      <c r="H146" s="12" t="str">
        <f>IF(G146&lt;&gt;"",VLOOKUP(G146,Settings!$B$4:$C$35,2,false),"")</f>
        <v>Resmi Joby</v>
      </c>
      <c r="I146" s="12" t="str">
        <f>IFERROR(__xludf.DUMMYFUNCTION("""COMPUTED_VALUE"""),"")</f>
        <v/>
      </c>
      <c r="J146" s="15" t="s">
        <v>470</v>
      </c>
      <c r="K146" s="16">
        <v>43401.0</v>
      </c>
      <c r="L146" s="3"/>
    </row>
    <row r="147">
      <c r="A147" s="17">
        <f t="shared" si="1"/>
        <v>145</v>
      </c>
      <c r="B147" s="12" t="str">
        <f>IFERROR(__xludf.DUMMYFUNCTION("""COMPUTED_VALUE"""),"Johaan Tiby")</f>
        <v>Johaan Tiby</v>
      </c>
      <c r="C147" s="12" t="str">
        <f>IFERROR(__xludf.DUMMYFUNCTION("""COMPUTED_VALUE"""),"nigigibson@gmail.com")</f>
        <v>nigigibson@gmail.com</v>
      </c>
      <c r="D147" s="12" t="str">
        <f>IFERROR(__xludf.DUMMYFUNCTION("""COMPUTED_VALUE"""),"Child")</f>
        <v>Child</v>
      </c>
      <c r="E147" s="13">
        <f>IF(D147&lt;&gt;"",VLOOKUP(D147,Settings!$G$3:$H$6,2,false),"")</f>
        <v>1200</v>
      </c>
      <c r="F147" s="15" t="str">
        <f>IFERROR(__xludf.DUMMYFUNCTION("""COMPUTED_VALUE"""),"Relative")</f>
        <v>Relative</v>
      </c>
      <c r="G147" s="15" t="str">
        <f>IFERROR(__xludf.DUMMYFUNCTION("""COMPUTED_VALUE"""),"Shiva")</f>
        <v>Shiva</v>
      </c>
      <c r="H147" s="12" t="str">
        <f>IF(G147&lt;&gt;"",VLOOKUP(G147,Settings!$B$4:$C$35,2,false),"")</f>
        <v>Sandhya Jan</v>
      </c>
      <c r="I147" s="12" t="str">
        <f>IFERROR(__xludf.DUMMYFUNCTION("""COMPUTED_VALUE"""),"")</f>
        <v/>
      </c>
      <c r="J147" s="15" t="s">
        <v>129</v>
      </c>
      <c r="K147" s="16">
        <v>43399.0</v>
      </c>
      <c r="L147" s="3"/>
    </row>
    <row r="148">
      <c r="A148" s="17">
        <f t="shared" si="1"/>
        <v>146</v>
      </c>
      <c r="B148" s="12" t="str">
        <f>IFERROR(__xludf.DUMMYFUNCTION("""COMPUTED_VALUE"""),"Moharana Mousumi")</f>
        <v>Moharana Mousumi</v>
      </c>
      <c r="C148" s="12" t="str">
        <f>IFERROR(__xludf.DUMMYFUNCTION("""COMPUTED_VALUE"""),"mousumi.moharana@gmail.com")</f>
        <v>mousumi.moharana@gmail.com</v>
      </c>
      <c r="D148" s="12" t="str">
        <f>IFERROR(__xludf.DUMMYFUNCTION("""COMPUTED_VALUE"""),"Adult")</f>
        <v>Adult</v>
      </c>
      <c r="E148" s="13">
        <f>IF(D148&lt;&gt;"",VLOOKUP(D148,Settings!$G$3:$H$6,2,false),"")</f>
        <v>2300</v>
      </c>
      <c r="F148" s="15" t="str">
        <f>IFERROR(__xludf.DUMMYFUNCTION("""COMPUTED_VALUE"""),"Performer / Coordinator")</f>
        <v>Performer / Coordinator</v>
      </c>
      <c r="G148" s="15" t="str">
        <f>IFERROR(__xludf.DUMMYFUNCTION("""COMPUTED_VALUE"""),"The Dazzling Divas")</f>
        <v>The Dazzling Divas</v>
      </c>
      <c r="H148" s="12" t="str">
        <f>IF(G148&lt;&gt;"",VLOOKUP(G148,Settings!$B$4:$C$35,2,false),"")</f>
        <v>Mousumi Moharana</v>
      </c>
      <c r="I148" s="15" t="str">
        <f>IFERROR(__xludf.DUMMYFUNCTION("""COMPUTED_VALUE"""),"")</f>
        <v/>
      </c>
      <c r="J148" s="15" t="s">
        <v>470</v>
      </c>
      <c r="K148" s="16">
        <v>43399.0</v>
      </c>
      <c r="L148" s="6"/>
    </row>
    <row r="149">
      <c r="A149" s="17">
        <f t="shared" si="1"/>
        <v>147</v>
      </c>
      <c r="B149" s="12" t="str">
        <f>IFERROR(__xludf.DUMMYFUNCTION("""COMPUTED_VALUE"""),"Maharana Jitendra")</f>
        <v>Maharana Jitendra</v>
      </c>
      <c r="C149" s="12" t="str">
        <f>IFERROR(__xludf.DUMMYFUNCTION("""COMPUTED_VALUE"""),"mousumi.moharana@gmail.com")</f>
        <v>mousumi.moharana@gmail.com</v>
      </c>
      <c r="D149" s="12" t="str">
        <f>IFERROR(__xludf.DUMMYFUNCTION("""COMPUTED_VALUE"""),"Adult")</f>
        <v>Adult</v>
      </c>
      <c r="E149" s="13">
        <f>IF(D149&lt;&gt;"",VLOOKUP(D149,Settings!$G$3:$H$6,2,false),"")</f>
        <v>2300</v>
      </c>
      <c r="F149" s="15" t="str">
        <f>IFERROR(__xludf.DUMMYFUNCTION("""COMPUTED_VALUE"""),"Relative")</f>
        <v>Relative</v>
      </c>
      <c r="G149" s="15" t="str">
        <f>IFERROR(__xludf.DUMMYFUNCTION("""COMPUTED_VALUE"""),"The Dazzling Divas")</f>
        <v>The Dazzling Divas</v>
      </c>
      <c r="H149" s="12" t="str">
        <f>IF(G149&lt;&gt;"",VLOOKUP(G149,Settings!$B$4:$C$35,2,false),"")</f>
        <v>Mousumi Moharana</v>
      </c>
      <c r="I149" s="12" t="str">
        <f>IFERROR(__xludf.DUMMYFUNCTION("""COMPUTED_VALUE"""),"")</f>
        <v/>
      </c>
      <c r="J149" s="15" t="s">
        <v>470</v>
      </c>
      <c r="K149" s="16">
        <v>43399.0</v>
      </c>
      <c r="L149" s="3"/>
    </row>
    <row r="150">
      <c r="A150" s="17">
        <f t="shared" si="1"/>
        <v>148</v>
      </c>
      <c r="B150" s="12" t="str">
        <f>IFERROR(__xludf.DUMMYFUNCTION("""COMPUTED_VALUE"""),"Maharana Evaan")</f>
        <v>Maharana Evaan</v>
      </c>
      <c r="C150" s="12" t="str">
        <f>IFERROR(__xludf.DUMMYFUNCTION("""COMPUTED_VALUE"""),"mousumi.moharana@gmail.com")</f>
        <v>mousumi.moharana@gmail.com</v>
      </c>
      <c r="D150" s="12" t="str">
        <f>IFERROR(__xludf.DUMMYFUNCTION("""COMPUTED_VALUE"""),"Child")</f>
        <v>Child</v>
      </c>
      <c r="E150" s="13">
        <f>IF(D150&lt;&gt;"",VLOOKUP(D150,Settings!$G$3:$H$6,2,false),"")</f>
        <v>1200</v>
      </c>
      <c r="F150" s="15" t="str">
        <f>IFERROR(__xludf.DUMMYFUNCTION("""COMPUTED_VALUE"""),"Performer")</f>
        <v>Performer</v>
      </c>
      <c r="G150" s="15" t="str">
        <f>IFERROR(__xludf.DUMMYFUNCTION("""COMPUTED_VALUE"""),"The Dazzlers")</f>
        <v>The Dazzlers</v>
      </c>
      <c r="H150" s="12" t="str">
        <f>IF(G150&lt;&gt;"",VLOOKUP(G150,Settings!$B$4:$C$35,2,false),"")</f>
        <v>Mousumi Moharana</v>
      </c>
      <c r="I150" s="12" t="str">
        <f>IFERROR(__xludf.DUMMYFUNCTION("""COMPUTED_VALUE"""),"")</f>
        <v/>
      </c>
      <c r="J150" s="15" t="s">
        <v>470</v>
      </c>
      <c r="K150" s="16">
        <v>43399.0</v>
      </c>
      <c r="L150" s="3"/>
    </row>
    <row r="151">
      <c r="A151" s="17">
        <f t="shared" si="1"/>
        <v>149</v>
      </c>
      <c r="B151" s="12" t="str">
        <f>IFERROR(__xludf.DUMMYFUNCTION("""COMPUTED_VALUE"""),"Sahu Sisir")</f>
        <v>Sahu Sisir</v>
      </c>
      <c r="C151" s="12" t="str">
        <f>IFERROR(__xludf.DUMMYFUNCTION("""COMPUTED_VALUE"""),"Sisirs@hotmail.com")</f>
        <v>Sisirs@hotmail.com</v>
      </c>
      <c r="D151" s="12" t="str">
        <f>IFERROR(__xludf.DUMMYFUNCTION("""COMPUTED_VALUE"""),"Adult")</f>
        <v>Adult</v>
      </c>
      <c r="E151" s="13">
        <f>IF(D151&lt;&gt;"",VLOOKUP(D151,Settings!$G$3:$H$6,2,false),"")</f>
        <v>2300</v>
      </c>
      <c r="F151" s="15" t="str">
        <f>IFERROR(__xludf.DUMMYFUNCTION("""COMPUTED_VALUE"""),"Relative")</f>
        <v>Relative</v>
      </c>
      <c r="G151" s="15" t="str">
        <f>IFERROR(__xludf.DUMMYFUNCTION("""COMPUTED_VALUE"""),"The Dazzling Divas")</f>
        <v>The Dazzling Divas</v>
      </c>
      <c r="H151" s="12" t="str">
        <f>IF(G151&lt;&gt;"",VLOOKUP(G151,Settings!$B$4:$C$35,2,false),"")</f>
        <v>Mousumi Moharana</v>
      </c>
      <c r="I151" s="12" t="str">
        <f>IFERROR(__xludf.DUMMYFUNCTION("""COMPUTED_VALUE"""),"")</f>
        <v/>
      </c>
      <c r="J151" s="15" t="s">
        <v>470</v>
      </c>
      <c r="K151" s="16">
        <v>43399.0</v>
      </c>
      <c r="L151" s="3"/>
    </row>
    <row r="152">
      <c r="A152" s="17">
        <f t="shared" si="1"/>
        <v>150</v>
      </c>
      <c r="B152" s="12" t="str">
        <f>IFERROR(__xludf.DUMMYFUNCTION("""COMPUTED_VALUE"""),"Manaswini Sahu")</f>
        <v>Manaswini Sahu</v>
      </c>
      <c r="C152" s="12" t="str">
        <f>IFERROR(__xludf.DUMMYFUNCTION("""COMPUTED_VALUE"""),"Sisirs@hotmail.com")</f>
        <v>Sisirs@hotmail.com</v>
      </c>
      <c r="D152" s="12" t="str">
        <f>IFERROR(__xludf.DUMMYFUNCTION("""COMPUTED_VALUE"""),"Adult")</f>
        <v>Adult</v>
      </c>
      <c r="E152" s="13">
        <f>IF(D152&lt;&gt;"",VLOOKUP(D152,Settings!$G$3:$H$6,2,false),"")</f>
        <v>2300</v>
      </c>
      <c r="F152" s="15" t="str">
        <f>IFERROR(__xludf.DUMMYFUNCTION("""COMPUTED_VALUE"""),"Performer")</f>
        <v>Performer</v>
      </c>
      <c r="G152" s="15" t="str">
        <f>IFERROR(__xludf.DUMMYFUNCTION("""COMPUTED_VALUE"""),"The Dazzling Divas")</f>
        <v>The Dazzling Divas</v>
      </c>
      <c r="H152" s="12" t="str">
        <f>IF(G152&lt;&gt;"",VLOOKUP(G152,Settings!$B$4:$C$35,2,false),"")</f>
        <v>Mousumi Moharana</v>
      </c>
      <c r="I152" s="12" t="str">
        <f>IFERROR(__xludf.DUMMYFUNCTION("""COMPUTED_VALUE"""),"")</f>
        <v/>
      </c>
      <c r="J152" s="15" t="s">
        <v>470</v>
      </c>
      <c r="K152" s="16">
        <v>43399.0</v>
      </c>
      <c r="L152" s="3"/>
    </row>
    <row r="153">
      <c r="A153" s="17">
        <f t="shared" si="1"/>
        <v>151</v>
      </c>
      <c r="B153" s="159" t="str">
        <f>IFERROR(__xludf.DUMMYFUNCTION("""COMPUTED_VALUE"""),"Sahu Sadhika")</f>
        <v>Sahu Sadhika</v>
      </c>
      <c r="C153" s="159" t="str">
        <f>IFERROR(__xludf.DUMMYFUNCTION("""COMPUTED_VALUE"""),"Sisirs@hotmail.com")</f>
        <v>Sisirs@hotmail.com</v>
      </c>
      <c r="D153" s="159" t="str">
        <f>IFERROR(__xludf.DUMMYFUNCTION("""COMPUTED_VALUE"""),"Child")</f>
        <v>Child</v>
      </c>
      <c r="E153" s="161">
        <f>IF(D153&lt;&gt;"",VLOOKUP(D153,Settings!$G$3:$H$6,2,false),"")</f>
        <v>1200</v>
      </c>
      <c r="F153" s="162" t="str">
        <f>IFERROR(__xludf.DUMMYFUNCTION("""COMPUTED_VALUE"""),"Relative")</f>
        <v>Relative</v>
      </c>
      <c r="G153" s="162" t="str">
        <f>IFERROR(__xludf.DUMMYFUNCTION("""COMPUTED_VALUE"""),"The Dazzlers")</f>
        <v>The Dazzlers</v>
      </c>
      <c r="H153" s="159" t="str">
        <f>IF(G153&lt;&gt;"",VLOOKUP(G153,Settings!$B$4:$C$35,2,false),"")</f>
        <v>Mousumi Moharana</v>
      </c>
      <c r="I153" s="159" t="str">
        <f>IFERROR(__xludf.DUMMYFUNCTION("""COMPUTED_VALUE"""),"")</f>
        <v/>
      </c>
      <c r="J153" s="162" t="s">
        <v>470</v>
      </c>
      <c r="K153" s="163">
        <v>43399.0</v>
      </c>
      <c r="L153" s="164"/>
    </row>
    <row r="154">
      <c r="A154" s="17">
        <f t="shared" si="1"/>
        <v>152</v>
      </c>
      <c r="B154" s="12" t="str">
        <f>IFERROR(__xludf.DUMMYFUNCTION("""COMPUTED_VALUE"""),"Sahu Samiksha")</f>
        <v>Sahu Samiksha</v>
      </c>
      <c r="C154" s="12" t="str">
        <f>IFERROR(__xludf.DUMMYFUNCTION("""COMPUTED_VALUE"""),"Sisirs@hotmail.com")</f>
        <v>Sisirs@hotmail.com</v>
      </c>
      <c r="D154" s="12" t="str">
        <f>IFERROR(__xludf.DUMMYFUNCTION("""COMPUTED_VALUE"""),"Child")</f>
        <v>Child</v>
      </c>
      <c r="E154" s="13">
        <f>IF(D154&lt;&gt;"",VLOOKUP(D154,Settings!$G$3:$H$6,2,false),"")</f>
        <v>1200</v>
      </c>
      <c r="F154" s="15" t="str">
        <f>IFERROR(__xludf.DUMMYFUNCTION("""COMPUTED_VALUE"""),"Performer")</f>
        <v>Performer</v>
      </c>
      <c r="G154" s="15" t="str">
        <f>IFERROR(__xludf.DUMMYFUNCTION("""COMPUTED_VALUE"""),"The Dazzlers")</f>
        <v>The Dazzlers</v>
      </c>
      <c r="H154" s="12" t="str">
        <f>IF(G154&lt;&gt;"",VLOOKUP(G154,Settings!$B$4:$C$35,2,false),"")</f>
        <v>Mousumi Moharana</v>
      </c>
      <c r="I154" s="12" t="str">
        <f>IFERROR(__xludf.DUMMYFUNCTION("""COMPUTED_VALUE"""),"")</f>
        <v/>
      </c>
      <c r="J154" s="15" t="s">
        <v>470</v>
      </c>
      <c r="K154" s="16">
        <v>43399.0</v>
      </c>
      <c r="L154" s="3"/>
    </row>
    <row r="155">
      <c r="A155" s="17">
        <f t="shared" si="1"/>
        <v>153</v>
      </c>
      <c r="B155" s="12" t="str">
        <f>IFERROR(__xludf.DUMMYFUNCTION("""COMPUTED_VALUE"""),"Meenakshi Gijo")</f>
        <v>Meenakshi Gijo</v>
      </c>
      <c r="C155" s="12" t="str">
        <f>IFERROR(__xludf.DUMMYFUNCTION("""COMPUTED_VALUE"""),"priyagijos@gmail.com")</f>
        <v>priyagijos@gmail.com</v>
      </c>
      <c r="D155" s="12" t="str">
        <f>IFERROR(__xludf.DUMMYFUNCTION("""COMPUTED_VALUE"""),"Child")</f>
        <v>Child</v>
      </c>
      <c r="E155" s="13">
        <f>IF(D155&lt;&gt;"",VLOOKUP(D155,Settings!$G$3:$H$6,2,false),"")</f>
        <v>1200</v>
      </c>
      <c r="F155" s="15" t="str">
        <f>IFERROR(__xludf.DUMMYFUNCTION("""COMPUTED_VALUE"""),"Performer")</f>
        <v>Performer</v>
      </c>
      <c r="G155" s="15" t="str">
        <f>IFERROR(__xludf.DUMMYFUNCTION("""COMPUTED_VALUE"""),"Thalam - Brahmari School Of Dance")</f>
        <v>Thalam - Brahmari School Of Dance</v>
      </c>
      <c r="H155" s="12" t="str">
        <f>IF(G155&lt;&gt;"",VLOOKUP(G155,Settings!$B$4:$C$35,2,false),"")</f>
        <v>Resmi Joby</v>
      </c>
      <c r="I155" s="12" t="str">
        <f>IFERROR(__xludf.DUMMYFUNCTION("""COMPUTED_VALUE"""),"")</f>
        <v/>
      </c>
      <c r="J155" s="15" t="s">
        <v>470</v>
      </c>
      <c r="K155" s="16">
        <v>43401.0</v>
      </c>
      <c r="L155" s="3"/>
    </row>
    <row r="156">
      <c r="A156" s="17">
        <f t="shared" si="1"/>
        <v>154</v>
      </c>
      <c r="B156" s="12" t="str">
        <f>IFERROR(__xludf.DUMMYFUNCTION("""COMPUTED_VALUE"""),"Priya Gijo")</f>
        <v>Priya Gijo</v>
      </c>
      <c r="C156" s="12" t="str">
        <f>IFERROR(__xludf.DUMMYFUNCTION("""COMPUTED_VALUE"""),"priyagijos@gmail.com")</f>
        <v>priyagijos@gmail.com</v>
      </c>
      <c r="D156" s="12" t="str">
        <f>IFERROR(__xludf.DUMMYFUNCTION("""COMPUTED_VALUE"""),"Adult")</f>
        <v>Adult</v>
      </c>
      <c r="E156" s="13">
        <f>IF(D156&lt;&gt;"",VLOOKUP(D156,Settings!$G$3:$H$6,2,false),"")</f>
        <v>2300</v>
      </c>
      <c r="F156" s="15" t="str">
        <f>IFERROR(__xludf.DUMMYFUNCTION("""COMPUTED_VALUE"""),"Relative")</f>
        <v>Relative</v>
      </c>
      <c r="G156" s="15" t="str">
        <f>IFERROR(__xludf.DUMMYFUNCTION("""COMPUTED_VALUE"""),"Thalam - Brahmari School Of Dance")</f>
        <v>Thalam - Brahmari School Of Dance</v>
      </c>
      <c r="H156" s="12" t="str">
        <f>IF(G156&lt;&gt;"",VLOOKUP(G156,Settings!$B$4:$C$35,2,false),"")</f>
        <v>Resmi Joby</v>
      </c>
      <c r="I156" s="12" t="str">
        <f>IFERROR(__xludf.DUMMYFUNCTION("""COMPUTED_VALUE"""),"")</f>
        <v/>
      </c>
      <c r="J156" s="15" t="s">
        <v>470</v>
      </c>
      <c r="K156" s="16">
        <v>43401.0</v>
      </c>
      <c r="L156" s="3"/>
    </row>
    <row r="157">
      <c r="A157" s="17">
        <f t="shared" si="1"/>
        <v>155</v>
      </c>
      <c r="B157" s="12" t="str">
        <f>IFERROR(__xludf.DUMMYFUNCTION("""COMPUTED_VALUE"""),"Bhopre Vividha")</f>
        <v>Bhopre Vividha</v>
      </c>
      <c r="C157" s="12" t="str">
        <f>IFERROR(__xludf.DUMMYFUNCTION("""COMPUTED_VALUE"""),"vividha.bhopre@gmail.com")</f>
        <v>vividha.bhopre@gmail.com</v>
      </c>
      <c r="D157" s="12" t="str">
        <f>IFERROR(__xludf.DUMMYFUNCTION("""COMPUTED_VALUE"""),"Adult")</f>
        <v>Adult</v>
      </c>
      <c r="E157" s="13">
        <f>IF(D157&lt;&gt;"",VLOOKUP(D157,Settings!$G$3:$H$6,2,false),"")</f>
        <v>2300</v>
      </c>
      <c r="F157" s="15" t="str">
        <f>IFERROR(__xludf.DUMMYFUNCTION("""COMPUTED_VALUE"""),"Performer / Coordinator")</f>
        <v>Performer / Coordinator</v>
      </c>
      <c r="G157" s="15" t="str">
        <f>IFERROR(__xludf.DUMMYFUNCTION("""COMPUTED_VALUE"""),"Little Champions")</f>
        <v>Little Champions</v>
      </c>
      <c r="H157" s="12" t="str">
        <f>IF(G157&lt;&gt;"",VLOOKUP(G157,Settings!$B$4:$C$35,2,false),"")</f>
        <v>Vividha Bhopre</v>
      </c>
      <c r="I157" s="12" t="str">
        <f>IFERROR(__xludf.DUMMYFUNCTION("""COMPUTED_VALUE"""),"Performer in Sparkle Queens")</f>
        <v>Performer in Sparkle Queens</v>
      </c>
      <c r="J157" s="15" t="s">
        <v>241</v>
      </c>
      <c r="K157" s="12"/>
      <c r="L157" s="6"/>
    </row>
    <row r="158">
      <c r="A158" s="17">
        <f t="shared" si="1"/>
        <v>156</v>
      </c>
      <c r="B158" s="12" t="str">
        <f>IFERROR(__xludf.DUMMYFUNCTION("""COMPUTED_VALUE"""),"Bhopre krishna")</f>
        <v>Bhopre krishna</v>
      </c>
      <c r="C158" s="12" t="str">
        <f>IFERROR(__xludf.DUMMYFUNCTION("""COMPUTED_VALUE"""),"vividha.bhopre@gmail.com")</f>
        <v>vividha.bhopre@gmail.com</v>
      </c>
      <c r="D158" s="12" t="str">
        <f>IFERROR(__xludf.DUMMYFUNCTION("""COMPUTED_VALUE"""),"Child")</f>
        <v>Child</v>
      </c>
      <c r="E158" s="13">
        <f>IF(D158&lt;&gt;"",VLOOKUP(D158,Settings!$G$3:$H$6,2,false),"")</f>
        <v>1200</v>
      </c>
      <c r="F158" s="15" t="str">
        <f>IFERROR(__xludf.DUMMYFUNCTION("""COMPUTED_VALUE"""),"Performer")</f>
        <v>Performer</v>
      </c>
      <c r="G158" s="15" t="str">
        <f>IFERROR(__xludf.DUMMYFUNCTION("""COMPUTED_VALUE"""),"Little Champions")</f>
        <v>Little Champions</v>
      </c>
      <c r="H158" s="12" t="str">
        <f>IF(G158&lt;&gt;"",VLOOKUP(G158,Settings!$B$4:$C$35,2,false),"")</f>
        <v>Vividha Bhopre</v>
      </c>
      <c r="I158" s="12" t="str">
        <f>IFERROR(__xludf.DUMMYFUNCTION("""COMPUTED_VALUE"""),"")</f>
        <v/>
      </c>
      <c r="J158" s="15" t="s">
        <v>241</v>
      </c>
      <c r="K158" s="16"/>
      <c r="L158" s="3"/>
    </row>
    <row r="159">
      <c r="A159" s="17">
        <f t="shared" si="1"/>
        <v>157</v>
      </c>
      <c r="B159" s="12" t="str">
        <f>IFERROR(__xludf.DUMMYFUNCTION("""COMPUTED_VALUE"""),"Bhopre Nilesh ")</f>
        <v>Bhopre Nilesh </v>
      </c>
      <c r="C159" s="12" t="str">
        <f>IFERROR(__xludf.DUMMYFUNCTION("""COMPUTED_VALUE"""),"vividha.bhopre@gmail.com")</f>
        <v>vividha.bhopre@gmail.com</v>
      </c>
      <c r="D159" s="12" t="str">
        <f>IFERROR(__xludf.DUMMYFUNCTION("""COMPUTED_VALUE"""),"Adult")</f>
        <v>Adult</v>
      </c>
      <c r="E159" s="13">
        <f>IF(D159&lt;&gt;"",VLOOKUP(D159,Settings!$G$3:$H$6,2,false),"")</f>
        <v>2300</v>
      </c>
      <c r="F159" s="15" t="str">
        <f>IFERROR(__xludf.DUMMYFUNCTION("""COMPUTED_VALUE"""),"Relative")</f>
        <v>Relative</v>
      </c>
      <c r="G159" s="15" t="str">
        <f>IFERROR(__xludf.DUMMYFUNCTION("""COMPUTED_VALUE"""),"Little Champions")</f>
        <v>Little Champions</v>
      </c>
      <c r="H159" s="12" t="str">
        <f>IF(G159&lt;&gt;"",VLOOKUP(G159,Settings!$B$4:$C$35,2,false),"")</f>
        <v>Vividha Bhopre</v>
      </c>
      <c r="I159" s="12" t="str">
        <f>IFERROR(__xludf.DUMMYFUNCTION("""COMPUTED_VALUE"""),"")</f>
        <v/>
      </c>
      <c r="J159" s="15" t="s">
        <v>241</v>
      </c>
      <c r="K159" s="16"/>
      <c r="L159" s="3"/>
    </row>
    <row r="160">
      <c r="A160" s="17">
        <f t="shared" si="1"/>
        <v>158</v>
      </c>
      <c r="B160" s="12" t="str">
        <f>IFERROR(__xludf.DUMMYFUNCTION("""COMPUTED_VALUE"""),"Kolhe usha")</f>
        <v>Kolhe usha</v>
      </c>
      <c r="C160" s="12" t="str">
        <f>IFERROR(__xludf.DUMMYFUNCTION("""COMPUTED_VALUE"""),"vividha.bhopre@gmail.con")</f>
        <v>vividha.bhopre@gmail.con</v>
      </c>
      <c r="D160" s="12" t="str">
        <f>IFERROR(__xludf.DUMMYFUNCTION("""COMPUTED_VALUE"""),"Adult")</f>
        <v>Adult</v>
      </c>
      <c r="E160" s="13">
        <f>IF(D160&lt;&gt;"",VLOOKUP(D160,Settings!$G$3:$H$6,2,false),"")</f>
        <v>2300</v>
      </c>
      <c r="F160" s="15" t="str">
        <f>IFERROR(__xludf.DUMMYFUNCTION("""COMPUTED_VALUE"""),"Relative")</f>
        <v>Relative</v>
      </c>
      <c r="G160" s="15" t="str">
        <f>IFERROR(__xludf.DUMMYFUNCTION("""COMPUTED_VALUE"""),"Little Champions")</f>
        <v>Little Champions</v>
      </c>
      <c r="H160" s="12" t="str">
        <f>IF(G160&lt;&gt;"",VLOOKUP(G160,Settings!$B$4:$C$35,2,false),"")</f>
        <v>Vividha Bhopre</v>
      </c>
      <c r="I160" s="12" t="str">
        <f>IFERROR(__xludf.DUMMYFUNCTION("""COMPUTED_VALUE"""),"")</f>
        <v/>
      </c>
      <c r="J160" s="15" t="s">
        <v>241</v>
      </c>
      <c r="K160" s="16"/>
      <c r="L160" s="3"/>
    </row>
    <row r="161">
      <c r="A161" s="17">
        <f t="shared" si="1"/>
        <v>159</v>
      </c>
      <c r="B161" s="12" t="str">
        <f>IFERROR(__xludf.DUMMYFUNCTION("""COMPUTED_VALUE"""),"Prathap Shrida")</f>
        <v>Prathap Shrida</v>
      </c>
      <c r="C161" s="12" t="str">
        <f>IFERROR(__xludf.DUMMYFUNCTION("""COMPUTED_VALUE"""),"nithi21pn@gmail.com")</f>
        <v>nithi21pn@gmail.com</v>
      </c>
      <c r="D161" s="12" t="str">
        <f>IFERROR(__xludf.DUMMYFUNCTION("""COMPUTED_VALUE"""),"Child")</f>
        <v>Child</v>
      </c>
      <c r="E161" s="13">
        <f>IF(D161&lt;&gt;"",VLOOKUP(D161,Settings!$G$3:$H$6,2,false),"")</f>
        <v>1200</v>
      </c>
      <c r="F161" s="15" t="str">
        <f>IFERROR(__xludf.DUMMYFUNCTION("""COMPUTED_VALUE"""),"Performer")</f>
        <v>Performer</v>
      </c>
      <c r="G161" s="15" t="str">
        <f>IFERROR(__xludf.DUMMYFUNCTION("""COMPUTED_VALUE"""),"Thalam - Brahmari School Of Dance")</f>
        <v>Thalam - Brahmari School Of Dance</v>
      </c>
      <c r="H161" s="12" t="str">
        <f>IF(G161&lt;&gt;"",VLOOKUP(G161,Settings!$B$4:$C$35,2,false),"")</f>
        <v>Resmi Joby</v>
      </c>
      <c r="I161" s="12" t="str">
        <f>IFERROR(__xludf.DUMMYFUNCTION("""COMPUTED_VALUE"""),"")</f>
        <v/>
      </c>
      <c r="J161" s="15" t="s">
        <v>470</v>
      </c>
      <c r="K161" s="16">
        <v>43401.0</v>
      </c>
      <c r="L161" s="3"/>
    </row>
    <row r="162">
      <c r="A162" s="17">
        <f t="shared" si="1"/>
        <v>160</v>
      </c>
      <c r="B162" s="12" t="str">
        <f>IFERROR(__xludf.DUMMYFUNCTION("""COMPUTED_VALUE"""),"Prathap Nithya")</f>
        <v>Prathap Nithya</v>
      </c>
      <c r="C162" s="12" t="str">
        <f>IFERROR(__xludf.DUMMYFUNCTION("""COMPUTED_VALUE"""),"nithi21pn@gmail.com")</f>
        <v>nithi21pn@gmail.com</v>
      </c>
      <c r="D162" s="12" t="str">
        <f>IFERROR(__xludf.DUMMYFUNCTION("""COMPUTED_VALUE"""),"Adult")</f>
        <v>Adult</v>
      </c>
      <c r="E162" s="13">
        <f>IF(D162&lt;&gt;"",VLOOKUP(D162,Settings!$G$3:$H$6,2,false),"")</f>
        <v>2300</v>
      </c>
      <c r="F162" s="15" t="str">
        <f>IFERROR(__xludf.DUMMYFUNCTION("""COMPUTED_VALUE"""),"Relative")</f>
        <v>Relative</v>
      </c>
      <c r="G162" s="15" t="str">
        <f>IFERROR(__xludf.DUMMYFUNCTION("""COMPUTED_VALUE"""),"Thalam - Brahmari School Of Dance")</f>
        <v>Thalam - Brahmari School Of Dance</v>
      </c>
      <c r="H162" s="12" t="str">
        <f>IF(G162&lt;&gt;"",VLOOKUP(G162,Settings!$B$4:$C$35,2,false),"")</f>
        <v>Resmi Joby</v>
      </c>
      <c r="I162" s="12" t="str">
        <f>IFERROR(__xludf.DUMMYFUNCTION("""COMPUTED_VALUE"""),"")</f>
        <v/>
      </c>
      <c r="J162" s="15" t="s">
        <v>470</v>
      </c>
      <c r="K162" s="16">
        <v>43401.0</v>
      </c>
      <c r="L162" s="3"/>
    </row>
    <row r="163">
      <c r="A163" s="17">
        <f t="shared" si="1"/>
        <v>161</v>
      </c>
      <c r="B163" s="12" t="str">
        <f>IFERROR(__xludf.DUMMYFUNCTION("""COMPUTED_VALUE"""),"Kush verma")</f>
        <v>Kush verma</v>
      </c>
      <c r="C163" s="12" t="str">
        <f>IFERROR(__xludf.DUMMYFUNCTION("""COMPUTED_VALUE"""),"meenamkumar@hotmail.com")</f>
        <v>meenamkumar@hotmail.com</v>
      </c>
      <c r="D163" s="12" t="str">
        <f>IFERROR(__xludf.DUMMYFUNCTION("""COMPUTED_VALUE"""),"Child")</f>
        <v>Child</v>
      </c>
      <c r="E163" s="13">
        <f>IF(D163&lt;&gt;"",VLOOKUP(D163,Settings!$G$3:$H$6,2,false),"")</f>
        <v>1200</v>
      </c>
      <c r="F163" s="15" t="str">
        <f>IFERROR(__xludf.DUMMYFUNCTION("""COMPUTED_VALUE"""),"Performer")</f>
        <v>Performer</v>
      </c>
      <c r="G163" s="15" t="str">
        <f>IFERROR(__xludf.DUMMYFUNCTION("""COMPUTED_VALUE"""),"The Dazzlers")</f>
        <v>The Dazzlers</v>
      </c>
      <c r="H163" s="12" t="str">
        <f>IF(G163&lt;&gt;"",VLOOKUP(G163,Settings!$B$4:$C$35,2,false),"")</f>
        <v>Mousumi Moharana</v>
      </c>
      <c r="I163" s="166" t="str">
        <f>IFERROR(__xludf.DUMMYFUNCTION("""COMPUTED_VALUE"""),"")</f>
        <v/>
      </c>
      <c r="J163" s="15" t="s">
        <v>470</v>
      </c>
      <c r="K163" s="16">
        <v>43399.0</v>
      </c>
      <c r="L163" s="3"/>
    </row>
    <row r="164">
      <c r="A164" s="17">
        <f t="shared" si="1"/>
        <v>162</v>
      </c>
      <c r="B164" s="12" t="str">
        <f>IFERROR(__xludf.DUMMYFUNCTION("""COMPUTED_VALUE"""),"Kush verma")</f>
        <v>Kush verma</v>
      </c>
      <c r="C164" s="15" t="str">
        <f>IFERROR(__xludf.DUMMYFUNCTION("""COMPUTED_VALUE"""),"meenamkumar@hotmail.com")</f>
        <v>meenamkumar@hotmail.com</v>
      </c>
      <c r="D164" s="12" t="str">
        <f>IFERROR(__xludf.DUMMYFUNCTION("""COMPUTED_VALUE"""),"Adult")</f>
        <v>Adult</v>
      </c>
      <c r="E164" s="13">
        <f>IF(D164&lt;&gt;"",VLOOKUP(D164,Settings!$G$3:$H$6,2,false),"")</f>
        <v>2300</v>
      </c>
      <c r="F164" s="15" t="str">
        <f>IFERROR(__xludf.DUMMYFUNCTION("""COMPUTED_VALUE"""),"Relative")</f>
        <v>Relative</v>
      </c>
      <c r="G164" s="15" t="str">
        <f>IFERROR(__xludf.DUMMYFUNCTION("""COMPUTED_VALUE"""),"The Dazzlers")</f>
        <v>The Dazzlers</v>
      </c>
      <c r="H164" s="12" t="str">
        <f>IF(G164&lt;&gt;"",VLOOKUP(G164,Settings!$B$4:$C$35,2,false),"")</f>
        <v>Mousumi Moharana</v>
      </c>
      <c r="I164" s="12" t="str">
        <f>IFERROR(__xludf.DUMMYFUNCTION("""COMPUTED_VALUE"""),"")</f>
        <v/>
      </c>
      <c r="J164" s="15" t="s">
        <v>470</v>
      </c>
      <c r="K164" s="16">
        <v>43399.0</v>
      </c>
      <c r="L164" s="3"/>
    </row>
    <row r="165">
      <c r="A165" s="17">
        <f t="shared" si="1"/>
        <v>163</v>
      </c>
      <c r="B165" s="12" t="str">
        <f>IFERROR(__xludf.DUMMYFUNCTION("""COMPUTED_VALUE"""),"Kush verma")</f>
        <v>Kush verma</v>
      </c>
      <c r="C165" s="12" t="str">
        <f>IFERROR(__xludf.DUMMYFUNCTION("""COMPUTED_VALUE"""),"meenamkumar@hotmail.com")</f>
        <v>meenamkumar@hotmail.com</v>
      </c>
      <c r="D165" s="12" t="str">
        <f>IFERROR(__xludf.DUMMYFUNCTION("""COMPUTED_VALUE"""),"Adult")</f>
        <v>Adult</v>
      </c>
      <c r="E165" s="13">
        <f>IF(D165&lt;&gt;"",VLOOKUP(D165,Settings!$G$3:$H$6,2,false),"")</f>
        <v>2300</v>
      </c>
      <c r="F165" s="15" t="str">
        <f>IFERROR(__xludf.DUMMYFUNCTION("""COMPUTED_VALUE"""),"Relative")</f>
        <v>Relative</v>
      </c>
      <c r="G165" s="15" t="str">
        <f>IFERROR(__xludf.DUMMYFUNCTION("""COMPUTED_VALUE"""),"The Dazzlers")</f>
        <v>The Dazzlers</v>
      </c>
      <c r="H165" s="12" t="str">
        <f>IF(G165&lt;&gt;"",VLOOKUP(G165,Settings!$B$4:$C$35,2,false),"")</f>
        <v>Mousumi Moharana</v>
      </c>
      <c r="I165" s="12" t="str">
        <f>IFERROR(__xludf.DUMMYFUNCTION("""COMPUTED_VALUE"""),"")</f>
        <v/>
      </c>
      <c r="J165" s="15" t="s">
        <v>470</v>
      </c>
      <c r="K165" s="16">
        <v>43399.0</v>
      </c>
      <c r="L165" s="6"/>
    </row>
    <row r="166">
      <c r="A166" s="17">
        <f t="shared" si="1"/>
        <v>164</v>
      </c>
      <c r="B166" s="12" t="str">
        <f>IFERROR(__xludf.DUMMYFUNCTION("""COMPUTED_VALUE"""),"Lodha Alka")</f>
        <v>Lodha Alka</v>
      </c>
      <c r="C166" s="12" t="str">
        <f>IFERROR(__xludf.DUMMYFUNCTION("""COMPUTED_VALUE"""),"alkalodha2012@gmail.com")</f>
        <v>alkalodha2012@gmail.com</v>
      </c>
      <c r="D166" s="12" t="str">
        <f>IFERROR(__xludf.DUMMYFUNCTION("""COMPUTED_VALUE"""),"Adult")</f>
        <v>Adult</v>
      </c>
      <c r="E166" s="13">
        <f>IF(D166&lt;&gt;"",VLOOKUP(D166,Settings!$G$3:$H$6,2,false),"")</f>
        <v>2300</v>
      </c>
      <c r="F166" s="15" t="str">
        <f>IFERROR(__xludf.DUMMYFUNCTION("""COMPUTED_VALUE"""),"Performer / Coordinator")</f>
        <v>Performer / Coordinator</v>
      </c>
      <c r="G166" s="15" t="str">
        <f>IFERROR(__xludf.DUMMYFUNCTION("""COMPUTED_VALUE"""),"Okachimachi Group")</f>
        <v>Okachimachi Group</v>
      </c>
      <c r="H166" s="12" t="str">
        <f>IF(G166&lt;&gt;"",VLOOKUP(G166,Settings!$B$4:$C$35,2,false),"")</f>
        <v>Alka lodha</v>
      </c>
      <c r="I166" s="12" t="str">
        <f>IFERROR(__xludf.DUMMYFUNCTION("""COMPUTED_VALUE"""),"")</f>
        <v/>
      </c>
      <c r="J166" s="15" t="s">
        <v>568</v>
      </c>
      <c r="K166" s="16"/>
      <c r="L166" s="6"/>
    </row>
    <row r="167">
      <c r="A167" s="17">
        <f t="shared" si="1"/>
        <v>165</v>
      </c>
      <c r="B167" s="12" t="str">
        <f>IFERROR(__xludf.DUMMYFUNCTION("""COMPUTED_VALUE"""),"Lodha Ashwin")</f>
        <v>Lodha Ashwin</v>
      </c>
      <c r="C167" s="12" t="str">
        <f>IFERROR(__xludf.DUMMYFUNCTION("""COMPUTED_VALUE"""),"alkalodha2012@gmail.com")</f>
        <v>alkalodha2012@gmail.com</v>
      </c>
      <c r="D167" s="12" t="str">
        <f>IFERROR(__xludf.DUMMYFUNCTION("""COMPUTED_VALUE"""),"Adult")</f>
        <v>Adult</v>
      </c>
      <c r="E167" s="13">
        <f>IF(D167&lt;&gt;"",VLOOKUP(D167,Settings!$G$3:$H$6,2,false),"")</f>
        <v>2300</v>
      </c>
      <c r="F167" s="15" t="str">
        <f>IFERROR(__xludf.DUMMYFUNCTION("""COMPUTED_VALUE"""),"Relative")</f>
        <v>Relative</v>
      </c>
      <c r="G167" s="15" t="str">
        <f>IFERROR(__xludf.DUMMYFUNCTION("""COMPUTED_VALUE"""),"Okachimachi Group")</f>
        <v>Okachimachi Group</v>
      </c>
      <c r="H167" s="12" t="str">
        <f>IF(G167&lt;&gt;"",VLOOKUP(G167,Settings!$B$4:$C$35,2,false),"")</f>
        <v>Alka lodha</v>
      </c>
      <c r="I167" s="12" t="str">
        <f>IFERROR(__xludf.DUMMYFUNCTION("""COMPUTED_VALUE"""),"")</f>
        <v/>
      </c>
      <c r="J167" s="15" t="s">
        <v>568</v>
      </c>
      <c r="K167" s="12"/>
      <c r="L167" s="3"/>
    </row>
    <row r="168">
      <c r="A168" s="17">
        <f t="shared" si="1"/>
        <v>166</v>
      </c>
      <c r="B168" s="12" t="str">
        <f>IFERROR(__xludf.DUMMYFUNCTION("""COMPUTED_VALUE"""),"Lodha Aakash ")</f>
        <v>Lodha Aakash </v>
      </c>
      <c r="C168" s="12" t="str">
        <f>IFERROR(__xludf.DUMMYFUNCTION("""COMPUTED_VALUE"""),"alkalodha2012@gmail.com")</f>
        <v>alkalodha2012@gmail.com</v>
      </c>
      <c r="D168" s="12" t="str">
        <f>IFERROR(__xludf.DUMMYFUNCTION("""COMPUTED_VALUE"""),"Adult")</f>
        <v>Adult</v>
      </c>
      <c r="E168" s="13">
        <f>IF(D168&lt;&gt;"",VLOOKUP(D168,Settings!$G$3:$H$6,2,false),"")</f>
        <v>2300</v>
      </c>
      <c r="F168" s="15" t="str">
        <f>IFERROR(__xludf.DUMMYFUNCTION("""COMPUTED_VALUE"""),"Performer")</f>
        <v>Performer</v>
      </c>
      <c r="G168" s="15" t="str">
        <f>IFERROR(__xludf.DUMMYFUNCTION("""COMPUTED_VALUE"""),"Okachimachi Group")</f>
        <v>Okachimachi Group</v>
      </c>
      <c r="H168" s="12" t="str">
        <f>IF(G168&lt;&gt;"",VLOOKUP(G168,Settings!$B$4:$C$35,2,false),"")</f>
        <v>Alka lodha</v>
      </c>
      <c r="I168" s="12" t="str">
        <f>IFERROR(__xludf.DUMMYFUNCTION("""COMPUTED_VALUE"""),"")</f>
        <v/>
      </c>
      <c r="J168" s="15" t="s">
        <v>568</v>
      </c>
      <c r="K168" s="12"/>
      <c r="L168" s="3"/>
    </row>
    <row r="169">
      <c r="A169" s="17">
        <f t="shared" si="1"/>
        <v>167</v>
      </c>
      <c r="B169" s="12" t="str">
        <f>IFERROR(__xludf.DUMMYFUNCTION("""COMPUTED_VALUE"""),"Lodha arihant")</f>
        <v>Lodha arihant</v>
      </c>
      <c r="C169" s="12" t="str">
        <f>IFERROR(__xludf.DUMMYFUNCTION("""COMPUTED_VALUE"""),"alkalodha2012@gmail.com")</f>
        <v>alkalodha2012@gmail.com</v>
      </c>
      <c r="D169" s="12" t="str">
        <f>IFERROR(__xludf.DUMMYFUNCTION("""COMPUTED_VALUE"""),"Child")</f>
        <v>Child</v>
      </c>
      <c r="E169" s="13">
        <f>IF(D169&lt;&gt;"",VLOOKUP(D169,Settings!$G$3:$H$6,2,false),"")</f>
        <v>1200</v>
      </c>
      <c r="F169" s="15" t="str">
        <f>IFERROR(__xludf.DUMMYFUNCTION("""COMPUTED_VALUE"""),"Performer")</f>
        <v>Performer</v>
      </c>
      <c r="G169" s="15" t="str">
        <f>IFERROR(__xludf.DUMMYFUNCTION("""COMPUTED_VALUE"""),"Okachimachi Group")</f>
        <v>Okachimachi Group</v>
      </c>
      <c r="H169" s="12" t="str">
        <f>IF(G169&lt;&gt;"",VLOOKUP(G169,Settings!$B$4:$C$35,2,false),"")</f>
        <v>Alka lodha</v>
      </c>
      <c r="I169" s="12" t="str">
        <f>IFERROR(__xludf.DUMMYFUNCTION("""COMPUTED_VALUE"""),"")</f>
        <v/>
      </c>
      <c r="J169" s="15" t="s">
        <v>568</v>
      </c>
      <c r="K169" s="16"/>
      <c r="L169" s="3"/>
    </row>
    <row r="170">
      <c r="A170" s="17">
        <f t="shared" si="1"/>
        <v>168</v>
      </c>
      <c r="B170" s="12" t="str">
        <f>IFERROR(__xludf.DUMMYFUNCTION("""COMPUTED_VALUE"""),"Lodha parasmal")</f>
        <v>Lodha parasmal</v>
      </c>
      <c r="C170" s="12" t="str">
        <f>IFERROR(__xludf.DUMMYFUNCTION("""COMPUTED_VALUE"""),"alkalodha2012@gmail.com")</f>
        <v>alkalodha2012@gmail.com</v>
      </c>
      <c r="D170" s="12" t="str">
        <f>IFERROR(__xludf.DUMMYFUNCTION("""COMPUTED_VALUE"""),"Adult")</f>
        <v>Adult</v>
      </c>
      <c r="E170" s="13">
        <f>IF(D170&lt;&gt;"",VLOOKUP(D170,Settings!$G$3:$H$6,2,false),"")</f>
        <v>2300</v>
      </c>
      <c r="F170" s="15" t="str">
        <f>IFERROR(__xludf.DUMMYFUNCTION("""COMPUTED_VALUE"""),"Relative")</f>
        <v>Relative</v>
      </c>
      <c r="G170" s="15" t="str">
        <f>IFERROR(__xludf.DUMMYFUNCTION("""COMPUTED_VALUE"""),"Okachimachi Group")</f>
        <v>Okachimachi Group</v>
      </c>
      <c r="H170" s="12" t="str">
        <f>IF(G170&lt;&gt;"",VLOOKUP(G170,Settings!$B$4:$C$35,2,false),"")</f>
        <v>Alka lodha</v>
      </c>
      <c r="I170" s="12" t="str">
        <f>IFERROR(__xludf.DUMMYFUNCTION("""COMPUTED_VALUE"""),"")</f>
        <v/>
      </c>
      <c r="J170" s="15" t="s">
        <v>568</v>
      </c>
      <c r="K170" s="103"/>
      <c r="L170" s="3"/>
    </row>
    <row r="171">
      <c r="A171" s="17">
        <f t="shared" si="1"/>
        <v>169</v>
      </c>
      <c r="B171" s="12" t="str">
        <f>IFERROR(__xludf.DUMMYFUNCTION("""COMPUTED_VALUE"""),"Joshi Riya ")</f>
        <v>Joshi Riya </v>
      </c>
      <c r="C171" s="12" t="str">
        <f>IFERROR(__xludf.DUMMYFUNCTION("""COMPUTED_VALUE"""),"riyaroyal2005@gmail.com")</f>
        <v>riyaroyal2005@gmail.com</v>
      </c>
      <c r="D171" s="12" t="str">
        <f>IFERROR(__xludf.DUMMYFUNCTION("""COMPUTED_VALUE"""),"Adult")</f>
        <v>Adult</v>
      </c>
      <c r="E171" s="13">
        <f>IF(D171&lt;&gt;"",VLOOKUP(D171,Settings!$G$3:$H$6,2,false),"")</f>
        <v>2300</v>
      </c>
      <c r="F171" s="15" t="str">
        <f>IFERROR(__xludf.DUMMYFUNCTION("""COMPUTED_VALUE"""),"Performer")</f>
        <v>Performer</v>
      </c>
      <c r="G171" s="15" t="str">
        <f>IFERROR(__xludf.DUMMYFUNCTION("""COMPUTED_VALUE"""),"Okachimachi Group")</f>
        <v>Okachimachi Group</v>
      </c>
      <c r="H171" s="12" t="str">
        <f>IF(G171&lt;&gt;"",VLOOKUP(G171,Settings!$B$4:$C$35,2,false),"")</f>
        <v>Alka lodha</v>
      </c>
      <c r="I171" s="12" t="str">
        <f>IFERROR(__xludf.DUMMYFUNCTION("""COMPUTED_VALUE"""),"")</f>
        <v/>
      </c>
      <c r="J171" s="15" t="s">
        <v>568</v>
      </c>
      <c r="K171" s="103"/>
      <c r="L171" s="3"/>
    </row>
    <row r="172">
      <c r="A172" s="17">
        <f t="shared" si="1"/>
        <v>170</v>
      </c>
      <c r="B172" s="12" t="str">
        <f>IFERROR(__xludf.DUMMYFUNCTION("""COMPUTED_VALUE"""),"Joshi Sabita ")</f>
        <v>Joshi Sabita </v>
      </c>
      <c r="C172" s="12" t="str">
        <f>IFERROR(__xludf.DUMMYFUNCTION("""COMPUTED_VALUE"""),"riyaroyal2005@gmail.com")</f>
        <v>riyaroyal2005@gmail.com</v>
      </c>
      <c r="D172" s="12" t="str">
        <f>IFERROR(__xludf.DUMMYFUNCTION("""COMPUTED_VALUE"""),"Adult")</f>
        <v>Adult</v>
      </c>
      <c r="E172" s="13">
        <f>IF(D172&lt;&gt;"",VLOOKUP(D172,Settings!$G$3:$H$6,2,false),"")</f>
        <v>2300</v>
      </c>
      <c r="F172" s="15" t="str">
        <f>IFERROR(__xludf.DUMMYFUNCTION("""COMPUTED_VALUE"""),"Relative")</f>
        <v>Relative</v>
      </c>
      <c r="G172" s="15" t="str">
        <f>IFERROR(__xludf.DUMMYFUNCTION("""COMPUTED_VALUE"""),"Okachimachi Group")</f>
        <v>Okachimachi Group</v>
      </c>
      <c r="H172" s="12" t="str">
        <f>IF(G172&lt;&gt;"",VLOOKUP(G172,Settings!$B$4:$C$35,2,false),"")</f>
        <v>Alka lodha</v>
      </c>
      <c r="I172" s="12" t="str">
        <f>IFERROR(__xludf.DUMMYFUNCTION("""COMPUTED_VALUE"""),"")</f>
        <v/>
      </c>
      <c r="J172" s="15" t="s">
        <v>568</v>
      </c>
      <c r="K172" s="103"/>
      <c r="L172" s="3"/>
    </row>
    <row r="173">
      <c r="A173" s="17">
        <f t="shared" si="1"/>
        <v>171</v>
      </c>
      <c r="B173" s="12" t="str">
        <f>IFERROR(__xludf.DUMMYFUNCTION("""COMPUTED_VALUE"""),"Joshi Riona ")</f>
        <v>Joshi Riona </v>
      </c>
      <c r="C173" s="12" t="str">
        <f>IFERROR(__xludf.DUMMYFUNCTION("""COMPUTED_VALUE"""),"riyaroyal2005@gmail.com")</f>
        <v>riyaroyal2005@gmail.com</v>
      </c>
      <c r="D173" s="12" t="str">
        <f>IFERROR(__xludf.DUMMYFUNCTION("""COMPUTED_VALUE"""),"Child")</f>
        <v>Child</v>
      </c>
      <c r="E173" s="13">
        <f>IF(D173&lt;&gt;"",VLOOKUP(D173,Settings!$G$3:$H$6,2,false),"")</f>
        <v>1200</v>
      </c>
      <c r="F173" s="15" t="str">
        <f>IFERROR(__xludf.DUMMYFUNCTION("""COMPUTED_VALUE"""),"Relative")</f>
        <v>Relative</v>
      </c>
      <c r="G173" s="15" t="str">
        <f>IFERROR(__xludf.DUMMYFUNCTION("""COMPUTED_VALUE"""),"Okachimachi Group")</f>
        <v>Okachimachi Group</v>
      </c>
      <c r="H173" s="12" t="str">
        <f>IF(G173&lt;&gt;"",VLOOKUP(G173,Settings!$B$4:$C$35,2,false),"")</f>
        <v>Alka lodha</v>
      </c>
      <c r="I173" s="12" t="str">
        <f>IFERROR(__xludf.DUMMYFUNCTION("""COMPUTED_VALUE"""),"")</f>
        <v/>
      </c>
      <c r="J173" s="15" t="s">
        <v>568</v>
      </c>
      <c r="K173" s="12"/>
      <c r="L173" s="3"/>
    </row>
    <row r="174">
      <c r="A174" s="17">
        <f t="shared" si="1"/>
        <v>172</v>
      </c>
      <c r="B174" s="12" t="str">
        <f>IFERROR(__xludf.DUMMYFUNCTION("""COMPUTED_VALUE"""),"Joshi Ram Bhakta ")</f>
        <v>Joshi Ram Bhakta </v>
      </c>
      <c r="C174" s="12" t="str">
        <f>IFERROR(__xludf.DUMMYFUNCTION("""COMPUTED_VALUE"""),"riyaroyal2005@gmail.com")</f>
        <v>riyaroyal2005@gmail.com</v>
      </c>
      <c r="D174" s="12" t="str">
        <f>IFERROR(__xludf.DUMMYFUNCTION("""COMPUTED_VALUE"""),"Adult")</f>
        <v>Adult</v>
      </c>
      <c r="E174" s="13">
        <f>IF(D174&lt;&gt;"",VLOOKUP(D174,Settings!$G$3:$H$6,2,false),"")</f>
        <v>2300</v>
      </c>
      <c r="F174" s="15" t="str">
        <f>IFERROR(__xludf.DUMMYFUNCTION("""COMPUTED_VALUE"""),"Relative")</f>
        <v>Relative</v>
      </c>
      <c r="G174" s="15" t="str">
        <f>IFERROR(__xludf.DUMMYFUNCTION("""COMPUTED_VALUE"""),"Okachimachi Group")</f>
        <v>Okachimachi Group</v>
      </c>
      <c r="H174" s="12" t="str">
        <f>IF(G174&lt;&gt;"",VLOOKUP(G174,Settings!$B$4:$C$35,2,false),"")</f>
        <v>Alka lodha</v>
      </c>
      <c r="I174" s="12" t="str">
        <f>IFERROR(__xludf.DUMMYFUNCTION("""COMPUTED_VALUE"""),"")</f>
        <v/>
      </c>
      <c r="J174" s="15" t="s">
        <v>568</v>
      </c>
      <c r="K174" s="12"/>
      <c r="L174" s="3"/>
    </row>
    <row r="175">
      <c r="A175" s="17">
        <f t="shared" si="1"/>
        <v>173</v>
      </c>
      <c r="B175" s="12" t="str">
        <f>IFERROR(__xludf.DUMMYFUNCTION("""COMPUTED_VALUE"""),"Baid ishita")</f>
        <v>Baid ishita</v>
      </c>
      <c r="C175" s="12" t="str">
        <f>IFERROR(__xludf.DUMMYFUNCTION("""COMPUTED_VALUE"""),"alkalodha2012@gmail.com")</f>
        <v>alkalodha2012@gmail.com</v>
      </c>
      <c r="D175" s="12" t="str">
        <f>IFERROR(__xludf.DUMMYFUNCTION("""COMPUTED_VALUE"""),"Adult")</f>
        <v>Adult</v>
      </c>
      <c r="E175" s="13">
        <f>IF(D175&lt;&gt;"",VLOOKUP(D175,Settings!$G$3:$H$6,2,false),"")</f>
        <v>2300</v>
      </c>
      <c r="F175" s="15" t="str">
        <f>IFERROR(__xludf.DUMMYFUNCTION("""COMPUTED_VALUE"""),"Performer")</f>
        <v>Performer</v>
      </c>
      <c r="G175" s="15" t="str">
        <f>IFERROR(__xludf.DUMMYFUNCTION("""COMPUTED_VALUE"""),"Okachimachi Group")</f>
        <v>Okachimachi Group</v>
      </c>
      <c r="H175" s="12" t="str">
        <f>IF(G175&lt;&gt;"",VLOOKUP(G175,Settings!$B$4:$C$35,2,false),"")</f>
        <v>Alka lodha</v>
      </c>
      <c r="I175" s="12" t="str">
        <f>IFERROR(__xludf.DUMMYFUNCTION("""COMPUTED_VALUE"""),"")</f>
        <v/>
      </c>
      <c r="J175" s="15" t="s">
        <v>568</v>
      </c>
      <c r="K175" s="15"/>
      <c r="L175" s="3"/>
    </row>
    <row r="176">
      <c r="A176" s="17">
        <f t="shared" si="1"/>
        <v>174</v>
      </c>
      <c r="B176" s="12" t="str">
        <f>IFERROR(__xludf.DUMMYFUNCTION("""COMPUTED_VALUE"""),"Lodha chandra")</f>
        <v>Lodha chandra</v>
      </c>
      <c r="C176" s="12" t="str">
        <f>IFERROR(__xludf.DUMMYFUNCTION("""COMPUTED_VALUE"""),"alkalodha2012@gmail.com")</f>
        <v>alkalodha2012@gmail.com</v>
      </c>
      <c r="D176" s="12" t="str">
        <f>IFERROR(__xludf.DUMMYFUNCTION("""COMPUTED_VALUE"""),"Adult")</f>
        <v>Adult</v>
      </c>
      <c r="E176" s="13">
        <f>IF(D176&lt;&gt;"",VLOOKUP(D176,Settings!$G$3:$H$6,2,false),"")</f>
        <v>2300</v>
      </c>
      <c r="F176" s="15" t="str">
        <f>IFERROR(__xludf.DUMMYFUNCTION("""COMPUTED_VALUE"""),"Relative")</f>
        <v>Relative</v>
      </c>
      <c r="G176" s="15" t="str">
        <f>IFERROR(__xludf.DUMMYFUNCTION("""COMPUTED_VALUE"""),"Okachimachi Group")</f>
        <v>Okachimachi Group</v>
      </c>
      <c r="H176" s="12" t="str">
        <f>IF(G176&lt;&gt;"",VLOOKUP(G176,Settings!$B$4:$C$35,2,false),"")</f>
        <v>Alka lodha</v>
      </c>
      <c r="I176" s="12" t="str">
        <f>IFERROR(__xludf.DUMMYFUNCTION("""COMPUTED_VALUE"""),"")</f>
        <v/>
      </c>
      <c r="J176" s="15" t="s">
        <v>568</v>
      </c>
      <c r="K176" s="15"/>
      <c r="L176" s="3"/>
    </row>
    <row r="177">
      <c r="A177" s="17">
        <f t="shared" si="1"/>
        <v>175</v>
      </c>
      <c r="B177" s="12" t="str">
        <f>IFERROR(__xludf.DUMMYFUNCTION("""COMPUTED_VALUE"""),"Agrawal Sonu")</f>
        <v>Agrawal Sonu</v>
      </c>
      <c r="C177" s="12" t="str">
        <f>IFERROR(__xludf.DUMMYFUNCTION("""COMPUTED_VALUE"""),"shalu2nit@yahoo.com")</f>
        <v>shalu2nit@yahoo.com</v>
      </c>
      <c r="D177" s="12" t="str">
        <f>IFERROR(__xludf.DUMMYFUNCTION("""COMPUTED_VALUE"""),"Adult")</f>
        <v>Adult</v>
      </c>
      <c r="E177" s="13">
        <f>IF(D177&lt;&gt;"",VLOOKUP(D177,Settings!$G$3:$H$6,2,false),"")</f>
        <v>2300</v>
      </c>
      <c r="F177" s="15" t="str">
        <f>IFERROR(__xludf.DUMMYFUNCTION("""COMPUTED_VALUE"""),"Relative")</f>
        <v>Relative</v>
      </c>
      <c r="G177" s="15" t="str">
        <f>IFERROR(__xludf.DUMMYFUNCTION("""COMPUTED_VALUE"""),"S.G.D.Group")</f>
        <v>S.G.D.Group</v>
      </c>
      <c r="H177" s="12" t="str">
        <f>IF(G177&lt;&gt;"",VLOOKUP(G177,Settings!$B$4:$C$35,2,false),"")</f>
        <v>Nidhi jain</v>
      </c>
      <c r="I177" s="12" t="str">
        <f>IFERROR(__xludf.DUMMYFUNCTION("""COMPUTED_VALUE"""),"")</f>
        <v/>
      </c>
      <c r="J177" s="15" t="s">
        <v>241</v>
      </c>
      <c r="K177" s="15"/>
      <c r="L177" s="3"/>
    </row>
    <row r="178" hidden="1">
      <c r="A178" s="17">
        <f t="shared" si="1"/>
        <v>176</v>
      </c>
      <c r="B178" s="12" t="str">
        <f>IFERROR(__xludf.DUMMYFUNCTION("""COMPUTED_VALUE"""),"Agrawal Sonu")</f>
        <v>Agrawal Sonu</v>
      </c>
      <c r="C178" s="12" t="str">
        <f>IFERROR(__xludf.DUMMYFUNCTION("""COMPUTED_VALUE"""),"shalu2nit@yahoo.com")</f>
        <v>shalu2nit@yahoo.com</v>
      </c>
      <c r="D178" s="12" t="str">
        <f>IFERROR(__xludf.DUMMYFUNCTION("""COMPUTED_VALUE"""),"Adult")</f>
        <v>Adult</v>
      </c>
      <c r="E178" s="13">
        <f>IF(D178&lt;&gt;"",VLOOKUP(D178,Settings!$G$3:$H$6,2,false),"")</f>
        <v>2300</v>
      </c>
      <c r="F178" s="15" t="str">
        <f>IFERROR(__xludf.DUMMYFUNCTION("""COMPUTED_VALUE"""),"Relative")</f>
        <v>Relative</v>
      </c>
      <c r="G178" s="15" t="str">
        <f>IFERROR(__xludf.DUMMYFUNCTION("""COMPUTED_VALUE"""),"S.G.D.Group")</f>
        <v>S.G.D.Group</v>
      </c>
      <c r="H178" s="12" t="str">
        <f>IF(G178&lt;&gt;"",VLOOKUP(G178,Settings!$B$4:$C$35,2,false),"")</f>
        <v>Nidhi jain</v>
      </c>
      <c r="I178" s="12" t="str">
        <f>IFERROR(__xludf.DUMMYFUNCTION("""COMPUTED_VALUE"""),"")</f>
        <v/>
      </c>
      <c r="J178" s="15"/>
      <c r="K178" s="16"/>
      <c r="L178" s="6" t="s">
        <v>592</v>
      </c>
    </row>
    <row r="179">
      <c r="A179" s="17">
        <f t="shared" si="1"/>
        <v>177</v>
      </c>
      <c r="B179" s="12" t="str">
        <f>IFERROR(__xludf.DUMMYFUNCTION("""COMPUTED_VALUE"""),"Nitin Agrawal ")</f>
        <v>Nitin Agrawal </v>
      </c>
      <c r="C179" s="12" t="str">
        <f>IFERROR(__xludf.DUMMYFUNCTION("""COMPUTED_VALUE"""),"shalu2nit@yahoo.com")</f>
        <v>shalu2nit@yahoo.com</v>
      </c>
      <c r="D179" s="12" t="str">
        <f>IFERROR(__xludf.DUMMYFUNCTION("""COMPUTED_VALUE"""),"Adult")</f>
        <v>Adult</v>
      </c>
      <c r="E179" s="13">
        <f>IF(D179&lt;&gt;"",VLOOKUP(D179,Settings!$G$3:$H$6,2,false),"")</f>
        <v>2300</v>
      </c>
      <c r="F179" s="15" t="str">
        <f>IFERROR(__xludf.DUMMYFUNCTION("""COMPUTED_VALUE"""),"Relative")</f>
        <v>Relative</v>
      </c>
      <c r="G179" s="15" t="str">
        <f>IFERROR(__xludf.DUMMYFUNCTION("""COMPUTED_VALUE"""),"S.G.D.Group")</f>
        <v>S.G.D.Group</v>
      </c>
      <c r="H179" s="12" t="str">
        <f>IF(G179&lt;&gt;"",VLOOKUP(G179,Settings!$B$4:$C$35,2,false),"")</f>
        <v>Nidhi jain</v>
      </c>
      <c r="I179" s="12" t="str">
        <f>IFERROR(__xludf.DUMMYFUNCTION("""COMPUTED_VALUE"""),"")</f>
        <v/>
      </c>
      <c r="J179" s="15" t="s">
        <v>241</v>
      </c>
      <c r="K179" s="16"/>
      <c r="L179" s="3"/>
    </row>
    <row r="180" hidden="1">
      <c r="A180" s="17">
        <f t="shared" si="1"/>
        <v>178</v>
      </c>
      <c r="B180" s="12" t="str">
        <f>IFERROR(__xludf.DUMMYFUNCTION("""COMPUTED_VALUE"""),"Nitin Agrawal ")</f>
        <v>Nitin Agrawal </v>
      </c>
      <c r="C180" s="12" t="str">
        <f>IFERROR(__xludf.DUMMYFUNCTION("""COMPUTED_VALUE"""),"shalu2nit@yahoo.com")</f>
        <v>shalu2nit@yahoo.com</v>
      </c>
      <c r="D180" s="12" t="str">
        <f>IFERROR(__xludf.DUMMYFUNCTION("""COMPUTED_VALUE"""),"Adult")</f>
        <v>Adult</v>
      </c>
      <c r="E180" s="13">
        <f>IF(D180&lt;&gt;"",VLOOKUP(D180,Settings!$G$3:$H$6,2,false),"")</f>
        <v>2300</v>
      </c>
      <c r="F180" s="15" t="str">
        <f>IFERROR(__xludf.DUMMYFUNCTION("""COMPUTED_VALUE"""),"Relative")</f>
        <v>Relative</v>
      </c>
      <c r="G180" s="15" t="str">
        <f>IFERROR(__xludf.DUMMYFUNCTION("""COMPUTED_VALUE"""),"S.G.D.Group")</f>
        <v>S.G.D.Group</v>
      </c>
      <c r="H180" s="12" t="str">
        <f>IF(G180&lt;&gt;"",VLOOKUP(G180,Settings!$B$4:$C$35,2,false),"")</f>
        <v>Nidhi jain</v>
      </c>
      <c r="I180" s="12" t="str">
        <f>IFERROR(__xludf.DUMMYFUNCTION("""COMPUTED_VALUE"""),"")</f>
        <v/>
      </c>
      <c r="J180" s="15"/>
      <c r="K180" s="16"/>
      <c r="L180" s="6" t="s">
        <v>592</v>
      </c>
    </row>
    <row r="181">
      <c r="A181" s="17">
        <f t="shared" si="1"/>
        <v>179</v>
      </c>
      <c r="B181" s="12" t="str">
        <f>IFERROR(__xludf.DUMMYFUNCTION("""COMPUTED_VALUE"""),"Bhuvi Agrawal")</f>
        <v>Bhuvi Agrawal</v>
      </c>
      <c r="C181" s="12" t="str">
        <f>IFERROR(__xludf.DUMMYFUNCTION("""COMPUTED_VALUE"""),"shalu2nit@yahoo.com")</f>
        <v>shalu2nit@yahoo.com</v>
      </c>
      <c r="D181" s="12" t="str">
        <f>IFERROR(__xludf.DUMMYFUNCTION("""COMPUTED_VALUE"""),"Child")</f>
        <v>Child</v>
      </c>
      <c r="E181" s="13">
        <f>IF(D181&lt;&gt;"",VLOOKUP(D181,Settings!$G$3:$H$6,2,false),"")</f>
        <v>1200</v>
      </c>
      <c r="F181" s="15" t="str">
        <f>IFERROR(__xludf.DUMMYFUNCTION("""COMPUTED_VALUE"""),"Performer")</f>
        <v>Performer</v>
      </c>
      <c r="G181" s="15" t="str">
        <f>IFERROR(__xludf.DUMMYFUNCTION("""COMPUTED_VALUE"""),"S.G.D.Group")</f>
        <v>S.G.D.Group</v>
      </c>
      <c r="H181" s="12" t="str">
        <f>IF(G181&lt;&gt;"",VLOOKUP(G181,Settings!$B$4:$C$35,2,false),"")</f>
        <v>Nidhi jain</v>
      </c>
      <c r="I181" s="12" t="str">
        <f>IFERROR(__xludf.DUMMYFUNCTION("""COMPUTED_VALUE"""),"")</f>
        <v/>
      </c>
      <c r="J181" s="15" t="s">
        <v>241</v>
      </c>
      <c r="K181" s="16"/>
      <c r="L181" s="3"/>
    </row>
    <row r="182">
      <c r="A182" s="17">
        <f t="shared" si="1"/>
        <v>180</v>
      </c>
      <c r="B182" s="12" t="str">
        <f>IFERROR(__xludf.DUMMYFUNCTION("""COMPUTED_VALUE"""),"Kanishk Agrawal")</f>
        <v>Kanishk Agrawal</v>
      </c>
      <c r="C182" s="12" t="str">
        <f>IFERROR(__xludf.DUMMYFUNCTION("""COMPUTED_VALUE"""),"shalu2nit@yahoo.com")</f>
        <v>shalu2nit@yahoo.com</v>
      </c>
      <c r="D182" s="12" t="str">
        <f>IFERROR(__xludf.DUMMYFUNCTION("""COMPUTED_VALUE"""),"Child")</f>
        <v>Child</v>
      </c>
      <c r="E182" s="13">
        <f>IF(D182&lt;&gt;"",VLOOKUP(D182,Settings!$G$3:$H$6,2,false),"")</f>
        <v>1200</v>
      </c>
      <c r="F182" s="15" t="str">
        <f>IFERROR(__xludf.DUMMYFUNCTION("""COMPUTED_VALUE"""),"Relative")</f>
        <v>Relative</v>
      </c>
      <c r="G182" s="15" t="str">
        <f>IFERROR(__xludf.DUMMYFUNCTION("""COMPUTED_VALUE"""),"S.G.D.Group")</f>
        <v>S.G.D.Group</v>
      </c>
      <c r="H182" s="12" t="str">
        <f>IF(G182&lt;&gt;"",VLOOKUP(G182,Settings!$B$4:$C$35,2,false),"")</f>
        <v>Nidhi jain</v>
      </c>
      <c r="I182" s="12" t="str">
        <f>IFERROR(__xludf.DUMMYFUNCTION("""COMPUTED_VALUE"""),"")</f>
        <v/>
      </c>
      <c r="J182" s="15" t="s">
        <v>241</v>
      </c>
      <c r="K182" s="16"/>
      <c r="L182" s="3"/>
    </row>
    <row r="183">
      <c r="A183" s="17">
        <f t="shared" si="1"/>
        <v>181</v>
      </c>
      <c r="B183" s="12" t="str">
        <f>IFERROR(__xludf.DUMMYFUNCTION("""COMPUTED_VALUE"""),"Sri Ram")</f>
        <v>Sri Ram</v>
      </c>
      <c r="C183" s="12" t="str">
        <f>IFERROR(__xludf.DUMMYFUNCTION("""COMPUTED_VALUE"""),"shalu2nit@yahoo.com")</f>
        <v>shalu2nit@yahoo.com</v>
      </c>
      <c r="D183" s="12" t="str">
        <f>IFERROR(__xludf.DUMMYFUNCTION("""COMPUTED_VALUE"""),"Child")</f>
        <v>Child</v>
      </c>
      <c r="E183" s="13">
        <f>IF(D183&lt;&gt;"",VLOOKUP(D183,Settings!$G$3:$H$6,2,false),"")</f>
        <v>1200</v>
      </c>
      <c r="F183" s="15" t="str">
        <f>IFERROR(__xludf.DUMMYFUNCTION("""COMPUTED_VALUE"""),"Performer")</f>
        <v>Performer</v>
      </c>
      <c r="G183" s="15" t="str">
        <f>IFERROR(__xludf.DUMMYFUNCTION("""COMPUTED_VALUE"""),"S.G.D.Group")</f>
        <v>S.G.D.Group</v>
      </c>
      <c r="H183" s="12" t="str">
        <f>IF(G183&lt;&gt;"",VLOOKUP(G183,Settings!$B$4:$C$35,2,false),"")</f>
        <v>Nidhi jain</v>
      </c>
      <c r="I183" s="12" t="str">
        <f>IFERROR(__xludf.DUMMYFUNCTION("""COMPUTED_VALUE"""),"")</f>
        <v/>
      </c>
      <c r="J183" s="15" t="s">
        <v>241</v>
      </c>
      <c r="K183" s="16"/>
      <c r="L183" s="3"/>
    </row>
    <row r="184">
      <c r="A184" s="17">
        <f t="shared" si="1"/>
        <v>182</v>
      </c>
      <c r="B184" s="12" t="str">
        <f>IFERROR(__xludf.DUMMYFUNCTION("""COMPUTED_VALUE"""),"Ragesh Nimitha")</f>
        <v>Ragesh Nimitha</v>
      </c>
      <c r="C184" s="12" t="str">
        <f>IFERROR(__xludf.DUMMYFUNCTION("""COMPUTED_VALUE"""),"nimithab@gmail.com")</f>
        <v>nimithab@gmail.com</v>
      </c>
      <c r="D184" s="12" t="str">
        <f>IFERROR(__xludf.DUMMYFUNCTION("""COMPUTED_VALUE"""),"Adult")</f>
        <v>Adult</v>
      </c>
      <c r="E184" s="13">
        <f>IF(D184&lt;&gt;"",VLOOKUP(D184,Settings!$G$3:$H$6,2,false),"")</f>
        <v>2300</v>
      </c>
      <c r="F184" s="15" t="str">
        <f>IFERROR(__xludf.DUMMYFUNCTION("""COMPUTED_VALUE"""),"Relative")</f>
        <v>Relative</v>
      </c>
      <c r="G184" s="15" t="str">
        <f>IFERROR(__xludf.DUMMYFUNCTION("""COMPUTED_VALUE"""),"Thalam - Brahmari School Of Dance")</f>
        <v>Thalam - Brahmari School Of Dance</v>
      </c>
      <c r="H184" s="12" t="str">
        <f>IF(G184&lt;&gt;"",VLOOKUP(G184,Settings!$B$4:$C$35,2,false),"")</f>
        <v>Resmi Joby</v>
      </c>
      <c r="I184" s="12" t="str">
        <f>IFERROR(__xludf.DUMMYFUNCTION("""COMPUTED_VALUE"""),"")</f>
        <v/>
      </c>
      <c r="J184" s="15" t="s">
        <v>470</v>
      </c>
      <c r="K184" s="16">
        <v>43401.0</v>
      </c>
      <c r="L184" s="3"/>
    </row>
    <row r="185">
      <c r="A185" s="17">
        <f t="shared" si="1"/>
        <v>183</v>
      </c>
      <c r="B185" s="12" t="str">
        <f>IFERROR(__xludf.DUMMYFUNCTION("""COMPUTED_VALUE"""),"Bohara Araddhya")</f>
        <v>Bohara Araddhya</v>
      </c>
      <c r="C185" s="12" t="str">
        <f>IFERROR(__xludf.DUMMYFUNCTION("""COMPUTED_VALUE"""),"boharamanish@yahoo.com")</f>
        <v>boharamanish@yahoo.com</v>
      </c>
      <c r="D185" s="12" t="str">
        <f>IFERROR(__xludf.DUMMYFUNCTION("""COMPUTED_VALUE"""),"Child")</f>
        <v>Child</v>
      </c>
      <c r="E185" s="13">
        <f>IF(D185&lt;&gt;"",VLOOKUP(D185,Settings!$G$3:$H$6,2,false),"")</f>
        <v>1200</v>
      </c>
      <c r="F185" s="15" t="str">
        <f>IFERROR(__xludf.DUMMYFUNCTION("""COMPUTED_VALUE"""),"Performer")</f>
        <v>Performer</v>
      </c>
      <c r="G185" s="15" t="str">
        <f>IFERROR(__xludf.DUMMYFUNCTION("""COMPUTED_VALUE"""),"S.G.D.Group")</f>
        <v>S.G.D.Group</v>
      </c>
      <c r="H185" s="12" t="str">
        <f>IF(G185&lt;&gt;"",VLOOKUP(G185,Settings!$B$4:$C$35,2,false),"")</f>
        <v>Nidhi jain</v>
      </c>
      <c r="I185" s="12" t="str">
        <f>IFERROR(__xludf.DUMMYFUNCTION("""COMPUTED_VALUE"""),"")</f>
        <v/>
      </c>
      <c r="J185" s="15" t="s">
        <v>241</v>
      </c>
      <c r="K185" s="12"/>
      <c r="L185" s="3"/>
    </row>
    <row r="186">
      <c r="A186" s="17">
        <f t="shared" si="1"/>
        <v>184</v>
      </c>
      <c r="B186" s="12" t="str">
        <f>IFERROR(__xludf.DUMMYFUNCTION("""COMPUTED_VALUE"""),"Bohara shweta jain")</f>
        <v>Bohara shweta jain</v>
      </c>
      <c r="C186" s="12" t="str">
        <f>IFERROR(__xludf.DUMMYFUNCTION("""COMPUTED_VALUE"""),"boharamanish@yahoo.com")</f>
        <v>boharamanish@yahoo.com</v>
      </c>
      <c r="D186" s="12" t="str">
        <f>IFERROR(__xludf.DUMMYFUNCTION("""COMPUTED_VALUE"""),"Adult")</f>
        <v>Adult</v>
      </c>
      <c r="E186" s="13">
        <f>IF(D186&lt;&gt;"",VLOOKUP(D186,Settings!$G$3:$H$6,2,false),"")</f>
        <v>2300</v>
      </c>
      <c r="F186" s="15" t="str">
        <f>IFERROR(__xludf.DUMMYFUNCTION("""COMPUTED_VALUE"""),"Relative")</f>
        <v>Relative</v>
      </c>
      <c r="G186" s="15" t="str">
        <f>IFERROR(__xludf.DUMMYFUNCTION("""COMPUTED_VALUE"""),"S.G.D.Group")</f>
        <v>S.G.D.Group</v>
      </c>
      <c r="H186" s="12" t="str">
        <f>IF(G186&lt;&gt;"",VLOOKUP(G186,Settings!$B$4:$C$35,2,false),"")</f>
        <v>Nidhi jain</v>
      </c>
      <c r="I186" s="15" t="str">
        <f>IFERROR(__xludf.DUMMYFUNCTION("""COMPUTED_VALUE"""),"")</f>
        <v/>
      </c>
      <c r="J186" s="15" t="s">
        <v>241</v>
      </c>
      <c r="K186" s="16"/>
      <c r="L186" s="6"/>
    </row>
    <row r="187">
      <c r="A187" s="17">
        <f t="shared" si="1"/>
        <v>185</v>
      </c>
      <c r="B187" s="12" t="str">
        <f>IFERROR(__xludf.DUMMYFUNCTION("""COMPUTED_VALUE"""),"Bohara Manish")</f>
        <v>Bohara Manish</v>
      </c>
      <c r="C187" s="12" t="str">
        <f>IFERROR(__xludf.DUMMYFUNCTION("""COMPUTED_VALUE"""),"boharamanish@yahoo.com")</f>
        <v>boharamanish@yahoo.com</v>
      </c>
      <c r="D187" s="12" t="str">
        <f>IFERROR(__xludf.DUMMYFUNCTION("""COMPUTED_VALUE"""),"Adult")</f>
        <v>Adult</v>
      </c>
      <c r="E187" s="13">
        <f>IF(D187&lt;&gt;"",VLOOKUP(D187,Settings!$G$3:$H$6,2,false),"")</f>
        <v>2300</v>
      </c>
      <c r="F187" s="15" t="str">
        <f>IFERROR(__xludf.DUMMYFUNCTION("""COMPUTED_VALUE"""),"Relative")</f>
        <v>Relative</v>
      </c>
      <c r="G187" s="15" t="str">
        <f>IFERROR(__xludf.DUMMYFUNCTION("""COMPUTED_VALUE"""),"S.G.D.Group")</f>
        <v>S.G.D.Group</v>
      </c>
      <c r="H187" s="12" t="str">
        <f>IF(G187&lt;&gt;"",VLOOKUP(G187,Settings!$B$4:$C$35,2,false),"")</f>
        <v>Nidhi jain</v>
      </c>
      <c r="I187" s="15" t="str">
        <f>IFERROR(__xludf.DUMMYFUNCTION("""COMPUTED_VALUE"""),"")</f>
        <v/>
      </c>
      <c r="J187" s="15" t="s">
        <v>241</v>
      </c>
      <c r="K187" s="16"/>
      <c r="L187" s="6"/>
    </row>
    <row r="188">
      <c r="A188" s="17">
        <f t="shared" si="1"/>
        <v>186</v>
      </c>
      <c r="B188" s="12" t="str">
        <f>IFERROR(__xludf.DUMMYFUNCTION("""COMPUTED_VALUE"""),"Bohara laksh ")</f>
        <v>Bohara laksh </v>
      </c>
      <c r="C188" s="12" t="str">
        <f>IFERROR(__xludf.DUMMYFUNCTION("""COMPUTED_VALUE"""),"boharamanish@yahoo.com")</f>
        <v>boharamanish@yahoo.com</v>
      </c>
      <c r="D188" s="12" t="str">
        <f>IFERROR(__xludf.DUMMYFUNCTION("""COMPUTED_VALUE"""),"Child")</f>
        <v>Child</v>
      </c>
      <c r="E188" s="13">
        <f>IF(D188&lt;&gt;"",VLOOKUP(D188,Settings!$G$3:$H$6,2,false),"")</f>
        <v>1200</v>
      </c>
      <c r="F188" s="15" t="str">
        <f>IFERROR(__xludf.DUMMYFUNCTION("""COMPUTED_VALUE"""),"Relative")</f>
        <v>Relative</v>
      </c>
      <c r="G188" s="15" t="str">
        <f>IFERROR(__xludf.DUMMYFUNCTION("""COMPUTED_VALUE"""),"S.G.D.Group")</f>
        <v>S.G.D.Group</v>
      </c>
      <c r="H188" s="12" t="str">
        <f>IF(G188&lt;&gt;"",VLOOKUP(G188,Settings!$B$4:$C$35,2,false),"")</f>
        <v>Nidhi jain</v>
      </c>
      <c r="I188" s="12" t="str">
        <f>IFERROR(__xludf.DUMMYFUNCTION("""COMPUTED_VALUE"""),"")</f>
        <v/>
      </c>
      <c r="J188" s="15" t="s">
        <v>241</v>
      </c>
      <c r="K188" s="103"/>
      <c r="L188" s="3"/>
    </row>
    <row r="189">
      <c r="A189" s="17">
        <f t="shared" si="1"/>
        <v>187</v>
      </c>
      <c r="B189" s="12" t="str">
        <f>IFERROR(__xludf.DUMMYFUNCTION("""COMPUTED_VALUE"""),"Mahika Radhakrishnan")</f>
        <v>Mahika Radhakrishnan</v>
      </c>
      <c r="C189" s="12" t="str">
        <f>IFERROR(__xludf.DUMMYFUNCTION("""COMPUTED_VALUE"""),"anikpriya@gmail.com")</f>
        <v>anikpriya@gmail.com</v>
      </c>
      <c r="D189" s="12" t="str">
        <f>IFERROR(__xludf.DUMMYFUNCTION("""COMPUTED_VALUE"""),"Child")</f>
        <v>Child</v>
      </c>
      <c r="E189" s="13">
        <f>IF(D189&lt;&gt;"",VLOOKUP(D189,Settings!$G$3:$H$6,2,false),"")</f>
        <v>1200</v>
      </c>
      <c r="F189" s="15" t="str">
        <f>IFERROR(__xludf.DUMMYFUNCTION("""COMPUTED_VALUE"""),"Performer")</f>
        <v>Performer</v>
      </c>
      <c r="G189" s="15" t="str">
        <f>IFERROR(__xludf.DUMMYFUNCTION("""COMPUTED_VALUE"""),"Classical Mermaids")</f>
        <v>Classical Mermaids</v>
      </c>
      <c r="H189" s="12" t="str">
        <f>IF(G189&lt;&gt;"",VLOOKUP(G189,Settings!$B$4:$C$35,2,false),"")</f>
        <v>Preetha</v>
      </c>
      <c r="I189" s="12" t="str">
        <f>IFERROR(__xludf.DUMMYFUNCTION("""COMPUTED_VALUE"""),"")</f>
        <v/>
      </c>
      <c r="J189" s="15" t="s">
        <v>470</v>
      </c>
      <c r="K189" s="16">
        <v>43401.0</v>
      </c>
      <c r="L189" s="3"/>
    </row>
    <row r="190">
      <c r="A190" s="17">
        <f t="shared" si="1"/>
        <v>188</v>
      </c>
      <c r="B190" s="12" t="str">
        <f>IFERROR(__xludf.DUMMYFUNCTION("""COMPUTED_VALUE"""),"Anika Radhakrishnan")</f>
        <v>Anika Radhakrishnan</v>
      </c>
      <c r="C190" s="12" t="str">
        <f>IFERROR(__xludf.DUMMYFUNCTION("""COMPUTED_VALUE"""),"anikpriya@gmail.com")</f>
        <v>anikpriya@gmail.com</v>
      </c>
      <c r="D190" s="12" t="str">
        <f>IFERROR(__xludf.DUMMYFUNCTION("""COMPUTED_VALUE"""),"Adult")</f>
        <v>Adult</v>
      </c>
      <c r="E190" s="13">
        <f>IF(D190&lt;&gt;"",VLOOKUP(D190,Settings!$G$3:$H$6,2,false),"")</f>
        <v>2300</v>
      </c>
      <c r="F190" s="15" t="str">
        <f>IFERROR(__xludf.DUMMYFUNCTION("""COMPUTED_VALUE"""),"Performer")</f>
        <v>Performer</v>
      </c>
      <c r="G190" s="15" t="str">
        <f>IFERROR(__xludf.DUMMYFUNCTION("""COMPUTED_VALUE"""),"Classical Mermaids")</f>
        <v>Classical Mermaids</v>
      </c>
      <c r="H190" s="12" t="str">
        <f>IF(G190&lt;&gt;"",VLOOKUP(G190,Settings!$B$4:$C$35,2,false),"")</f>
        <v>Preetha</v>
      </c>
      <c r="I190" s="12" t="str">
        <f>IFERROR(__xludf.DUMMYFUNCTION("""COMPUTED_VALUE"""),"")</f>
        <v/>
      </c>
      <c r="J190" s="15" t="s">
        <v>470</v>
      </c>
      <c r="K190" s="16">
        <v>43401.0</v>
      </c>
      <c r="L190" s="3"/>
    </row>
    <row r="191" hidden="1">
      <c r="A191" s="181">
        <f t="shared" si="1"/>
        <v>189</v>
      </c>
      <c r="B191" s="182" t="str">
        <f>IFERROR(__xludf.DUMMYFUNCTION("""COMPUTED_VALUE"""),"Radhakrishnan")</f>
        <v>Radhakrishnan</v>
      </c>
      <c r="C191" s="182" t="str">
        <f>IFERROR(__xludf.DUMMYFUNCTION("""COMPUTED_VALUE"""),"anikpriya@gmail.com")</f>
        <v>anikpriya@gmail.com</v>
      </c>
      <c r="D191" s="182" t="str">
        <f>IFERROR(__xludf.DUMMYFUNCTION("""COMPUTED_VALUE"""),"Adult")</f>
        <v>Adult</v>
      </c>
      <c r="E191" s="183">
        <f>IF(D191&lt;&gt;"",VLOOKUP(D191,Settings!$G$3:$H$6,2,false),"")</f>
        <v>2300</v>
      </c>
      <c r="F191" s="166" t="str">
        <f>IFERROR(__xludf.DUMMYFUNCTION("""COMPUTED_VALUE"""),"Relative")</f>
        <v>Relative</v>
      </c>
      <c r="G191" s="166" t="str">
        <f>IFERROR(__xludf.DUMMYFUNCTION("""COMPUTED_VALUE"""),"Classical Mermaids")</f>
        <v>Classical Mermaids</v>
      </c>
      <c r="H191" s="182" t="str">
        <f>IF(G191&lt;&gt;"",VLOOKUP(G191,Settings!$B$4:$C$35,2,false),"")</f>
        <v>Preetha</v>
      </c>
      <c r="I191" s="182" t="str">
        <f>IFERROR(__xludf.DUMMYFUNCTION("""COMPUTED_VALUE"""),"")</f>
        <v/>
      </c>
      <c r="L191" s="101" t="s">
        <v>592</v>
      </c>
      <c r="M191" s="101" t="s">
        <v>781</v>
      </c>
    </row>
    <row r="192">
      <c r="A192" s="184">
        <f t="shared" si="1"/>
        <v>190</v>
      </c>
      <c r="B192" s="117" t="str">
        <f>IFERROR(__xludf.DUMMYFUNCTION("""COMPUTED_VALUE"""),"Preetha Radhakrishnan")</f>
        <v>Preetha Radhakrishnan</v>
      </c>
      <c r="C192" s="117" t="str">
        <f>IFERROR(__xludf.DUMMYFUNCTION("""COMPUTED_VALUE"""),"anikpriya@gmail.com")</f>
        <v>anikpriya@gmail.com</v>
      </c>
      <c r="D192" s="117" t="str">
        <f>IFERROR(__xludf.DUMMYFUNCTION("""COMPUTED_VALUE"""),"Adult")</f>
        <v>Adult</v>
      </c>
      <c r="E192" s="185">
        <f>IF(D192&lt;&gt;"",VLOOKUP(D192,Settings!$G$3:$H$6,2,false),"")</f>
        <v>2300</v>
      </c>
      <c r="F192" s="186" t="str">
        <f>IFERROR(__xludf.DUMMYFUNCTION("""COMPUTED_VALUE"""),"Performer / Coordinator")</f>
        <v>Performer / Coordinator</v>
      </c>
      <c r="G192" s="186" t="str">
        <f>IFERROR(__xludf.DUMMYFUNCTION("""COMPUTED_VALUE"""),"Classical Mermaids")</f>
        <v>Classical Mermaids</v>
      </c>
      <c r="H192" s="117" t="str">
        <f>IF(G192&lt;&gt;"",VLOOKUP(G192,Settings!$B$4:$C$35,2,false),"")</f>
        <v>Preetha</v>
      </c>
      <c r="I192" s="117" t="str">
        <f>IFERROR(__xludf.DUMMYFUNCTION("""COMPUTED_VALUE"""),"")</f>
        <v/>
      </c>
      <c r="J192" s="166" t="s">
        <v>470</v>
      </c>
      <c r="K192" s="187">
        <v>43401.0</v>
      </c>
      <c r="L192" s="3"/>
    </row>
    <row r="193">
      <c r="A193" s="17">
        <f t="shared" si="1"/>
        <v>191</v>
      </c>
      <c r="B193" s="12" t="str">
        <f>IFERROR(__xludf.DUMMYFUNCTION("""COMPUTED_VALUE"""),"Aparna Venugopal ")</f>
        <v>Aparna Venugopal </v>
      </c>
      <c r="C193" s="12" t="str">
        <f>IFERROR(__xludf.DUMMYFUNCTION("""COMPUTED_VALUE"""),"srikala112@gmail.con")</f>
        <v>srikala112@gmail.con</v>
      </c>
      <c r="D193" s="12" t="str">
        <f>IFERROR(__xludf.DUMMYFUNCTION("""COMPUTED_VALUE"""),"Child")</f>
        <v>Child</v>
      </c>
      <c r="E193" s="13">
        <f>IF(D193&lt;&gt;"",VLOOKUP(D193,Settings!$G$3:$H$6,2,false),"")</f>
        <v>1200</v>
      </c>
      <c r="F193" s="15" t="str">
        <f>IFERROR(__xludf.DUMMYFUNCTION("""COMPUTED_VALUE"""),"Performer")</f>
        <v>Performer</v>
      </c>
      <c r="G193" s="15" t="str">
        <f>IFERROR(__xludf.DUMMYFUNCTION("""COMPUTED_VALUE"""),"Shiva")</f>
        <v>Shiva</v>
      </c>
      <c r="H193" s="12" t="str">
        <f>IF(G193&lt;&gt;"",VLOOKUP(G193,Settings!$B$4:$C$35,2,false),"")</f>
        <v>Sandhya Jan</v>
      </c>
      <c r="I193" s="12" t="str">
        <f>IFERROR(__xludf.DUMMYFUNCTION("""COMPUTED_VALUE"""),"")</f>
        <v/>
      </c>
      <c r="J193" s="15" t="s">
        <v>129</v>
      </c>
      <c r="K193" s="16">
        <v>43399.0</v>
      </c>
      <c r="L193" s="3"/>
    </row>
    <row r="194">
      <c r="A194" s="17">
        <f t="shared" si="1"/>
        <v>192</v>
      </c>
      <c r="B194" s="12" t="str">
        <f>IFERROR(__xludf.DUMMYFUNCTION("""COMPUTED_VALUE"""),"Srikala Shyamsunder")</f>
        <v>Srikala Shyamsunder</v>
      </c>
      <c r="C194" s="12" t="str">
        <f>IFERROR(__xludf.DUMMYFUNCTION("""COMPUTED_VALUE"""),"srikala112@gmail.com")</f>
        <v>srikala112@gmail.com</v>
      </c>
      <c r="D194" s="12" t="str">
        <f>IFERROR(__xludf.DUMMYFUNCTION("""COMPUTED_VALUE"""),"Adult")</f>
        <v>Adult</v>
      </c>
      <c r="E194" s="13">
        <f>IF(D194&lt;&gt;"",VLOOKUP(D194,Settings!$G$3:$H$6,2,false),"")</f>
        <v>2300</v>
      </c>
      <c r="F194" s="15" t="str">
        <f>IFERROR(__xludf.DUMMYFUNCTION("""COMPUTED_VALUE"""),"Relative")</f>
        <v>Relative</v>
      </c>
      <c r="G194" s="15" t="str">
        <f>IFERROR(__xludf.DUMMYFUNCTION("""COMPUTED_VALUE"""),"Shiva")</f>
        <v>Shiva</v>
      </c>
      <c r="H194" s="12" t="str">
        <f>IF(G194&lt;&gt;"",VLOOKUP(G194,Settings!$B$4:$C$35,2,false),"")</f>
        <v>Sandhya Jan</v>
      </c>
      <c r="I194" s="12" t="str">
        <f>IFERROR(__xludf.DUMMYFUNCTION("""COMPUTED_VALUE"""),"")</f>
        <v/>
      </c>
      <c r="J194" s="15" t="s">
        <v>129</v>
      </c>
      <c r="K194" s="16">
        <v>43399.0</v>
      </c>
      <c r="L194" s="3"/>
    </row>
    <row r="195">
      <c r="A195" s="17">
        <f t="shared" si="1"/>
        <v>193</v>
      </c>
      <c r="B195" s="12" t="str">
        <f>IFERROR(__xludf.DUMMYFUNCTION("""COMPUTED_VALUE"""),"Kogekar Alok")</f>
        <v>Kogekar Alok</v>
      </c>
      <c r="C195" s="12" t="str">
        <f>IFERROR(__xludf.DUMMYFUNCTION("""COMPUTED_VALUE"""),"aloksan@gmail.com")</f>
        <v>aloksan@gmail.com</v>
      </c>
      <c r="D195" s="12" t="str">
        <f>IFERROR(__xludf.DUMMYFUNCTION("""COMPUTED_VALUE"""),"Adult")</f>
        <v>Adult</v>
      </c>
      <c r="E195" s="13">
        <f>IF(D195&lt;&gt;"",VLOOKUP(D195,Settings!$G$3:$H$6,2,false),"")</f>
        <v>2300</v>
      </c>
      <c r="F195" s="15" t="str">
        <f>IFERROR(__xludf.DUMMYFUNCTION("""COMPUTED_VALUE"""),"Relative")</f>
        <v>Relative</v>
      </c>
      <c r="G195" s="15" t="str">
        <f>IFERROR(__xludf.DUMMYFUNCTION("""COMPUTED_VALUE"""),"The Dazzlers")</f>
        <v>The Dazzlers</v>
      </c>
      <c r="H195" s="12" t="str">
        <f>IF(G195&lt;&gt;"",VLOOKUP(G195,Settings!$B$4:$C$35,2,false),"")</f>
        <v>Mousumi Moharana</v>
      </c>
      <c r="I195" s="12" t="str">
        <f>IFERROR(__xludf.DUMMYFUNCTION("""COMPUTED_VALUE"""),"")</f>
        <v/>
      </c>
      <c r="J195" s="15" t="s">
        <v>470</v>
      </c>
      <c r="K195" s="16">
        <v>43399.0</v>
      </c>
      <c r="L195" s="3"/>
    </row>
    <row r="196">
      <c r="A196" s="17">
        <f t="shared" si="1"/>
        <v>194</v>
      </c>
      <c r="B196" s="12" t="str">
        <f>IFERROR(__xludf.DUMMYFUNCTION("""COMPUTED_VALUE"""),"Kogekar Nupura")</f>
        <v>Kogekar Nupura</v>
      </c>
      <c r="C196" s="12" t="str">
        <f>IFERROR(__xludf.DUMMYFUNCTION("""COMPUTED_VALUE"""),"aloksan@gmail.com")</f>
        <v>aloksan@gmail.com</v>
      </c>
      <c r="D196" s="12" t="str">
        <f>IFERROR(__xludf.DUMMYFUNCTION("""COMPUTED_VALUE"""),"Adult")</f>
        <v>Adult</v>
      </c>
      <c r="E196" s="13">
        <f>IF(D196&lt;&gt;"",VLOOKUP(D196,Settings!$G$3:$H$6,2,false),"")</f>
        <v>2300</v>
      </c>
      <c r="F196" s="15" t="str">
        <f>IFERROR(__xludf.DUMMYFUNCTION("""COMPUTED_VALUE"""),"Relative")</f>
        <v>Relative</v>
      </c>
      <c r="G196" s="15" t="str">
        <f>IFERROR(__xludf.DUMMYFUNCTION("""COMPUTED_VALUE"""),"The Dazzlers")</f>
        <v>The Dazzlers</v>
      </c>
      <c r="H196" s="12" t="str">
        <f>IF(G196&lt;&gt;"",VLOOKUP(G196,Settings!$B$4:$C$35,2,false),"")</f>
        <v>Mousumi Moharana</v>
      </c>
      <c r="I196" s="12" t="str">
        <f>IFERROR(__xludf.DUMMYFUNCTION("""COMPUTED_VALUE"""),"")</f>
        <v/>
      </c>
      <c r="J196" s="15" t="s">
        <v>470</v>
      </c>
      <c r="K196" s="16">
        <v>43399.0</v>
      </c>
      <c r="L196" s="3"/>
    </row>
    <row r="197">
      <c r="A197" s="17">
        <f t="shared" si="1"/>
        <v>195</v>
      </c>
      <c r="B197" s="12" t="str">
        <f>IFERROR(__xludf.DUMMYFUNCTION("""COMPUTED_VALUE"""),"Kogekar Sachi")</f>
        <v>Kogekar Sachi</v>
      </c>
      <c r="C197" s="12" t="str">
        <f>IFERROR(__xludf.DUMMYFUNCTION("""COMPUTED_VALUE"""),"aloksan@gmail.com")</f>
        <v>aloksan@gmail.com</v>
      </c>
      <c r="D197" s="12" t="str">
        <f>IFERROR(__xludf.DUMMYFUNCTION("""COMPUTED_VALUE"""),"Child")</f>
        <v>Child</v>
      </c>
      <c r="E197" s="13">
        <f>IF(D197&lt;&gt;"",VLOOKUP(D197,Settings!$G$3:$H$6,2,false),"")</f>
        <v>1200</v>
      </c>
      <c r="F197" s="15" t="str">
        <f>IFERROR(__xludf.DUMMYFUNCTION("""COMPUTED_VALUE"""),"Performer")</f>
        <v>Performer</v>
      </c>
      <c r="G197" s="15" t="str">
        <f>IFERROR(__xludf.DUMMYFUNCTION("""COMPUTED_VALUE"""),"The Dazzlers")</f>
        <v>The Dazzlers</v>
      </c>
      <c r="H197" s="12" t="str">
        <f>IF(G197&lt;&gt;"",VLOOKUP(G197,Settings!$B$4:$C$35,2,false),"")</f>
        <v>Mousumi Moharana</v>
      </c>
      <c r="I197" s="12" t="str">
        <f>IFERROR(__xludf.DUMMYFUNCTION("""COMPUTED_VALUE"""),"")</f>
        <v/>
      </c>
      <c r="J197" s="15" t="s">
        <v>470</v>
      </c>
      <c r="K197" s="16">
        <v>43399.0</v>
      </c>
      <c r="L197" s="3"/>
    </row>
    <row r="198">
      <c r="A198" s="17">
        <f t="shared" si="1"/>
        <v>196</v>
      </c>
      <c r="B198" s="12" t="str">
        <f>IFERROR(__xludf.DUMMYFUNCTION("""COMPUTED_VALUE"""),"Pyara Singh ")</f>
        <v>Pyara Singh </v>
      </c>
      <c r="C198" s="12" t="str">
        <f>IFERROR(__xludf.DUMMYFUNCTION("""COMPUTED_VALUE"""),"pritam10@yahoo.com")</f>
        <v>pritam10@yahoo.com</v>
      </c>
      <c r="D198" s="12" t="str">
        <f>IFERROR(__xludf.DUMMYFUNCTION("""COMPUTED_VALUE"""),"Child")</f>
        <v>Child</v>
      </c>
      <c r="E198" s="13">
        <f>IF(D198&lt;&gt;"",VLOOKUP(D198,Settings!$G$3:$H$6,2,false),"")</f>
        <v>1200</v>
      </c>
      <c r="F198" s="15" t="str">
        <f>IFERROR(__xludf.DUMMYFUNCTION("""COMPUTED_VALUE"""),"Performer")</f>
        <v>Performer</v>
      </c>
      <c r="G198" s="15" t="str">
        <f>IFERROR(__xludf.DUMMYFUNCTION("""COMPUTED_VALUE"""),"Rockstar Divas")</f>
        <v>Rockstar Divas</v>
      </c>
      <c r="H198" s="12" t="str">
        <f>IF(G198&lt;&gt;"",VLOOKUP(G198,Settings!$B$4:$C$35,2,false),"")</f>
        <v>Nayana Attarde</v>
      </c>
      <c r="I198" s="12" t="str">
        <f>IFERROR(__xludf.DUMMYFUNCTION("""COMPUTED_VALUE"""),"")</f>
        <v/>
      </c>
      <c r="J198" s="15" t="s">
        <v>241</v>
      </c>
      <c r="K198" s="12"/>
      <c r="L198" s="3"/>
    </row>
    <row r="199">
      <c r="A199" s="17">
        <f t="shared" si="1"/>
        <v>197</v>
      </c>
      <c r="B199" s="12" t="str">
        <f>IFERROR(__xludf.DUMMYFUNCTION("""COMPUTED_VALUE"""),"Paramjeet Kaur")</f>
        <v>Paramjeet Kaur</v>
      </c>
      <c r="C199" s="12" t="str">
        <f>IFERROR(__xludf.DUMMYFUNCTION("""COMPUTED_VALUE"""),"pritam10@yahoo.com")</f>
        <v>pritam10@yahoo.com</v>
      </c>
      <c r="D199" s="12" t="str">
        <f>IFERROR(__xludf.DUMMYFUNCTION("""COMPUTED_VALUE"""),"Adult")</f>
        <v>Adult</v>
      </c>
      <c r="E199" s="13">
        <f>IF(D199&lt;&gt;"",VLOOKUP(D199,Settings!$G$3:$H$6,2,false),"")</f>
        <v>2300</v>
      </c>
      <c r="F199" s="15" t="str">
        <f>IFERROR(__xludf.DUMMYFUNCTION("""COMPUTED_VALUE"""),"Relative")</f>
        <v>Relative</v>
      </c>
      <c r="G199" s="15" t="str">
        <f>IFERROR(__xludf.DUMMYFUNCTION("""COMPUTED_VALUE"""),"Rockstar Divas")</f>
        <v>Rockstar Divas</v>
      </c>
      <c r="H199" s="12" t="str">
        <f>IF(G199&lt;&gt;"",VLOOKUP(G199,Settings!$B$4:$C$35,2,false),"")</f>
        <v>Nayana Attarde</v>
      </c>
      <c r="I199" s="12" t="str">
        <f>IFERROR(__xludf.DUMMYFUNCTION("""COMPUTED_VALUE"""),"")</f>
        <v/>
      </c>
      <c r="J199" s="15" t="s">
        <v>241</v>
      </c>
      <c r="K199" s="12"/>
      <c r="L199" s="3"/>
    </row>
    <row r="200">
      <c r="A200" s="17">
        <f t="shared" si="1"/>
        <v>198</v>
      </c>
      <c r="B200" s="12" t="str">
        <f>IFERROR(__xludf.DUMMYFUNCTION("""COMPUTED_VALUE"""),"Divya Muthukrishnan ")</f>
        <v>Divya Muthukrishnan </v>
      </c>
      <c r="C200" s="12" t="str">
        <f>IFERROR(__xludf.DUMMYFUNCTION("""COMPUTED_VALUE"""),"snmk@yahoo.com")</f>
        <v>snmk@yahoo.com</v>
      </c>
      <c r="D200" s="12" t="str">
        <f>IFERROR(__xludf.DUMMYFUNCTION("""COMPUTED_VALUE"""),"Child")</f>
        <v>Child</v>
      </c>
      <c r="E200" s="13">
        <f>IF(D200&lt;&gt;"",VLOOKUP(D200,Settings!$G$3:$H$6,2,false),"")</f>
        <v>1200</v>
      </c>
      <c r="F200" s="15" t="str">
        <f>IFERROR(__xludf.DUMMYFUNCTION("""COMPUTED_VALUE"""),"Performer")</f>
        <v>Performer</v>
      </c>
      <c r="G200" s="15" t="str">
        <f>IFERROR(__xludf.DUMMYFUNCTION("""COMPUTED_VALUE"""),"Classical Mermaids")</f>
        <v>Classical Mermaids</v>
      </c>
      <c r="H200" s="12" t="str">
        <f>IF(G200&lt;&gt;"",VLOOKUP(G200,Settings!$B$4:$C$35,2,false),"")</f>
        <v>Preetha</v>
      </c>
      <c r="I200" s="12" t="str">
        <f>IFERROR(__xludf.DUMMYFUNCTION("""COMPUTED_VALUE"""),"")</f>
        <v/>
      </c>
      <c r="J200" s="15" t="s">
        <v>470</v>
      </c>
      <c r="K200" s="16">
        <v>43401.0</v>
      </c>
      <c r="L200" s="6"/>
    </row>
    <row r="201">
      <c r="A201" s="17">
        <f t="shared" si="1"/>
        <v>199</v>
      </c>
      <c r="B201" s="12" t="str">
        <f>IFERROR(__xludf.DUMMYFUNCTION("""COMPUTED_VALUE"""),"Baral Shreya Samiksha")</f>
        <v>Baral Shreya Samiksha</v>
      </c>
      <c r="C201" s="12" t="str">
        <f>IFERROR(__xludf.DUMMYFUNCTION("""COMPUTED_VALUE"""),"anuradha_mhptr@yahoo.co.in")</f>
        <v>anuradha_mhptr@yahoo.co.in</v>
      </c>
      <c r="D201" s="12" t="str">
        <f>IFERROR(__xludf.DUMMYFUNCTION("""COMPUTED_VALUE"""),"Child")</f>
        <v>Child</v>
      </c>
      <c r="E201" s="13">
        <f>IF(D201&lt;&gt;"",VLOOKUP(D201,Settings!$G$3:$H$6,2,false),"")</f>
        <v>1200</v>
      </c>
      <c r="F201" s="15" t="str">
        <f>IFERROR(__xludf.DUMMYFUNCTION("""COMPUTED_VALUE"""),"Performer")</f>
        <v>Performer</v>
      </c>
      <c r="G201" s="15" t="str">
        <f>IFERROR(__xludf.DUMMYFUNCTION("""COMPUTED_VALUE"""),"Classical Mermaids")</f>
        <v>Classical Mermaids</v>
      </c>
      <c r="H201" s="12" t="str">
        <f>IF(G201&lt;&gt;"",VLOOKUP(G201,Settings!$B$4:$C$35,2,false),"")</f>
        <v>Preetha</v>
      </c>
      <c r="I201" s="12" t="str">
        <f>IFERROR(__xludf.DUMMYFUNCTION("""COMPUTED_VALUE"""),"")</f>
        <v/>
      </c>
      <c r="J201" s="15" t="s">
        <v>470</v>
      </c>
      <c r="K201" s="16">
        <v>43401.0</v>
      </c>
      <c r="L201" s="3"/>
    </row>
    <row r="202">
      <c r="A202" s="17">
        <f t="shared" si="1"/>
        <v>200</v>
      </c>
      <c r="B202" s="12" t="str">
        <f>IFERROR(__xludf.DUMMYFUNCTION("""COMPUTED_VALUE"""),"Brindha Muthukrishnan ")</f>
        <v>Brindha Muthukrishnan </v>
      </c>
      <c r="C202" s="12" t="str">
        <f>IFERROR(__xludf.DUMMYFUNCTION("""COMPUTED_VALUE"""),"snmk@yahoo.com")</f>
        <v>snmk@yahoo.com</v>
      </c>
      <c r="D202" s="12" t="str">
        <f>IFERROR(__xludf.DUMMYFUNCTION("""COMPUTED_VALUE"""),"Child")</f>
        <v>Child</v>
      </c>
      <c r="E202" s="13">
        <f>IF(D202&lt;&gt;"",VLOOKUP(D202,Settings!$G$3:$H$6,2,false),"")</f>
        <v>1200</v>
      </c>
      <c r="F202" s="15" t="str">
        <f>IFERROR(__xludf.DUMMYFUNCTION("""COMPUTED_VALUE"""),"Performer")</f>
        <v>Performer</v>
      </c>
      <c r="G202" s="15" t="str">
        <f>IFERROR(__xludf.DUMMYFUNCTION("""COMPUTED_VALUE"""),"Shiva")</f>
        <v>Shiva</v>
      </c>
      <c r="H202" s="12" t="str">
        <f>IF(G202&lt;&gt;"",VLOOKUP(G202,Settings!$B$4:$C$35,2,false),"")</f>
        <v>Sandhya Jan</v>
      </c>
      <c r="I202" s="12" t="str">
        <f>IFERROR(__xludf.DUMMYFUNCTION("""COMPUTED_VALUE"""),"")</f>
        <v/>
      </c>
      <c r="J202" s="15" t="s">
        <v>129</v>
      </c>
      <c r="K202" s="16">
        <v>43399.0</v>
      </c>
      <c r="L202" s="3"/>
    </row>
    <row r="203">
      <c r="A203" s="17">
        <f t="shared" si="1"/>
        <v>201</v>
      </c>
      <c r="B203" s="12" t="str">
        <f>IFERROR(__xludf.DUMMYFUNCTION("""COMPUTED_VALUE"""),"Muthukrishnan N")</f>
        <v>Muthukrishnan N</v>
      </c>
      <c r="C203" s="12" t="str">
        <f>IFERROR(__xludf.DUMMYFUNCTION("""COMPUTED_VALUE"""),"snmk@yahoo.com")</f>
        <v>snmk@yahoo.com</v>
      </c>
      <c r="D203" s="12" t="str">
        <f>IFERROR(__xludf.DUMMYFUNCTION("""COMPUTED_VALUE"""),"Adult")</f>
        <v>Adult</v>
      </c>
      <c r="E203" s="13">
        <f>IF(D203&lt;&gt;"",VLOOKUP(D203,Settings!$G$3:$H$6,2,false),"")</f>
        <v>2300</v>
      </c>
      <c r="F203" s="15" t="str">
        <f>IFERROR(__xludf.DUMMYFUNCTION("""COMPUTED_VALUE"""),"Relative")</f>
        <v>Relative</v>
      </c>
      <c r="G203" s="15" t="str">
        <f>IFERROR(__xludf.DUMMYFUNCTION("""COMPUTED_VALUE"""),"Shiva")</f>
        <v>Shiva</v>
      </c>
      <c r="H203" s="12" t="str">
        <f>IF(G203&lt;&gt;"",VLOOKUP(G203,Settings!$B$4:$C$35,2,false),"")</f>
        <v>Sandhya Jan</v>
      </c>
      <c r="I203" s="12" t="str">
        <f>IFERROR(__xludf.DUMMYFUNCTION("""COMPUTED_VALUE"""),"")</f>
        <v/>
      </c>
      <c r="J203" s="15" t="s">
        <v>129</v>
      </c>
      <c r="K203" s="16">
        <v>43399.0</v>
      </c>
      <c r="L203" s="3"/>
    </row>
    <row r="204">
      <c r="A204" s="17">
        <f t="shared" si="1"/>
        <v>202</v>
      </c>
      <c r="B204" s="12" t="str">
        <f>IFERROR(__xludf.DUMMYFUNCTION("""COMPUTED_VALUE"""),"Baral Anuradha")</f>
        <v>Baral Anuradha</v>
      </c>
      <c r="C204" s="12" t="str">
        <f>IFERROR(__xludf.DUMMYFUNCTION("""COMPUTED_VALUE"""),"anuradha_mhptr@yahoo.co.in")</f>
        <v>anuradha_mhptr@yahoo.co.in</v>
      </c>
      <c r="D204" s="12" t="str">
        <f>IFERROR(__xludf.DUMMYFUNCTION("""COMPUTED_VALUE"""),"Adult")</f>
        <v>Adult</v>
      </c>
      <c r="E204" s="13">
        <f>IF(D204&lt;&gt;"",VLOOKUP(D204,Settings!$G$3:$H$6,2,false),"")</f>
        <v>2300</v>
      </c>
      <c r="F204" s="15" t="str">
        <f>IFERROR(__xludf.DUMMYFUNCTION("""COMPUTED_VALUE"""),"Relative")</f>
        <v>Relative</v>
      </c>
      <c r="G204" s="15" t="str">
        <f>IFERROR(__xludf.DUMMYFUNCTION("""COMPUTED_VALUE"""),"Classical Mermaids")</f>
        <v>Classical Mermaids</v>
      </c>
      <c r="H204" s="12" t="str">
        <f>IF(G204&lt;&gt;"",VLOOKUP(G204,Settings!$B$4:$C$35,2,false),"")</f>
        <v>Preetha</v>
      </c>
      <c r="I204" s="12" t="str">
        <f>IFERROR(__xludf.DUMMYFUNCTION("""COMPUTED_VALUE"""),"")</f>
        <v/>
      </c>
      <c r="J204" s="15" t="s">
        <v>470</v>
      </c>
      <c r="K204" s="16">
        <v>43401.0</v>
      </c>
      <c r="L204" s="3"/>
    </row>
    <row r="205">
      <c r="A205" s="17">
        <f t="shared" si="1"/>
        <v>203</v>
      </c>
      <c r="B205" s="12" t="str">
        <f>IFERROR(__xludf.DUMMYFUNCTION("""COMPUTED_VALUE"""),"Sivagamisundari sankar")</f>
        <v>Sivagamisundari sankar</v>
      </c>
      <c r="C205" s="12" t="str">
        <f>IFERROR(__xludf.DUMMYFUNCTION("""COMPUTED_VALUE"""),"snmk@yahoo.com")</f>
        <v>snmk@yahoo.com</v>
      </c>
      <c r="D205" s="12" t="str">
        <f>IFERROR(__xludf.DUMMYFUNCTION("""COMPUTED_VALUE"""),"Adult")</f>
        <v>Adult</v>
      </c>
      <c r="E205" s="13">
        <f>IF(D205&lt;&gt;"",VLOOKUP(D205,Settings!$G$3:$H$6,2,false),"")</f>
        <v>2300</v>
      </c>
      <c r="F205" s="15" t="str">
        <f>IFERROR(__xludf.DUMMYFUNCTION("""COMPUTED_VALUE"""),"Relative")</f>
        <v>Relative</v>
      </c>
      <c r="G205" s="15" t="str">
        <f>IFERROR(__xludf.DUMMYFUNCTION("""COMPUTED_VALUE"""),"Shiva")</f>
        <v>Shiva</v>
      </c>
      <c r="H205" s="12" t="str">
        <f>IF(G205&lt;&gt;"",VLOOKUP(G205,Settings!$B$4:$C$35,2,false),"")</f>
        <v>Sandhya Jan</v>
      </c>
      <c r="I205" s="12" t="str">
        <f>IFERROR(__xludf.DUMMYFUNCTION("""COMPUTED_VALUE"""),"")</f>
        <v/>
      </c>
      <c r="J205" s="15" t="s">
        <v>129</v>
      </c>
      <c r="K205" s="16">
        <v>43399.0</v>
      </c>
      <c r="L205" s="3"/>
    </row>
    <row r="206">
      <c r="A206" s="17">
        <f t="shared" si="1"/>
        <v>204</v>
      </c>
      <c r="B206" s="12" t="str">
        <f>IFERROR(__xludf.DUMMYFUNCTION("""COMPUTED_VALUE"""),"Bardia Seema ")</f>
        <v>Bardia Seema </v>
      </c>
      <c r="C206" s="12" t="str">
        <f>IFERROR(__xludf.DUMMYFUNCTION("""COMPUTED_VALUE"""),"uppercrust14@gmail.com")</f>
        <v>uppercrust14@gmail.com</v>
      </c>
      <c r="D206" s="12" t="str">
        <f>IFERROR(__xludf.DUMMYFUNCTION("""COMPUTED_VALUE"""),"Adult")</f>
        <v>Adult</v>
      </c>
      <c r="E206" s="13">
        <f>IF(D206&lt;&gt;"",VLOOKUP(D206,Settings!$G$3:$H$6,2,false),"")</f>
        <v>2300</v>
      </c>
      <c r="F206" s="15" t="str">
        <f>IFERROR(__xludf.DUMMYFUNCTION("""COMPUTED_VALUE"""),"Relative")</f>
        <v>Relative</v>
      </c>
      <c r="G206" s="15" t="str">
        <f>IFERROR(__xludf.DUMMYFUNCTION("""COMPUTED_VALUE"""),"Okachimachi Group")</f>
        <v>Okachimachi Group</v>
      </c>
      <c r="H206" s="12" t="str">
        <f>IF(G206&lt;&gt;"",VLOOKUP(G206,Settings!$B$4:$C$35,2,false),"")</f>
        <v>Alka lodha</v>
      </c>
      <c r="I206" s="12" t="str">
        <f>IFERROR(__xludf.DUMMYFUNCTION("""COMPUTED_VALUE"""),"")</f>
        <v/>
      </c>
      <c r="J206" s="15" t="s">
        <v>568</v>
      </c>
      <c r="K206" s="16"/>
      <c r="L206" s="3"/>
    </row>
    <row r="207">
      <c r="A207" s="17">
        <f t="shared" si="1"/>
        <v>205</v>
      </c>
      <c r="B207" s="12" t="str">
        <f>IFERROR(__xludf.DUMMYFUNCTION("""COMPUTED_VALUE"""),"Hetvi sutaria ")</f>
        <v>Hetvi sutaria </v>
      </c>
      <c r="C207" s="12" t="str">
        <f>IFERROR(__xludf.DUMMYFUNCTION("""COMPUTED_VALUE"""),"uppercrust14@gmail.com")</f>
        <v>uppercrust14@gmail.com</v>
      </c>
      <c r="D207" s="12" t="str">
        <f>IFERROR(__xludf.DUMMYFUNCTION("""COMPUTED_VALUE"""),"Child")</f>
        <v>Child</v>
      </c>
      <c r="E207" s="13">
        <f>IF(D207&lt;&gt;"",VLOOKUP(D207,Settings!$G$3:$H$6,2,false),"")</f>
        <v>1200</v>
      </c>
      <c r="F207" s="15" t="str">
        <f>IFERROR(__xludf.DUMMYFUNCTION("""COMPUTED_VALUE"""),"Performer")</f>
        <v>Performer</v>
      </c>
      <c r="G207" s="15" t="str">
        <f>IFERROR(__xludf.DUMMYFUNCTION("""COMPUTED_VALUE"""),"Okachimachi Group")</f>
        <v>Okachimachi Group</v>
      </c>
      <c r="H207" s="12" t="str">
        <f>IF(G207&lt;&gt;"",VLOOKUP(G207,Settings!$B$4:$C$35,2,false),"")</f>
        <v>Alka lodha</v>
      </c>
      <c r="I207" s="12" t="str">
        <f>IFERROR(__xludf.DUMMYFUNCTION("""COMPUTED_VALUE"""),"We want 2 kids and 2 adult tickets ")</f>
        <v>We want 2 kids and 2 adult tickets </v>
      </c>
      <c r="J207" s="15" t="s">
        <v>568</v>
      </c>
      <c r="K207" s="16"/>
      <c r="L207" s="3"/>
    </row>
    <row r="208">
      <c r="A208" s="17">
        <f t="shared" si="1"/>
        <v>206</v>
      </c>
      <c r="B208" s="12" t="str">
        <f>IFERROR(__xludf.DUMMYFUNCTION("""COMPUTED_VALUE"""),"Pachchigar Poonam Viraj")</f>
        <v>Pachchigar Poonam Viraj</v>
      </c>
      <c r="C208" s="12" t="str">
        <f>IFERROR(__xludf.DUMMYFUNCTION("""COMPUTED_VALUE"""),"Viga2000@gmail.com")</f>
        <v>Viga2000@gmail.com</v>
      </c>
      <c r="D208" s="12" t="str">
        <f>IFERROR(__xludf.DUMMYFUNCTION("""COMPUTED_VALUE"""),"Adult")</f>
        <v>Adult</v>
      </c>
      <c r="E208" s="13">
        <f>IF(D208&lt;&gt;"",VLOOKUP(D208,Settings!$G$3:$H$6,2,false),"")</f>
        <v>2300</v>
      </c>
      <c r="F208" s="15" t="str">
        <f>IFERROR(__xludf.DUMMYFUNCTION("""COMPUTED_VALUE"""),"Performer")</f>
        <v>Performer</v>
      </c>
      <c r="G208" s="15" t="str">
        <f>IFERROR(__xludf.DUMMYFUNCTION("""COMPUTED_VALUE"""),"The Dazzling Divas")</f>
        <v>The Dazzling Divas</v>
      </c>
      <c r="H208" s="12" t="str">
        <f>IF(G208&lt;&gt;"",VLOOKUP(G208,Settings!$B$4:$C$35,2,false),"")</f>
        <v>Mousumi Moharana</v>
      </c>
      <c r="I208" s="12" t="str">
        <f>IFERROR(__xludf.DUMMYFUNCTION("""COMPUTED_VALUE"""),"")</f>
        <v/>
      </c>
      <c r="J208" s="15" t="s">
        <v>470</v>
      </c>
      <c r="K208" s="16">
        <v>43399.0</v>
      </c>
      <c r="L208" s="3"/>
    </row>
    <row r="209">
      <c r="A209" s="17">
        <f t="shared" si="1"/>
        <v>207</v>
      </c>
      <c r="B209" s="12" t="str">
        <f>IFERROR(__xludf.DUMMYFUNCTION("""COMPUTED_VALUE"""),"Pachchigar Viraj Nareshbhai")</f>
        <v>Pachchigar Viraj Nareshbhai</v>
      </c>
      <c r="C209" s="12" t="str">
        <f>IFERROR(__xludf.DUMMYFUNCTION("""COMPUTED_VALUE"""),"Viga2000@gmail.com")</f>
        <v>Viga2000@gmail.com</v>
      </c>
      <c r="D209" s="12" t="str">
        <f>IFERROR(__xludf.DUMMYFUNCTION("""COMPUTED_VALUE"""),"Adult")</f>
        <v>Adult</v>
      </c>
      <c r="E209" s="13">
        <f>IF(D209&lt;&gt;"",VLOOKUP(D209,Settings!$G$3:$H$6,2,false),"")</f>
        <v>2300</v>
      </c>
      <c r="F209" s="15" t="str">
        <f>IFERROR(__xludf.DUMMYFUNCTION("""COMPUTED_VALUE"""),"Relative")</f>
        <v>Relative</v>
      </c>
      <c r="G209" s="15" t="str">
        <f>IFERROR(__xludf.DUMMYFUNCTION("""COMPUTED_VALUE"""),"The Dazzlers")</f>
        <v>The Dazzlers</v>
      </c>
      <c r="H209" s="12" t="str">
        <f>IF(G209&lt;&gt;"",VLOOKUP(G209,Settings!$B$4:$C$35,2,false),"")</f>
        <v>Mousumi Moharana</v>
      </c>
      <c r="I209" s="12" t="str">
        <f>IFERROR(__xludf.DUMMYFUNCTION("""COMPUTED_VALUE"""),"")</f>
        <v/>
      </c>
      <c r="J209" s="15" t="s">
        <v>470</v>
      </c>
      <c r="K209" s="16">
        <v>43399.0</v>
      </c>
      <c r="L209" s="3"/>
    </row>
    <row r="210">
      <c r="A210" s="17">
        <f t="shared" si="1"/>
        <v>208</v>
      </c>
      <c r="B210" s="12" t="str">
        <f>IFERROR(__xludf.DUMMYFUNCTION("""COMPUTED_VALUE"""),"Pachchigar Parin Viraj")</f>
        <v>Pachchigar Parin Viraj</v>
      </c>
      <c r="C210" s="12" t="str">
        <f>IFERROR(__xludf.DUMMYFUNCTION("""COMPUTED_VALUE"""),"Viga2000@gmail.com")</f>
        <v>Viga2000@gmail.com</v>
      </c>
      <c r="D210" s="12" t="str">
        <f>IFERROR(__xludf.DUMMYFUNCTION("""COMPUTED_VALUE"""),"Child")</f>
        <v>Child</v>
      </c>
      <c r="E210" s="13">
        <f>IF(D210&lt;&gt;"",VLOOKUP(D210,Settings!$G$3:$H$6,2,false),"")</f>
        <v>1200</v>
      </c>
      <c r="F210" s="15" t="str">
        <f>IFERROR(__xludf.DUMMYFUNCTION("""COMPUTED_VALUE"""),"Performer")</f>
        <v>Performer</v>
      </c>
      <c r="G210" s="15" t="str">
        <f>IFERROR(__xludf.DUMMYFUNCTION("""COMPUTED_VALUE"""),"The Dazzlers")</f>
        <v>The Dazzlers</v>
      </c>
      <c r="H210" s="12" t="str">
        <f>IF(G210&lt;&gt;"",VLOOKUP(G210,Settings!$B$4:$C$35,2,false),"")</f>
        <v>Mousumi Moharana</v>
      </c>
      <c r="I210" s="12" t="str">
        <f>IFERROR(__xludf.DUMMYFUNCTION("""COMPUTED_VALUE"""),"")</f>
        <v/>
      </c>
      <c r="J210" s="15" t="s">
        <v>470</v>
      </c>
      <c r="K210" s="16">
        <v>43399.0</v>
      </c>
      <c r="L210" s="3"/>
    </row>
    <row r="211">
      <c r="A211" s="17">
        <f t="shared" si="1"/>
        <v>209</v>
      </c>
      <c r="B211" s="12" t="str">
        <f>IFERROR(__xludf.DUMMYFUNCTION("""COMPUTED_VALUE"""),"Ghatole Ajay ")</f>
        <v>Ghatole Ajay </v>
      </c>
      <c r="C211" s="12" t="str">
        <f>IFERROR(__xludf.DUMMYFUNCTION("""COMPUTED_VALUE"""),"ajay.ghatole@gmail.com")</f>
        <v>ajay.ghatole@gmail.com</v>
      </c>
      <c r="D211" s="12" t="str">
        <f>IFERROR(__xludf.DUMMYFUNCTION("""COMPUTED_VALUE"""),"Adult")</f>
        <v>Adult</v>
      </c>
      <c r="E211" s="13">
        <f>IF(D211&lt;&gt;"",VLOOKUP(D211,Settings!$G$3:$H$6,2,false),"")</f>
        <v>2300</v>
      </c>
      <c r="F211" s="15" t="str">
        <f>IFERROR(__xludf.DUMMYFUNCTION("""COMPUTED_VALUE"""),"Relative")</f>
        <v>Relative</v>
      </c>
      <c r="G211" s="15" t="str">
        <f>IFERROR(__xludf.DUMMYFUNCTION("""COMPUTED_VALUE"""),"Blooming Flowers")</f>
        <v>Blooming Flowers</v>
      </c>
      <c r="H211" s="12" t="str">
        <f>IF(G211&lt;&gt;"",VLOOKUP(G211,Settings!$B$4:$C$35,2,false),"")</f>
        <v>Amita Deshpande</v>
      </c>
      <c r="I211" s="12" t="str">
        <f>IFERROR(__xludf.DUMMYFUNCTION("""COMPUTED_VALUE"""),"")</f>
        <v/>
      </c>
      <c r="J211" s="15" t="s">
        <v>241</v>
      </c>
      <c r="K211" s="16"/>
      <c r="L211" s="3"/>
    </row>
    <row r="212">
      <c r="A212" s="17">
        <f t="shared" si="1"/>
        <v>210</v>
      </c>
      <c r="B212" s="12" t="str">
        <f>IFERROR(__xludf.DUMMYFUNCTION("""COMPUTED_VALUE"""),"Ananya Kothari ")</f>
        <v>Ananya Kothari </v>
      </c>
      <c r="C212" s="12" t="str">
        <f>IFERROR(__xludf.DUMMYFUNCTION("""COMPUTED_VALUE"""),"nishakotharijain@yahoo.com")</f>
        <v>nishakotharijain@yahoo.com</v>
      </c>
      <c r="D212" s="12" t="str">
        <f>IFERROR(__xludf.DUMMYFUNCTION("""COMPUTED_VALUE"""),"Child")</f>
        <v>Child</v>
      </c>
      <c r="E212" s="13">
        <f>IF(D212&lt;&gt;"",VLOOKUP(D212,Settings!$G$3:$H$6,2,false),"")</f>
        <v>1200</v>
      </c>
      <c r="F212" s="15" t="str">
        <f>IFERROR(__xludf.DUMMYFUNCTION("""COMPUTED_VALUE"""),"Performer")</f>
        <v>Performer</v>
      </c>
      <c r="G212" s="15" t="str">
        <f>IFERROR(__xludf.DUMMYFUNCTION("""COMPUTED_VALUE"""),"S.G.D.Group")</f>
        <v>S.G.D.Group</v>
      </c>
      <c r="H212" s="12" t="str">
        <f>IF(G212&lt;&gt;"",VLOOKUP(G212,Settings!$B$4:$C$35,2,false),"")</f>
        <v>Nidhi jain</v>
      </c>
      <c r="I212" s="12" t="str">
        <f>IFERROR(__xludf.DUMMYFUNCTION("""COMPUTED_VALUE"""),"")</f>
        <v/>
      </c>
      <c r="J212" s="15" t="s">
        <v>241</v>
      </c>
      <c r="K212" s="16"/>
      <c r="L212" s="3"/>
    </row>
    <row r="213">
      <c r="A213" s="17">
        <f t="shared" si="1"/>
        <v>211</v>
      </c>
      <c r="B213" s="12" t="str">
        <f>IFERROR(__xludf.DUMMYFUNCTION("""COMPUTED_VALUE"""),"Mali Bhagyashree")</f>
        <v>Mali Bhagyashree</v>
      </c>
      <c r="C213" s="12" t="str">
        <f>IFERROR(__xludf.DUMMYFUNCTION("""COMPUTED_VALUE"""),"bhagyashreemali2005@gmail.com")</f>
        <v>bhagyashreemali2005@gmail.com</v>
      </c>
      <c r="D213" s="12" t="str">
        <f>IFERROR(__xludf.DUMMYFUNCTION("""COMPUTED_VALUE"""),"Adult")</f>
        <v>Adult</v>
      </c>
      <c r="E213" s="13">
        <f>IF(D213&lt;&gt;"",VLOOKUP(D213,Settings!$G$3:$H$6,2,false),"")</f>
        <v>2300</v>
      </c>
      <c r="F213" s="15" t="str">
        <f>IFERROR(__xludf.DUMMYFUNCTION("""COMPUTED_VALUE"""),"Relative")</f>
        <v>Relative</v>
      </c>
      <c r="G213" s="15" t="str">
        <f>IFERROR(__xludf.DUMMYFUNCTION("""COMPUTED_VALUE"""),"Classical Mermaids")</f>
        <v>Classical Mermaids</v>
      </c>
      <c r="H213" s="12" t="str">
        <f>IF(G213&lt;&gt;"",VLOOKUP(G213,Settings!$B$4:$C$35,2,false),"")</f>
        <v>Preetha</v>
      </c>
      <c r="I213" s="12" t="str">
        <f>IFERROR(__xludf.DUMMYFUNCTION("""COMPUTED_VALUE"""),"")</f>
        <v/>
      </c>
      <c r="J213" s="15" t="s">
        <v>470</v>
      </c>
      <c r="K213" s="16">
        <v>43401.0</v>
      </c>
      <c r="L213" s="3"/>
    </row>
    <row r="214">
      <c r="A214" s="17">
        <f t="shared" si="1"/>
        <v>212</v>
      </c>
      <c r="B214" s="12" t="str">
        <f>IFERROR(__xludf.DUMMYFUNCTION("""COMPUTED_VALUE"""),"Mali Tanisha ")</f>
        <v>Mali Tanisha </v>
      </c>
      <c r="C214" s="12" t="str">
        <f>IFERROR(__xludf.DUMMYFUNCTION("""COMPUTED_VALUE"""),"bhagyashreemali2005@gmail.com")</f>
        <v>bhagyashreemali2005@gmail.com</v>
      </c>
      <c r="D214" s="12" t="str">
        <f>IFERROR(__xludf.DUMMYFUNCTION("""COMPUTED_VALUE"""),"Adult")</f>
        <v>Adult</v>
      </c>
      <c r="E214" s="13">
        <f>IF(D214&lt;&gt;"",VLOOKUP(D214,Settings!$G$3:$H$6,2,false),"")</f>
        <v>2300</v>
      </c>
      <c r="F214" s="15" t="str">
        <f>IFERROR(__xludf.DUMMYFUNCTION("""COMPUTED_VALUE"""),"Performer")</f>
        <v>Performer</v>
      </c>
      <c r="G214" s="15" t="str">
        <f>IFERROR(__xludf.DUMMYFUNCTION("""COMPUTED_VALUE"""),"Classical Mermaids")</f>
        <v>Classical Mermaids</v>
      </c>
      <c r="H214" s="12" t="str">
        <f>IF(G214&lt;&gt;"",VLOOKUP(G214,Settings!$B$4:$C$35,2,false),"")</f>
        <v>Preetha</v>
      </c>
      <c r="I214" s="12" t="str">
        <f>IFERROR(__xludf.DUMMYFUNCTION("""COMPUTED_VALUE"""),"")</f>
        <v/>
      </c>
      <c r="J214" s="15" t="s">
        <v>470</v>
      </c>
      <c r="K214" s="16">
        <v>43401.0</v>
      </c>
      <c r="L214" s="3"/>
    </row>
    <row r="215">
      <c r="A215" s="17">
        <f t="shared" si="1"/>
        <v>213</v>
      </c>
      <c r="B215" s="12" t="str">
        <f>IFERROR(__xludf.DUMMYFUNCTION("""COMPUTED_VALUE"""),"Vinod Devika")</f>
        <v>Vinod Devika</v>
      </c>
      <c r="C215" s="12" t="str">
        <f>IFERROR(__xludf.DUMMYFUNCTION("""COMPUTED_VALUE"""),"lekshmi.vinod@gmail.com")</f>
        <v>lekshmi.vinod@gmail.com</v>
      </c>
      <c r="D215" s="12" t="str">
        <f>IFERROR(__xludf.DUMMYFUNCTION("""COMPUTED_VALUE"""),"Adult")</f>
        <v>Adult</v>
      </c>
      <c r="E215" s="13">
        <f>IF(D215&lt;&gt;"",VLOOKUP(D215,Settings!$G$3:$H$6,2,false),"")</f>
        <v>2300</v>
      </c>
      <c r="F215" s="15" t="str">
        <f>IFERROR(__xludf.DUMMYFUNCTION("""COMPUTED_VALUE"""),"Performer")</f>
        <v>Performer</v>
      </c>
      <c r="G215" s="15" t="str">
        <f>IFERROR(__xludf.DUMMYFUNCTION("""COMPUTED_VALUE"""),"Classical Mermaids")</f>
        <v>Classical Mermaids</v>
      </c>
      <c r="H215" s="12" t="str">
        <f>IF(G215&lt;&gt;"",VLOOKUP(G215,Settings!$B$4:$C$35,2,false),"")</f>
        <v>Preetha</v>
      </c>
      <c r="I215" s="12" t="str">
        <f>IFERROR(__xludf.DUMMYFUNCTION("""COMPUTED_VALUE"""),"")</f>
        <v/>
      </c>
      <c r="J215" s="15" t="s">
        <v>470</v>
      </c>
      <c r="K215" s="16">
        <v>43401.0</v>
      </c>
      <c r="L215" s="3"/>
    </row>
    <row r="216">
      <c r="A216" s="17">
        <f t="shared" si="1"/>
        <v>214</v>
      </c>
      <c r="B216" s="12" t="str">
        <f>IFERROR(__xludf.DUMMYFUNCTION("""COMPUTED_VALUE"""),"Vinod Lekshmi ")</f>
        <v>Vinod Lekshmi </v>
      </c>
      <c r="C216" s="12" t="str">
        <f>IFERROR(__xludf.DUMMYFUNCTION("""COMPUTED_VALUE"""),"lekshmi.vinod@gmail.com")</f>
        <v>lekshmi.vinod@gmail.com</v>
      </c>
      <c r="D216" s="12" t="str">
        <f>IFERROR(__xludf.DUMMYFUNCTION("""COMPUTED_VALUE"""),"Adult")</f>
        <v>Adult</v>
      </c>
      <c r="E216" s="13">
        <f>IF(D216&lt;&gt;"",VLOOKUP(D216,Settings!$G$3:$H$6,2,false),"")</f>
        <v>2300</v>
      </c>
      <c r="F216" s="15" t="str">
        <f>IFERROR(__xludf.DUMMYFUNCTION("""COMPUTED_VALUE"""),"Relative")</f>
        <v>Relative</v>
      </c>
      <c r="G216" s="15" t="str">
        <f>IFERROR(__xludf.DUMMYFUNCTION("""COMPUTED_VALUE"""),"Classical Mermaids")</f>
        <v>Classical Mermaids</v>
      </c>
      <c r="H216" s="12" t="str">
        <f>IF(G216&lt;&gt;"",VLOOKUP(G216,Settings!$B$4:$C$35,2,false),"")</f>
        <v>Preetha</v>
      </c>
      <c r="I216" s="12" t="str">
        <f>IFERROR(__xludf.DUMMYFUNCTION("""COMPUTED_VALUE"""),"")</f>
        <v/>
      </c>
      <c r="J216" s="15" t="s">
        <v>470</v>
      </c>
      <c r="K216" s="16">
        <v>43401.0</v>
      </c>
      <c r="L216" s="3"/>
    </row>
    <row r="217">
      <c r="A217" s="17">
        <f t="shared" si="1"/>
        <v>215</v>
      </c>
      <c r="B217" s="182" t="str">
        <f>IFERROR(__xludf.DUMMYFUNCTION("""COMPUTED_VALUE"""),"Kiran Devi")</f>
        <v>Kiran Devi</v>
      </c>
      <c r="C217" s="182" t="str">
        <f>IFERROR(__xludf.DUMMYFUNCTION("""COMPUTED_VALUE"""),"kirankumarmr@gmail.com")</f>
        <v>kirankumarmr@gmail.com</v>
      </c>
      <c r="D217" s="182" t="str">
        <f>IFERROR(__xludf.DUMMYFUNCTION("""COMPUTED_VALUE"""),"Adult")</f>
        <v>Adult</v>
      </c>
      <c r="E217" s="13">
        <f>IF(D217&lt;&gt;"",VLOOKUP(D217,Settings!$G$3:$H$6,2,false),"")</f>
        <v>2300</v>
      </c>
      <c r="F217" s="15" t="str">
        <f>IFERROR(__xludf.DUMMYFUNCTION("""COMPUTED_VALUE"""),"Performer")</f>
        <v>Performer</v>
      </c>
      <c r="G217" s="15" t="str">
        <f>IFERROR(__xludf.DUMMYFUNCTION("""COMPUTED_VALUE"""),"Classical Mermaids")</f>
        <v>Classical Mermaids</v>
      </c>
      <c r="H217" s="12" t="str">
        <f>IF(G217&lt;&gt;"",VLOOKUP(G217,Settings!$B$4:$C$35,2,false),"")</f>
        <v>Preetha</v>
      </c>
      <c r="I217" s="12" t="str">
        <f>IFERROR(__xludf.DUMMYFUNCTION("""COMPUTED_VALUE"""),"C\O Reshmi Joby")</f>
        <v>C\O Reshmi Joby</v>
      </c>
      <c r="J217" s="15" t="s">
        <v>470</v>
      </c>
      <c r="K217" s="16">
        <v>43401.0</v>
      </c>
      <c r="L217" s="101"/>
      <c r="M217" s="101" t="s">
        <v>803</v>
      </c>
    </row>
    <row r="218">
      <c r="A218" s="17">
        <f t="shared" si="1"/>
        <v>216</v>
      </c>
      <c r="B218" s="12" t="str">
        <f>IFERROR(__xludf.DUMMYFUNCTION("""COMPUTED_VALUE"""),"KUMAR KIRAN")</f>
        <v>KUMAR KIRAN</v>
      </c>
      <c r="C218" s="12" t="str">
        <f>IFERROR(__xludf.DUMMYFUNCTION("""COMPUTED_VALUE"""),"kirankumarmr@gmail.com")</f>
        <v>kirankumarmr@gmail.com</v>
      </c>
      <c r="D218" s="12" t="str">
        <f>IFERROR(__xludf.DUMMYFUNCTION("""COMPUTED_VALUE"""),"Adult")</f>
        <v>Adult</v>
      </c>
      <c r="E218" s="13">
        <f>IF(D218&lt;&gt;"",VLOOKUP(D218,Settings!$G$3:$H$6,2,false),"")</f>
        <v>2300</v>
      </c>
      <c r="F218" s="15" t="str">
        <f>IFERROR(__xludf.DUMMYFUNCTION("""COMPUTED_VALUE"""),"Relative")</f>
        <v>Relative</v>
      </c>
      <c r="G218" s="15" t="str">
        <f>IFERROR(__xludf.DUMMYFUNCTION("""COMPUTED_VALUE"""),"Classical Mermaids")</f>
        <v>Classical Mermaids</v>
      </c>
      <c r="H218" s="12" t="str">
        <f>IF(G218&lt;&gt;"",VLOOKUP(G218,Settings!$B$4:$C$35,2,false),"")</f>
        <v>Preetha</v>
      </c>
      <c r="I218" s="12" t="str">
        <f>IFERROR(__xludf.DUMMYFUNCTION("""COMPUTED_VALUE"""),"Father of Devi Kiran Performing for Classical Mermaids@ Reshmi Joby")</f>
        <v>Father of Devi Kiran Performing for Classical Mermaids@ Reshmi Joby</v>
      </c>
      <c r="J218" s="15" t="s">
        <v>470</v>
      </c>
      <c r="K218" s="16">
        <v>43401.0</v>
      </c>
      <c r="L218" s="3"/>
    </row>
    <row r="219">
      <c r="A219" s="17">
        <f t="shared" si="1"/>
        <v>217</v>
      </c>
      <c r="B219" s="12" t="str">
        <f>IFERROR(__xludf.DUMMYFUNCTION("""COMPUTED_VALUE"""),"Kiran Deepa")</f>
        <v>Kiran Deepa</v>
      </c>
      <c r="C219" s="12" t="str">
        <f>IFERROR(__xludf.DUMMYFUNCTION("""COMPUTED_VALUE"""),"kirankumarmr@gmai.com")</f>
        <v>kirankumarmr@gmai.com</v>
      </c>
      <c r="D219" s="12" t="str">
        <f>IFERROR(__xludf.DUMMYFUNCTION("""COMPUTED_VALUE"""),"Adult")</f>
        <v>Adult</v>
      </c>
      <c r="E219" s="13">
        <f>IF(D219&lt;&gt;"",VLOOKUP(D219,Settings!$G$3:$H$6,2,false),"")</f>
        <v>2300</v>
      </c>
      <c r="F219" s="15" t="str">
        <f>IFERROR(__xludf.DUMMYFUNCTION("""COMPUTED_VALUE"""),"Relative")</f>
        <v>Relative</v>
      </c>
      <c r="G219" s="15" t="str">
        <f>IFERROR(__xludf.DUMMYFUNCTION("""COMPUTED_VALUE"""),"Classical Mermaids")</f>
        <v>Classical Mermaids</v>
      </c>
      <c r="H219" s="12" t="str">
        <f>IF(G219&lt;&gt;"",VLOOKUP(G219,Settings!$B$4:$C$35,2,false),"")</f>
        <v>Preetha</v>
      </c>
      <c r="I219" s="12" t="str">
        <f>IFERROR(__xludf.DUMMYFUNCTION("""COMPUTED_VALUE"""),"Mother of Devi Kiran Performing for Classical Mermaids@ Reshmi Joby")</f>
        <v>Mother of Devi Kiran Performing for Classical Mermaids@ Reshmi Joby</v>
      </c>
      <c r="J219" s="15" t="s">
        <v>470</v>
      </c>
      <c r="K219" s="16">
        <v>43401.0</v>
      </c>
      <c r="L219" s="3"/>
    </row>
    <row r="220">
      <c r="A220" s="17">
        <f t="shared" si="1"/>
        <v>218</v>
      </c>
      <c r="B220" s="12" t="str">
        <f>IFERROR(__xludf.DUMMYFUNCTION("""COMPUTED_VALUE"""),"Seeejith Ellath")</f>
        <v>Seeejith Ellath</v>
      </c>
      <c r="C220" s="12" t="str">
        <f>IFERROR(__xludf.DUMMYFUNCTION("""COMPUTED_VALUE"""),"chaithanyamenon@gmail.com")</f>
        <v>chaithanyamenon@gmail.com</v>
      </c>
      <c r="D220" s="12" t="str">
        <f>IFERROR(__xludf.DUMMYFUNCTION("""COMPUTED_VALUE"""),"Adult")</f>
        <v>Adult</v>
      </c>
      <c r="E220" s="13">
        <f>IF(D220&lt;&gt;"",VLOOKUP(D220,Settings!$G$3:$H$6,2,false),"")</f>
        <v>2300</v>
      </c>
      <c r="F220" s="15" t="str">
        <f>IFERROR(__xludf.DUMMYFUNCTION("""COMPUTED_VALUE"""),"Relative")</f>
        <v>Relative</v>
      </c>
      <c r="G220" s="15" t="str">
        <f>IFERROR(__xludf.DUMMYFUNCTION("""COMPUTED_VALUE"""),"Sparkle Queens")</f>
        <v>Sparkle Queens</v>
      </c>
      <c r="H220" s="12" t="str">
        <f>IF(G220&lt;&gt;"",VLOOKUP(G220,Settings!$B$4:$C$35,2,false),"")</f>
        <v>Vidya Bhole</v>
      </c>
      <c r="I220" s="12" t="str">
        <f>IFERROR(__xludf.DUMMYFUNCTION("""COMPUTED_VALUE"""),"")</f>
        <v/>
      </c>
      <c r="J220" s="15" t="s">
        <v>241</v>
      </c>
      <c r="K220" s="12"/>
      <c r="L220" s="3"/>
    </row>
    <row r="221">
      <c r="A221" s="17">
        <f t="shared" si="1"/>
        <v>219</v>
      </c>
      <c r="B221" s="12" t="str">
        <f>IFERROR(__xludf.DUMMYFUNCTION("""COMPUTED_VALUE"""),"Nivedita S Menon")</f>
        <v>Nivedita S Menon</v>
      </c>
      <c r="C221" s="12" t="str">
        <f>IFERROR(__xludf.DUMMYFUNCTION("""COMPUTED_VALUE"""),"chaithanyamenon@gmail.com")</f>
        <v>chaithanyamenon@gmail.com</v>
      </c>
      <c r="D221" s="12" t="str">
        <f>IFERROR(__xludf.DUMMYFUNCTION("""COMPUTED_VALUE"""),"Child")</f>
        <v>Child</v>
      </c>
      <c r="E221" s="13">
        <f>IF(D221&lt;&gt;"",VLOOKUP(D221,Settings!$G$3:$H$6,2,false),"")</f>
        <v>1200</v>
      </c>
      <c r="F221" s="15" t="str">
        <f>IFERROR(__xludf.DUMMYFUNCTION("""COMPUTED_VALUE"""),"Relative")</f>
        <v>Relative</v>
      </c>
      <c r="G221" s="15" t="str">
        <f>IFERROR(__xludf.DUMMYFUNCTION("""COMPUTED_VALUE"""),"Sparkle Queens")</f>
        <v>Sparkle Queens</v>
      </c>
      <c r="H221" s="12" t="str">
        <f>IF(G221&lt;&gt;"",VLOOKUP(G221,Settings!$B$4:$C$35,2,false),"")</f>
        <v>Vidya Bhole</v>
      </c>
      <c r="I221" s="12" t="str">
        <f>IFERROR(__xludf.DUMMYFUNCTION("""COMPUTED_VALUE"""),"")</f>
        <v/>
      </c>
      <c r="J221" s="15" t="s">
        <v>241</v>
      </c>
      <c r="K221" s="16"/>
      <c r="L221" s="3"/>
    </row>
    <row r="222" hidden="1">
      <c r="A222" s="17">
        <f t="shared" si="1"/>
        <v>220</v>
      </c>
      <c r="B222" s="12" t="str">
        <f>IFERROR(__xludf.DUMMYFUNCTION("""COMPUTED_VALUE"""),"Siksha jain")</f>
        <v>Siksha jain</v>
      </c>
      <c r="C222" s="12" t="str">
        <f>IFERROR(__xludf.DUMMYFUNCTION("""COMPUTED_VALUE"""),"nancy.star.207@gmail.com")</f>
        <v>nancy.star.207@gmail.com</v>
      </c>
      <c r="D222" s="12" t="str">
        <f>IFERROR(__xludf.DUMMYFUNCTION("""COMPUTED_VALUE"""),"Adult")</f>
        <v>Adult</v>
      </c>
      <c r="E222" s="13">
        <f>IF(D222&lt;&gt;"",VLOOKUP(D222,Settings!$G$3:$H$6,2,false),"")</f>
        <v>2300</v>
      </c>
      <c r="F222" s="15" t="str">
        <f>IFERROR(__xludf.DUMMYFUNCTION("""COMPUTED_VALUE"""),"Relative")</f>
        <v>Relative</v>
      </c>
      <c r="G222" s="15" t="str">
        <f>IFERROR(__xludf.DUMMYFUNCTION("""COMPUTED_VALUE"""),"S.G.D.Group")</f>
        <v>S.G.D.Group</v>
      </c>
      <c r="H222" s="12" t="str">
        <f>IF(G222&lt;&gt;"",VLOOKUP(G222,Settings!$B$4:$C$35,2,false),"")</f>
        <v>Nidhi jain</v>
      </c>
      <c r="I222" s="12" t="str">
        <f>IFERROR(__xludf.DUMMYFUNCTION("""COMPUTED_VALUE"""),"")</f>
        <v/>
      </c>
      <c r="J222" s="15"/>
      <c r="K222" s="16"/>
      <c r="L222" s="6" t="s">
        <v>592</v>
      </c>
    </row>
    <row r="223" hidden="1">
      <c r="A223" s="17">
        <f t="shared" si="1"/>
        <v>221</v>
      </c>
      <c r="B223" s="12" t="str">
        <f>IFERROR(__xludf.DUMMYFUNCTION("""COMPUTED_VALUE"""),"Manish jain")</f>
        <v>Manish jain</v>
      </c>
      <c r="C223" s="12" t="str">
        <f>IFERROR(__xludf.DUMMYFUNCTION("""COMPUTED_VALUE"""),"nancy.star.207@gmail.com")</f>
        <v>nancy.star.207@gmail.com</v>
      </c>
      <c r="D223" s="12" t="str">
        <f>IFERROR(__xludf.DUMMYFUNCTION("""COMPUTED_VALUE"""),"Adult")</f>
        <v>Adult</v>
      </c>
      <c r="E223" s="13">
        <f>IF(D223&lt;&gt;"",VLOOKUP(D223,Settings!$G$3:$H$6,2,false),"")</f>
        <v>2300</v>
      </c>
      <c r="F223" s="15" t="str">
        <f>IFERROR(__xludf.DUMMYFUNCTION("""COMPUTED_VALUE"""),"Relative")</f>
        <v>Relative</v>
      </c>
      <c r="G223" s="15" t="str">
        <f>IFERROR(__xludf.DUMMYFUNCTION("""COMPUTED_VALUE"""),"S.G.D.Group")</f>
        <v>S.G.D.Group</v>
      </c>
      <c r="H223" s="12" t="str">
        <f>IF(G223&lt;&gt;"",VLOOKUP(G223,Settings!$B$4:$C$35,2,false),"")</f>
        <v>Nidhi jain</v>
      </c>
      <c r="I223" s="12" t="str">
        <f>IFERROR(__xludf.DUMMYFUNCTION("""COMPUTED_VALUE"""),"")</f>
        <v/>
      </c>
      <c r="J223" s="15"/>
      <c r="K223" s="16"/>
      <c r="L223" s="6" t="s">
        <v>592</v>
      </c>
    </row>
    <row r="224">
      <c r="A224" s="17">
        <f t="shared" si="1"/>
        <v>222</v>
      </c>
      <c r="B224" s="12" t="str">
        <f>IFERROR(__xludf.DUMMYFUNCTION("""COMPUTED_VALUE"""),"Siksha jain")</f>
        <v>Siksha jain</v>
      </c>
      <c r="C224" s="12" t="str">
        <f>IFERROR(__xludf.DUMMYFUNCTION("""COMPUTED_VALUE"""),"nancy.star.2007@gmail.com")</f>
        <v>nancy.star.2007@gmail.com</v>
      </c>
      <c r="D224" s="12" t="str">
        <f>IFERROR(__xludf.DUMMYFUNCTION("""COMPUTED_VALUE"""),"Adult")</f>
        <v>Adult</v>
      </c>
      <c r="E224" s="13">
        <f>IF(D224&lt;&gt;"",VLOOKUP(D224,Settings!$G$3:$H$6,2,false),"")</f>
        <v>2300</v>
      </c>
      <c r="F224" s="15" t="str">
        <f>IFERROR(__xludf.DUMMYFUNCTION("""COMPUTED_VALUE"""),"Relative")</f>
        <v>Relative</v>
      </c>
      <c r="G224" s="15" t="str">
        <f>IFERROR(__xludf.DUMMYFUNCTION("""COMPUTED_VALUE"""),"S.G.D.Group")</f>
        <v>S.G.D.Group</v>
      </c>
      <c r="H224" s="12" t="str">
        <f>IF(G224&lt;&gt;"",VLOOKUP(G224,Settings!$B$4:$C$35,2,false),"")</f>
        <v>Nidhi jain</v>
      </c>
      <c r="I224" s="12" t="str">
        <f>IFERROR(__xludf.DUMMYFUNCTION("""COMPUTED_VALUE"""),"")</f>
        <v/>
      </c>
      <c r="J224" s="15" t="s">
        <v>241</v>
      </c>
      <c r="K224" s="16"/>
      <c r="L224" s="3"/>
    </row>
    <row r="225">
      <c r="A225" s="17">
        <f t="shared" si="1"/>
        <v>223</v>
      </c>
      <c r="B225" s="12" t="str">
        <f>IFERROR(__xludf.DUMMYFUNCTION("""COMPUTED_VALUE"""),"Manish jain")</f>
        <v>Manish jain</v>
      </c>
      <c r="C225" s="12" t="str">
        <f>IFERROR(__xludf.DUMMYFUNCTION("""COMPUTED_VALUE"""),"nancy.star.2007@gmail.com")</f>
        <v>nancy.star.2007@gmail.com</v>
      </c>
      <c r="D225" s="12" t="str">
        <f>IFERROR(__xludf.DUMMYFUNCTION("""COMPUTED_VALUE"""),"Adult")</f>
        <v>Adult</v>
      </c>
      <c r="E225" s="13">
        <f>IF(D225&lt;&gt;"",VLOOKUP(D225,Settings!$G$3:$H$6,2,false),"")</f>
        <v>2300</v>
      </c>
      <c r="F225" s="15" t="str">
        <f>IFERROR(__xludf.DUMMYFUNCTION("""COMPUTED_VALUE"""),"Relative")</f>
        <v>Relative</v>
      </c>
      <c r="G225" s="15" t="str">
        <f>IFERROR(__xludf.DUMMYFUNCTION("""COMPUTED_VALUE"""),"S.G.D.Group")</f>
        <v>S.G.D.Group</v>
      </c>
      <c r="H225" s="12" t="str">
        <f>IF(G225&lt;&gt;"",VLOOKUP(G225,Settings!$B$4:$C$35,2,false),"")</f>
        <v>Nidhi jain</v>
      </c>
      <c r="I225" s="12" t="str">
        <f>IFERROR(__xludf.DUMMYFUNCTION("""COMPUTED_VALUE"""),"")</f>
        <v/>
      </c>
      <c r="J225" s="15" t="s">
        <v>241</v>
      </c>
      <c r="K225" s="16"/>
      <c r="L225" s="3"/>
    </row>
    <row r="226">
      <c r="A226" s="17">
        <f t="shared" si="1"/>
        <v>224</v>
      </c>
      <c r="B226" s="12" t="str">
        <f>IFERROR(__xludf.DUMMYFUNCTION("""COMPUTED_VALUE"""),"Ranjani")</f>
        <v>Ranjani</v>
      </c>
      <c r="C226" s="12" t="str">
        <f>IFERROR(__xludf.DUMMYFUNCTION("""COMPUTED_VALUE"""),"Ranjani1002@gmail.com")</f>
        <v>Ranjani1002@gmail.com</v>
      </c>
      <c r="D226" s="12" t="str">
        <f>IFERROR(__xludf.DUMMYFUNCTION("""COMPUTED_VALUE"""),"Adult")</f>
        <v>Adult</v>
      </c>
      <c r="E226" s="13">
        <f>IF(D226&lt;&gt;"",VLOOKUP(D226,Settings!$G$3:$H$6,2,false),"")</f>
        <v>2300</v>
      </c>
      <c r="F226" s="15" t="str">
        <f>IFERROR(__xludf.DUMMYFUNCTION("""COMPUTED_VALUE"""),"Performer")</f>
        <v>Performer</v>
      </c>
      <c r="G226" s="15" t="str">
        <f>IFERROR(__xludf.DUMMYFUNCTION("""COMPUTED_VALUE"""),"Nrita Natya Dance Academy")</f>
        <v>Nrita Natya Dance Academy</v>
      </c>
      <c r="H226" s="12" t="str">
        <f>IF(G226&lt;&gt;"",VLOOKUP(G226,Settings!$B$4:$C$35,2,false),"")</f>
        <v>Deepasreekumar</v>
      </c>
      <c r="I226" s="12" t="str">
        <f>IFERROR(__xludf.DUMMYFUNCTION("""COMPUTED_VALUE"""),"")</f>
        <v/>
      </c>
      <c r="J226" s="15" t="s">
        <v>650</v>
      </c>
      <c r="K226" s="16"/>
      <c r="L226" s="3"/>
    </row>
    <row r="227">
      <c r="A227" s="17">
        <f t="shared" si="1"/>
        <v>225</v>
      </c>
      <c r="B227" s="12" t="str">
        <f>IFERROR(__xludf.DUMMYFUNCTION("""COMPUTED_VALUE"""),"Deepasreekumar ")</f>
        <v>Deepasreekumar </v>
      </c>
      <c r="C227" s="12" t="str">
        <f>IFERROR(__xludf.DUMMYFUNCTION("""COMPUTED_VALUE"""),"kichus@gmail.com")</f>
        <v>kichus@gmail.com</v>
      </c>
      <c r="D227" s="12" t="str">
        <f>IFERROR(__xludf.DUMMYFUNCTION("""COMPUTED_VALUE"""),"Adult")</f>
        <v>Adult</v>
      </c>
      <c r="E227" s="13">
        <f>IF(D227&lt;&gt;"",VLOOKUP(D227,Settings!$G$3:$H$6,2,false),"")</f>
        <v>2300</v>
      </c>
      <c r="F227" s="15" t="str">
        <f>IFERROR(__xludf.DUMMYFUNCTION("""COMPUTED_VALUE"""),"Coordinator")</f>
        <v>Coordinator</v>
      </c>
      <c r="G227" s="15" t="str">
        <f>IFERROR(__xludf.DUMMYFUNCTION("""COMPUTED_VALUE"""),"Nrita Natya Dance Academy")</f>
        <v>Nrita Natya Dance Academy</v>
      </c>
      <c r="H227" s="12" t="str">
        <f>IF(G227&lt;&gt;"",VLOOKUP(G227,Settings!$B$4:$C$35,2,false),"")</f>
        <v>Deepasreekumar</v>
      </c>
      <c r="I227" s="12" t="str">
        <f>IFERROR(__xludf.DUMMYFUNCTION("""COMPUTED_VALUE"""),"")</f>
        <v/>
      </c>
      <c r="J227" s="15" t="s">
        <v>650</v>
      </c>
      <c r="K227" s="103"/>
      <c r="L227" s="3"/>
    </row>
    <row r="228">
      <c r="A228" s="17">
        <f t="shared" si="1"/>
        <v>226</v>
      </c>
      <c r="B228" s="12" t="str">
        <f>IFERROR(__xludf.DUMMYFUNCTION("""COMPUTED_VALUE"""),"Ramya Raghu")</f>
        <v>Ramya Raghu</v>
      </c>
      <c r="C228" s="12" t="str">
        <f>IFERROR(__xludf.DUMMYFUNCTION("""COMPUTED_VALUE"""),"japan.ramya@gmail.com")</f>
        <v>japan.ramya@gmail.com</v>
      </c>
      <c r="D228" s="12" t="str">
        <f>IFERROR(__xludf.DUMMYFUNCTION("""COMPUTED_VALUE"""),"Adult")</f>
        <v>Adult</v>
      </c>
      <c r="E228" s="13">
        <f>IF(D228&lt;&gt;"",VLOOKUP(D228,Settings!$G$3:$H$6,2,false),"")</f>
        <v>2300</v>
      </c>
      <c r="F228" s="15" t="str">
        <f>IFERROR(__xludf.DUMMYFUNCTION("""COMPUTED_VALUE"""),"Performer")</f>
        <v>Performer</v>
      </c>
      <c r="G228" s="15" t="str">
        <f>IFERROR(__xludf.DUMMYFUNCTION("""COMPUTED_VALUE"""),"Nrita Natya Dance Academy")</f>
        <v>Nrita Natya Dance Academy</v>
      </c>
      <c r="H228" s="12" t="str">
        <f>IF(G228&lt;&gt;"",VLOOKUP(G228,Settings!$B$4:$C$35,2,false),"")</f>
        <v>Deepasreekumar</v>
      </c>
      <c r="I228" s="12" t="str">
        <f>IFERROR(__xludf.DUMMYFUNCTION("""COMPUTED_VALUE"""),"")</f>
        <v/>
      </c>
      <c r="J228" s="15" t="s">
        <v>650</v>
      </c>
      <c r="K228" s="16"/>
      <c r="L228" s="3"/>
    </row>
    <row r="229">
      <c r="A229" s="17">
        <f t="shared" si="1"/>
        <v>227</v>
      </c>
      <c r="B229" s="12" t="str">
        <f>IFERROR(__xludf.DUMMYFUNCTION("""COMPUTED_VALUE"""),"Sharma Hazel")</f>
        <v>Sharma Hazel</v>
      </c>
      <c r="C229" s="12" t="str">
        <f>IFERROR(__xludf.DUMMYFUNCTION("""COMPUTED_VALUE"""),"gash4lured@gmail.com")</f>
        <v>gash4lured@gmail.com</v>
      </c>
      <c r="D229" s="12" t="str">
        <f>IFERROR(__xludf.DUMMYFUNCTION("""COMPUTED_VALUE"""),"Child")</f>
        <v>Child</v>
      </c>
      <c r="E229" s="13">
        <f>IF(D229&lt;&gt;"",VLOOKUP(D229,Settings!$G$3:$H$6,2,false),"")</f>
        <v>1200</v>
      </c>
      <c r="F229" s="15" t="str">
        <f>IFERROR(__xludf.DUMMYFUNCTION("""COMPUTED_VALUE"""),"Performer")</f>
        <v>Performer</v>
      </c>
      <c r="G229" s="15" t="str">
        <f>IFERROR(__xludf.DUMMYFUNCTION("""COMPUTED_VALUE"""),"Little Champions")</f>
        <v>Little Champions</v>
      </c>
      <c r="H229" s="12" t="str">
        <f>IF(G229&lt;&gt;"",VLOOKUP(G229,Settings!$B$4:$C$35,2,false),"")</f>
        <v>Vividha Bhopre</v>
      </c>
      <c r="I229" s="12" t="str">
        <f>IFERROR(__xludf.DUMMYFUNCTION("""COMPUTED_VALUE"""),"")</f>
        <v/>
      </c>
      <c r="J229" s="15" t="s">
        <v>241</v>
      </c>
      <c r="K229" s="16"/>
      <c r="L229" s="3"/>
    </row>
    <row r="230">
      <c r="A230" s="17">
        <f t="shared" si="1"/>
        <v>228</v>
      </c>
      <c r="B230" s="12" t="str">
        <f>IFERROR(__xludf.DUMMYFUNCTION("""COMPUTED_VALUE"""),"Nidhi")</f>
        <v>Nidhi</v>
      </c>
      <c r="C230" s="12" t="str">
        <f>IFERROR(__xludf.DUMMYFUNCTION("""COMPUTED_VALUE"""),"nidhi.aashri@gmail.com")</f>
        <v>nidhi.aashri@gmail.com</v>
      </c>
      <c r="D230" s="12" t="str">
        <f>IFERROR(__xludf.DUMMYFUNCTION("""COMPUTED_VALUE"""),"Adult")</f>
        <v>Adult</v>
      </c>
      <c r="E230" s="13">
        <f>IF(D230&lt;&gt;"",VLOOKUP(D230,Settings!$G$3:$H$6,2,false),"")</f>
        <v>2300</v>
      </c>
      <c r="F230" s="15" t="str">
        <f>IFERROR(__xludf.DUMMYFUNCTION("""COMPUTED_VALUE"""),"Relative")</f>
        <v>Relative</v>
      </c>
      <c r="G230" s="15" t="str">
        <f>IFERROR(__xludf.DUMMYFUNCTION("""COMPUTED_VALUE"""),"Little Champions")</f>
        <v>Little Champions</v>
      </c>
      <c r="H230" s="12" t="str">
        <f>IF(G230&lt;&gt;"",VLOOKUP(G230,Settings!$B$4:$C$35,2,false),"")</f>
        <v>Vividha Bhopre</v>
      </c>
      <c r="I230" s="12" t="str">
        <f>IFERROR(__xludf.DUMMYFUNCTION("""COMPUTED_VALUE"""),"")</f>
        <v/>
      </c>
      <c r="J230" s="15" t="s">
        <v>241</v>
      </c>
      <c r="K230" s="16"/>
      <c r="L230" s="3"/>
    </row>
    <row r="231">
      <c r="A231" s="17">
        <f t="shared" si="1"/>
        <v>229</v>
      </c>
      <c r="B231" s="12" t="str">
        <f>IFERROR(__xludf.DUMMYFUNCTION("""COMPUTED_VALUE"""),"Sharma Gaurav")</f>
        <v>Sharma Gaurav</v>
      </c>
      <c r="C231" s="12" t="str">
        <f>IFERROR(__xludf.DUMMYFUNCTION("""COMPUTED_VALUE"""),"gash4lured@gmail.com")</f>
        <v>gash4lured@gmail.com</v>
      </c>
      <c r="D231" s="12" t="str">
        <f>IFERROR(__xludf.DUMMYFUNCTION("""COMPUTED_VALUE"""),"Adult")</f>
        <v>Adult</v>
      </c>
      <c r="E231" s="13">
        <f>IF(D231&lt;&gt;"",VLOOKUP(D231,Settings!$G$3:$H$6,2,false),"")</f>
        <v>2300</v>
      </c>
      <c r="F231" s="15" t="str">
        <f>IFERROR(__xludf.DUMMYFUNCTION("""COMPUTED_VALUE"""),"Relative")</f>
        <v>Relative</v>
      </c>
      <c r="G231" s="15" t="str">
        <f>IFERROR(__xludf.DUMMYFUNCTION("""COMPUTED_VALUE"""),"Little Champions")</f>
        <v>Little Champions</v>
      </c>
      <c r="H231" s="12" t="str">
        <f>IF(G231&lt;&gt;"",VLOOKUP(G231,Settings!$B$4:$C$35,2,false),"")</f>
        <v>Vividha Bhopre</v>
      </c>
      <c r="I231" s="12" t="str">
        <f>IFERROR(__xludf.DUMMYFUNCTION("""COMPUTED_VALUE"""),"")</f>
        <v/>
      </c>
      <c r="J231" s="15" t="s">
        <v>241</v>
      </c>
      <c r="K231" s="16"/>
      <c r="L231" s="3"/>
    </row>
    <row r="232">
      <c r="A232" s="17">
        <f t="shared" si="1"/>
        <v>230</v>
      </c>
      <c r="B232" s="12" t="str">
        <f>IFERROR(__xludf.DUMMYFUNCTION("""COMPUTED_VALUE"""),"Rekha bafna ")</f>
        <v>Rekha bafna </v>
      </c>
      <c r="C232" s="12" t="str">
        <f>IFERROR(__xludf.DUMMYFUNCTION("""COMPUTED_VALUE"""),"nishakotharijain@yahoo.com")</f>
        <v>nishakotharijain@yahoo.com</v>
      </c>
      <c r="D232" s="12" t="str">
        <f>IFERROR(__xludf.DUMMYFUNCTION("""COMPUTED_VALUE"""),"Adult")</f>
        <v>Adult</v>
      </c>
      <c r="E232" s="13">
        <f>IF(D232&lt;&gt;"",VLOOKUP(D232,Settings!$G$3:$H$6,2,false),"")</f>
        <v>2300</v>
      </c>
      <c r="F232" s="15" t="str">
        <f>IFERROR(__xludf.DUMMYFUNCTION("""COMPUTED_VALUE"""),"Relative")</f>
        <v>Relative</v>
      </c>
      <c r="G232" s="15" t="str">
        <f>IFERROR(__xludf.DUMMYFUNCTION("""COMPUTED_VALUE"""),"S.G.D.Group")</f>
        <v>S.G.D.Group</v>
      </c>
      <c r="H232" s="12" t="str">
        <f>IF(G232&lt;&gt;"",VLOOKUP(G232,Settings!$B$4:$C$35,2,false),"")</f>
        <v>Nidhi jain</v>
      </c>
      <c r="I232" s="12" t="str">
        <f>IFERROR(__xludf.DUMMYFUNCTION("""COMPUTED_VALUE"""),"")</f>
        <v/>
      </c>
      <c r="J232" s="15" t="s">
        <v>241</v>
      </c>
      <c r="K232" s="16"/>
      <c r="L232" s="3"/>
    </row>
    <row r="233">
      <c r="A233" s="17">
        <f t="shared" si="1"/>
        <v>231</v>
      </c>
      <c r="B233" s="12" t="str">
        <f>IFERROR(__xludf.DUMMYFUNCTION("""COMPUTED_VALUE"""),"Karthika")</f>
        <v>Karthika</v>
      </c>
      <c r="C233" s="12" t="str">
        <f>IFERROR(__xludf.DUMMYFUNCTION("""COMPUTED_VALUE"""),"karthikapvr@gmail.com")</f>
        <v>karthikapvr@gmail.com</v>
      </c>
      <c r="D233" s="12" t="str">
        <f>IFERROR(__xludf.DUMMYFUNCTION("""COMPUTED_VALUE"""),"Adult")</f>
        <v>Adult</v>
      </c>
      <c r="E233" s="13">
        <f>IF(D233&lt;&gt;"",VLOOKUP(D233,Settings!$G$3:$H$6,2,false),"")</f>
        <v>2300</v>
      </c>
      <c r="F233" s="15" t="str">
        <f>IFERROR(__xludf.DUMMYFUNCTION("""COMPUTED_VALUE"""),"Performer")</f>
        <v>Performer</v>
      </c>
      <c r="G233" s="15" t="str">
        <f>IFERROR(__xludf.DUMMYFUNCTION("""COMPUTED_VALUE"""),"Nrita Natya Dance Academy")</f>
        <v>Nrita Natya Dance Academy</v>
      </c>
      <c r="H233" s="12" t="str">
        <f>IF(G233&lt;&gt;"",VLOOKUP(G233,Settings!$B$4:$C$35,2,false),"")</f>
        <v>Deepasreekumar</v>
      </c>
      <c r="I233" s="15" t="str">
        <f>IFERROR(__xludf.DUMMYFUNCTION("""COMPUTED_VALUE"""),"")</f>
        <v/>
      </c>
      <c r="J233" s="15" t="s">
        <v>650</v>
      </c>
      <c r="K233" s="16"/>
      <c r="L233" s="6"/>
    </row>
    <row r="234">
      <c r="A234" s="17">
        <f t="shared" si="1"/>
        <v>232</v>
      </c>
      <c r="B234" s="12" t="str">
        <f>IFERROR(__xludf.DUMMYFUNCTION("""COMPUTED_VALUE"""),"Mali Shruti ")</f>
        <v>Mali Shruti </v>
      </c>
      <c r="C234" s="12" t="str">
        <f>IFERROR(__xludf.DUMMYFUNCTION("""COMPUTED_VALUE"""),"bhagyashreemali2005@gmail.com")</f>
        <v>bhagyashreemali2005@gmail.com</v>
      </c>
      <c r="D234" s="12" t="str">
        <f>IFERROR(__xludf.DUMMYFUNCTION("""COMPUTED_VALUE"""),"Adult")</f>
        <v>Adult</v>
      </c>
      <c r="E234" s="13">
        <f>IF(D234&lt;&gt;"",VLOOKUP(D234,Settings!$G$3:$H$6,2,false),"")</f>
        <v>2300</v>
      </c>
      <c r="F234" s="15" t="str">
        <f>IFERROR(__xludf.DUMMYFUNCTION("""COMPUTED_VALUE"""),"Relative")</f>
        <v>Relative</v>
      </c>
      <c r="G234" s="15" t="str">
        <f>IFERROR(__xludf.DUMMYFUNCTION("""COMPUTED_VALUE"""),"Classical Mermaids")</f>
        <v>Classical Mermaids</v>
      </c>
      <c r="H234" s="12" t="str">
        <f>IF(G234&lt;&gt;"",VLOOKUP(G234,Settings!$B$4:$C$35,2,false),"")</f>
        <v>Preetha</v>
      </c>
      <c r="I234" s="12" t="str">
        <f>IFERROR(__xludf.DUMMYFUNCTION("""COMPUTED_VALUE"""),"")</f>
        <v/>
      </c>
      <c r="J234" s="15" t="s">
        <v>470</v>
      </c>
      <c r="K234" s="16">
        <v>43401.0</v>
      </c>
      <c r="L234" s="3"/>
    </row>
    <row r="235">
      <c r="A235" s="17">
        <f t="shared" si="1"/>
        <v>233</v>
      </c>
      <c r="B235" s="12" t="str">
        <f>IFERROR(__xludf.DUMMYFUNCTION("""COMPUTED_VALUE"""),"Bhole vidya")</f>
        <v>Bhole vidya</v>
      </c>
      <c r="C235" s="12" t="str">
        <f>IFERROR(__xludf.DUMMYFUNCTION("""COMPUTED_VALUE"""),"vidyakolhe@gmail.com")</f>
        <v>vidyakolhe@gmail.com</v>
      </c>
      <c r="D235" s="12" t="str">
        <f>IFERROR(__xludf.DUMMYFUNCTION("""COMPUTED_VALUE"""),"Adult")</f>
        <v>Adult</v>
      </c>
      <c r="E235" s="13">
        <f>IF(D235&lt;&gt;"",VLOOKUP(D235,Settings!$G$3:$H$6,2,false),"")</f>
        <v>2300</v>
      </c>
      <c r="F235" s="15" t="str">
        <f>IFERROR(__xludf.DUMMYFUNCTION("""COMPUTED_VALUE"""),"Performer / Coordinator")</f>
        <v>Performer / Coordinator</v>
      </c>
      <c r="G235" s="15" t="str">
        <f>IFERROR(__xludf.DUMMYFUNCTION("""COMPUTED_VALUE"""),"Sparkle Queens")</f>
        <v>Sparkle Queens</v>
      </c>
      <c r="H235" s="12" t="str">
        <f>IF(G235&lt;&gt;"",VLOOKUP(G235,Settings!$B$4:$C$35,2,false),"")</f>
        <v>Vidya Bhole</v>
      </c>
      <c r="I235" s="12" t="str">
        <f>IFERROR(__xludf.DUMMYFUNCTION("""COMPUTED_VALUE"""),"")</f>
        <v/>
      </c>
      <c r="J235" s="15" t="s">
        <v>241</v>
      </c>
      <c r="K235" s="16"/>
      <c r="L235" s="3"/>
    </row>
    <row r="236">
      <c r="A236" s="181">
        <f t="shared" si="1"/>
        <v>234</v>
      </c>
      <c r="B236" s="182" t="str">
        <f>IFERROR(__xludf.DUMMYFUNCTION("""COMPUTED_VALUE"""),"Toshani Chatterjee")</f>
        <v>Toshani Chatterjee</v>
      </c>
      <c r="C236" s="182" t="str">
        <f>IFERROR(__xludf.DUMMYFUNCTION("""COMPUTED_VALUE"""),"moupia.m@gmail.com")</f>
        <v>moupia.m@gmail.com</v>
      </c>
      <c r="D236" s="182" t="str">
        <f>IFERROR(__xludf.DUMMYFUNCTION("""COMPUTED_VALUE"""),"Child")</f>
        <v>Child</v>
      </c>
      <c r="E236" s="183">
        <f>IF(D236&lt;&gt;"",VLOOKUP(D236,Settings!$G$3:$H$6,2,false),"")</f>
        <v>1200</v>
      </c>
      <c r="F236" s="166" t="str">
        <f>IFERROR(__xludf.DUMMYFUNCTION("""COMPUTED_VALUE"""),"Performer")</f>
        <v>Performer</v>
      </c>
      <c r="G236" s="166" t="str">
        <f>IFERROR(__xludf.DUMMYFUNCTION("""COMPUTED_VALUE"""),"Thalam - Brahmari School Of Dance")</f>
        <v>Thalam - Brahmari School Of Dance</v>
      </c>
      <c r="H236" s="182" t="str">
        <f>IF(G236&lt;&gt;"",VLOOKUP(G236,Settings!$B$4:$C$35,2,false),"")</f>
        <v>Resmi Joby</v>
      </c>
      <c r="I236" s="182" t="str">
        <f>IFERROR(__xludf.DUMMYFUNCTION("""COMPUTED_VALUE"""),"")</f>
        <v/>
      </c>
      <c r="J236" s="166" t="s">
        <v>470</v>
      </c>
      <c r="K236" s="187">
        <v>43401.0</v>
      </c>
      <c r="L236" s="164"/>
      <c r="M236" s="164" t="s">
        <v>806</v>
      </c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1"/>
    </row>
    <row r="237">
      <c r="A237" s="17">
        <f t="shared" si="1"/>
        <v>235</v>
      </c>
      <c r="B237" s="12" t="str">
        <f>IFERROR(__xludf.DUMMYFUNCTION("""COMPUTED_VALUE"""),"Bhole Harivansh ")</f>
        <v>Bhole Harivansh </v>
      </c>
      <c r="C237" s="12" t="str">
        <f>IFERROR(__xludf.DUMMYFUNCTION("""COMPUTED_VALUE"""),"vidyakolhe@gmail.com")</f>
        <v>vidyakolhe@gmail.com</v>
      </c>
      <c r="D237" s="12" t="str">
        <f>IFERROR(__xludf.DUMMYFUNCTION("""COMPUTED_VALUE"""),"Child")</f>
        <v>Child</v>
      </c>
      <c r="E237" s="13">
        <f>IF(D237&lt;&gt;"",VLOOKUP(D237,Settings!$G$3:$H$6,2,false),"")</f>
        <v>1200</v>
      </c>
      <c r="F237" s="15" t="str">
        <f>IFERROR(__xludf.DUMMYFUNCTION("""COMPUTED_VALUE"""),"Performer")</f>
        <v>Performer</v>
      </c>
      <c r="G237" s="15" t="str">
        <f>IFERROR(__xludf.DUMMYFUNCTION("""COMPUTED_VALUE"""),"Little Champions")</f>
        <v>Little Champions</v>
      </c>
      <c r="H237" s="12" t="str">
        <f>IF(G237&lt;&gt;"",VLOOKUP(G237,Settings!$B$4:$C$35,2,false),"")</f>
        <v>Vividha Bhopre</v>
      </c>
      <c r="I237" s="12" t="str">
        <f>IFERROR(__xludf.DUMMYFUNCTION("""COMPUTED_VALUE"""),"")</f>
        <v/>
      </c>
      <c r="J237" s="15" t="s">
        <v>241</v>
      </c>
      <c r="K237" s="16"/>
      <c r="L237" s="3"/>
    </row>
    <row r="238">
      <c r="A238" s="17">
        <f t="shared" si="1"/>
        <v>236</v>
      </c>
      <c r="B238" s="12" t="str">
        <f>IFERROR(__xludf.DUMMYFUNCTION("""COMPUTED_VALUE"""),"Bhole Prashant")</f>
        <v>Bhole Prashant</v>
      </c>
      <c r="C238" s="12" t="str">
        <f>IFERROR(__xludf.DUMMYFUNCTION("""COMPUTED_VALUE"""),"vidyakolhe@gmail.com")</f>
        <v>vidyakolhe@gmail.com</v>
      </c>
      <c r="D238" s="12" t="str">
        <f>IFERROR(__xludf.DUMMYFUNCTION("""COMPUTED_VALUE"""),"Adult")</f>
        <v>Adult</v>
      </c>
      <c r="E238" s="13">
        <f>IF(D238&lt;&gt;"",VLOOKUP(D238,Settings!$G$3:$H$6,2,false),"")</f>
        <v>2300</v>
      </c>
      <c r="F238" s="15" t="str">
        <f>IFERROR(__xludf.DUMMYFUNCTION("""COMPUTED_VALUE"""),"Relative")</f>
        <v>Relative</v>
      </c>
      <c r="G238" s="15" t="str">
        <f>IFERROR(__xludf.DUMMYFUNCTION("""COMPUTED_VALUE"""),"Little Champions")</f>
        <v>Little Champions</v>
      </c>
      <c r="H238" s="12" t="str">
        <f>IF(G238&lt;&gt;"",VLOOKUP(G238,Settings!$B$4:$C$35,2,false),"")</f>
        <v>Vividha Bhopre</v>
      </c>
      <c r="I238" s="12" t="str">
        <f>IFERROR(__xludf.DUMMYFUNCTION("""COMPUTED_VALUE"""),"")</f>
        <v/>
      </c>
      <c r="J238" s="15" t="s">
        <v>241</v>
      </c>
      <c r="K238" s="16"/>
      <c r="L238" s="3"/>
    </row>
    <row r="239">
      <c r="A239" s="17">
        <f t="shared" si="1"/>
        <v>237</v>
      </c>
      <c r="B239" s="12" t="str">
        <f>IFERROR(__xludf.DUMMYFUNCTION("""COMPUTED_VALUE"""),"Bhole galu")</f>
        <v>Bhole galu</v>
      </c>
      <c r="C239" s="12" t="str">
        <f>IFERROR(__xludf.DUMMYFUNCTION("""COMPUTED_VALUE"""),"vidyakolhe@gmail.com")</f>
        <v>vidyakolhe@gmail.com</v>
      </c>
      <c r="D239" s="12" t="str">
        <f>IFERROR(__xludf.DUMMYFUNCTION("""COMPUTED_VALUE"""),"Adult")</f>
        <v>Adult</v>
      </c>
      <c r="E239" s="13">
        <f>IF(D239&lt;&gt;"",VLOOKUP(D239,Settings!$G$3:$H$6,2,false),"")</f>
        <v>2300</v>
      </c>
      <c r="F239" s="15" t="str">
        <f>IFERROR(__xludf.DUMMYFUNCTION("""COMPUTED_VALUE"""),"Relative")</f>
        <v>Relative</v>
      </c>
      <c r="G239" s="15" t="str">
        <f>IFERROR(__xludf.DUMMYFUNCTION("""COMPUTED_VALUE"""),"Little Champions")</f>
        <v>Little Champions</v>
      </c>
      <c r="H239" s="12" t="str">
        <f>IF(G239&lt;&gt;"",VLOOKUP(G239,Settings!$B$4:$C$35,2,false),"")</f>
        <v>Vividha Bhopre</v>
      </c>
      <c r="I239" s="12" t="str">
        <f>IFERROR(__xludf.DUMMYFUNCTION("""COMPUTED_VALUE"""),"")</f>
        <v/>
      </c>
      <c r="J239" s="15" t="s">
        <v>241</v>
      </c>
      <c r="K239" s="12"/>
      <c r="L239" s="3"/>
    </row>
    <row r="240">
      <c r="A240" s="17">
        <f t="shared" si="1"/>
        <v>238</v>
      </c>
      <c r="B240" s="12" t="str">
        <f>IFERROR(__xludf.DUMMYFUNCTION("""COMPUTED_VALUE"""),"Bhole sudha")</f>
        <v>Bhole sudha</v>
      </c>
      <c r="C240" s="12" t="str">
        <f>IFERROR(__xludf.DUMMYFUNCTION("""COMPUTED_VALUE"""),"vidyakolhe@gmail.com")</f>
        <v>vidyakolhe@gmail.com</v>
      </c>
      <c r="D240" s="12" t="str">
        <f>IFERROR(__xludf.DUMMYFUNCTION("""COMPUTED_VALUE"""),"Adult")</f>
        <v>Adult</v>
      </c>
      <c r="E240" s="13">
        <f>IF(D240&lt;&gt;"",VLOOKUP(D240,Settings!$G$3:$H$6,2,false),"")</f>
        <v>2300</v>
      </c>
      <c r="F240" s="15" t="str">
        <f>IFERROR(__xludf.DUMMYFUNCTION("""COMPUTED_VALUE"""),"Relative")</f>
        <v>Relative</v>
      </c>
      <c r="G240" s="15" t="str">
        <f>IFERROR(__xludf.DUMMYFUNCTION("""COMPUTED_VALUE"""),"Little Champions")</f>
        <v>Little Champions</v>
      </c>
      <c r="H240" s="12" t="str">
        <f>IF(G240&lt;&gt;"",VLOOKUP(G240,Settings!$B$4:$C$35,2,false),"")</f>
        <v>Vividha Bhopre</v>
      </c>
      <c r="I240" s="12" t="str">
        <f>IFERROR(__xludf.DUMMYFUNCTION("""COMPUTED_VALUE"""),"")</f>
        <v/>
      </c>
      <c r="J240" s="15" t="s">
        <v>241</v>
      </c>
      <c r="K240" s="12"/>
      <c r="L240" s="3"/>
    </row>
    <row r="241">
      <c r="A241" s="17">
        <f t="shared" si="1"/>
        <v>239</v>
      </c>
      <c r="B241" s="12" t="str">
        <f>IFERROR(__xludf.DUMMYFUNCTION("""COMPUTED_VALUE"""),"Seethal Raj")</f>
        <v>Seethal Raj</v>
      </c>
      <c r="C241" s="12" t="str">
        <f>IFERROR(__xludf.DUMMYFUNCTION("""COMPUTED_VALUE"""),"seethalraj892014@gmail.com")</f>
        <v>seethalraj892014@gmail.com</v>
      </c>
      <c r="D241" s="12" t="str">
        <f>IFERROR(__xludf.DUMMYFUNCTION("""COMPUTED_VALUE"""),"Adult")</f>
        <v>Adult</v>
      </c>
      <c r="E241" s="13">
        <f>IF(D241&lt;&gt;"",VLOOKUP(D241,Settings!$G$3:$H$6,2,false),"")</f>
        <v>2300</v>
      </c>
      <c r="F241" s="15" t="str">
        <f>IFERROR(__xludf.DUMMYFUNCTION("""COMPUTED_VALUE"""),"Performer")</f>
        <v>Performer</v>
      </c>
      <c r="G241" s="15" t="str">
        <f>IFERROR(__xludf.DUMMYFUNCTION("""COMPUTED_VALUE"""),"Nrita Natya Dance Academy")</f>
        <v>Nrita Natya Dance Academy</v>
      </c>
      <c r="H241" s="12" t="str">
        <f>IF(G241&lt;&gt;"",VLOOKUP(G241,Settings!$B$4:$C$35,2,false),"")</f>
        <v>Deepasreekumar</v>
      </c>
      <c r="I241" s="12" t="str">
        <f>IFERROR(__xludf.DUMMYFUNCTION("""COMPUTED_VALUE"""),"")</f>
        <v/>
      </c>
      <c r="J241" s="15" t="s">
        <v>650</v>
      </c>
      <c r="K241" s="12"/>
      <c r="L241" s="6"/>
    </row>
    <row r="242" hidden="1">
      <c r="A242" s="17">
        <f t="shared" si="1"/>
        <v>240</v>
      </c>
      <c r="B242" s="12" t="str">
        <f>IFERROR(__xludf.DUMMYFUNCTION("""COMPUTED_VALUE"""),"Ajeeth Kumar K")</f>
        <v>Ajeeth Kumar K</v>
      </c>
      <c r="C242" s="12" t="str">
        <f>IFERROR(__xludf.DUMMYFUNCTION("""COMPUTED_VALUE"""),"seethalraj892014@gmail.com")</f>
        <v>seethalraj892014@gmail.com</v>
      </c>
      <c r="D242" s="12" t="str">
        <f>IFERROR(__xludf.DUMMYFUNCTION("""COMPUTED_VALUE"""),"Adult")</f>
        <v>Adult</v>
      </c>
      <c r="E242" s="13">
        <f>IF(D242&lt;&gt;"",VLOOKUP(D242,Settings!$G$3:$H$6,2,false),"")</f>
        <v>2300</v>
      </c>
      <c r="F242" s="15" t="str">
        <f>IFERROR(__xludf.DUMMYFUNCTION("""COMPUTED_VALUE"""),"Relative")</f>
        <v>Relative</v>
      </c>
      <c r="G242" s="15" t="str">
        <f>IFERROR(__xludf.DUMMYFUNCTION("""COMPUTED_VALUE"""),"Nrita Natya Dance Academy")</f>
        <v>Nrita Natya Dance Academy</v>
      </c>
      <c r="H242" s="12" t="str">
        <f>IF(G242&lt;&gt;"",VLOOKUP(G242,Settings!$B$4:$C$35,2,false),"")</f>
        <v>Deepasreekumar</v>
      </c>
      <c r="I242" s="12" t="str">
        <f>IFERROR(__xludf.DUMMYFUNCTION("""COMPUTED_VALUE"""),"")</f>
        <v/>
      </c>
      <c r="J242" s="15"/>
      <c r="K242" s="12"/>
      <c r="L242" s="6" t="s">
        <v>592</v>
      </c>
    </row>
    <row r="243">
      <c r="A243" s="17">
        <f t="shared" si="1"/>
        <v>241</v>
      </c>
      <c r="B243" s="12" t="str">
        <f>IFERROR(__xludf.DUMMYFUNCTION("""COMPUTED_VALUE"""),"SathishVidhya Shrijaan ")</f>
        <v>SathishVidhya Shrijaan </v>
      </c>
      <c r="C243" s="12" t="str">
        <f>IFERROR(__xludf.DUMMYFUNCTION("""COMPUTED_VALUE"""),"jvnr10dec@gmail.com")</f>
        <v>jvnr10dec@gmail.com</v>
      </c>
      <c r="D243" s="12" t="str">
        <f>IFERROR(__xludf.DUMMYFUNCTION("""COMPUTED_VALUE"""),"Child")</f>
        <v>Child</v>
      </c>
      <c r="E243" s="13">
        <f>IF(D243&lt;&gt;"",VLOOKUP(D243,Settings!$G$3:$H$6,2,false),"")</f>
        <v>1200</v>
      </c>
      <c r="F243" s="15" t="str">
        <f>IFERROR(__xludf.DUMMYFUNCTION("""COMPUTED_VALUE"""),"Performer")</f>
        <v>Performer</v>
      </c>
      <c r="G243" s="15" t="str">
        <f>IFERROR(__xludf.DUMMYFUNCTION("""COMPUTED_VALUE"""),"Little Champions")</f>
        <v>Little Champions</v>
      </c>
      <c r="H243" s="12" t="str">
        <f>IF(G243&lt;&gt;"",VLOOKUP(G243,Settings!$B$4:$C$35,2,false),"")</f>
        <v>Vividha Bhopre</v>
      </c>
      <c r="I243" s="12" t="str">
        <f>IFERROR(__xludf.DUMMYFUNCTION("""COMPUTED_VALUE"""),"")</f>
        <v/>
      </c>
      <c r="J243" s="15" t="s">
        <v>241</v>
      </c>
      <c r="K243" s="12"/>
      <c r="L243" s="3"/>
    </row>
    <row r="244">
      <c r="A244" s="17">
        <f t="shared" si="1"/>
        <v>242</v>
      </c>
      <c r="B244" s="12" t="str">
        <f>IFERROR(__xludf.DUMMYFUNCTION("""COMPUTED_VALUE"""),"Tarun Mohta")</f>
        <v>Tarun Mohta</v>
      </c>
      <c r="C244" s="12" t="str">
        <f>IFERROR(__xludf.DUMMYFUNCTION("""COMPUTED_VALUE"""),"tarun.mohta@gmail.com")</f>
        <v>tarun.mohta@gmail.com</v>
      </c>
      <c r="D244" s="12" t="str">
        <f>IFERROR(__xludf.DUMMYFUNCTION("""COMPUTED_VALUE"""),"Adult")</f>
        <v>Adult</v>
      </c>
      <c r="E244" s="13">
        <f>IF(D244&lt;&gt;"",VLOOKUP(D244,Settings!$G$3:$H$6,2,false),"")</f>
        <v>2300</v>
      </c>
      <c r="F244" s="15" t="str">
        <f>IFERROR(__xludf.DUMMYFUNCTION("""COMPUTED_VALUE"""),"Relative")</f>
        <v>Relative</v>
      </c>
      <c r="G244" s="15" t="str">
        <f>IFERROR(__xludf.DUMMYFUNCTION("""COMPUTED_VALUE"""),"My Group")</f>
        <v>My Group</v>
      </c>
      <c r="H244" s="12" t="str">
        <f>IF(G244&lt;&gt;"",VLOOKUP(G244,Settings!$B$4:$C$35,2,false),"")</f>
        <v>OIOC</v>
      </c>
      <c r="I244" s="12" t="str">
        <f>IFERROR(__xludf.DUMMYFUNCTION("""COMPUTED_VALUE"""),"")</f>
        <v/>
      </c>
      <c r="J244" s="15" t="s">
        <v>686</v>
      </c>
      <c r="K244" s="16"/>
      <c r="L244" s="3"/>
    </row>
    <row r="245">
      <c r="A245" s="17">
        <f t="shared" si="1"/>
        <v>243</v>
      </c>
      <c r="B245" s="12" t="str">
        <f>IFERROR(__xludf.DUMMYFUNCTION("""COMPUTED_VALUE"""),"Pratima Mohta")</f>
        <v>Pratima Mohta</v>
      </c>
      <c r="C245" s="12" t="str">
        <f>IFERROR(__xludf.DUMMYFUNCTION("""COMPUTED_VALUE"""),"tarun.mohta@gmail.com")</f>
        <v>tarun.mohta@gmail.com</v>
      </c>
      <c r="D245" s="12" t="str">
        <f>IFERROR(__xludf.DUMMYFUNCTION("""COMPUTED_VALUE"""),"Adult")</f>
        <v>Adult</v>
      </c>
      <c r="E245" s="13">
        <f>IF(D245&lt;&gt;"",VLOOKUP(D245,Settings!$G$3:$H$6,2,false),"")</f>
        <v>2300</v>
      </c>
      <c r="F245" s="15" t="str">
        <f>IFERROR(__xludf.DUMMYFUNCTION("""COMPUTED_VALUE"""),"Relative")</f>
        <v>Relative</v>
      </c>
      <c r="G245" s="15" t="str">
        <f>IFERROR(__xludf.DUMMYFUNCTION("""COMPUTED_VALUE"""),"My Group")</f>
        <v>My Group</v>
      </c>
      <c r="H245" s="12" t="str">
        <f>IF(G245&lt;&gt;"",VLOOKUP(G245,Settings!$B$4:$C$35,2,false),"")</f>
        <v>OIOC</v>
      </c>
      <c r="I245" s="12" t="str">
        <f>IFERROR(__xludf.DUMMYFUNCTION("""COMPUTED_VALUE"""),"")</f>
        <v/>
      </c>
      <c r="J245" s="15" t="s">
        <v>686</v>
      </c>
      <c r="K245" s="16"/>
      <c r="L245" s="3"/>
    </row>
    <row r="246">
      <c r="A246" s="17">
        <f t="shared" si="1"/>
        <v>244</v>
      </c>
      <c r="B246" s="12" t="str">
        <f>IFERROR(__xludf.DUMMYFUNCTION("""COMPUTED_VALUE"""),"Vinod Devjeeth ")</f>
        <v>Vinod Devjeeth </v>
      </c>
      <c r="C246" s="12" t="str">
        <f>IFERROR(__xludf.DUMMYFUNCTION("""COMPUTED_VALUE"""),"lekshmi.vinod@gmail.com")</f>
        <v>lekshmi.vinod@gmail.com</v>
      </c>
      <c r="D246" s="12" t="str">
        <f>IFERROR(__xludf.DUMMYFUNCTION("""COMPUTED_VALUE"""),"Child")</f>
        <v>Child</v>
      </c>
      <c r="E246" s="13">
        <f>IF(D246&lt;&gt;"",VLOOKUP(D246,Settings!$G$3:$H$6,2,false),"")</f>
        <v>1200</v>
      </c>
      <c r="F246" s="15" t="str">
        <f>IFERROR(__xludf.DUMMYFUNCTION("""COMPUTED_VALUE"""),"Relative")</f>
        <v>Relative</v>
      </c>
      <c r="G246" s="15" t="str">
        <f>IFERROR(__xludf.DUMMYFUNCTION("""COMPUTED_VALUE"""),"Classical Mermaids")</f>
        <v>Classical Mermaids</v>
      </c>
      <c r="H246" s="12" t="str">
        <f>IF(G246&lt;&gt;"",VLOOKUP(G246,Settings!$B$4:$C$35,2,false),"")</f>
        <v>Preetha</v>
      </c>
      <c r="I246" s="12" t="str">
        <f>IFERROR(__xludf.DUMMYFUNCTION("""COMPUTED_VALUE"""),"")</f>
        <v/>
      </c>
      <c r="J246" s="15" t="s">
        <v>470</v>
      </c>
      <c r="K246" s="16">
        <v>43401.0</v>
      </c>
      <c r="L246" s="3"/>
    </row>
    <row r="247">
      <c r="A247" s="17">
        <f t="shared" si="1"/>
        <v>245</v>
      </c>
      <c r="B247" s="12" t="str">
        <f>IFERROR(__xludf.DUMMYFUNCTION("""COMPUTED_VALUE"""),"Advitha Parikipandla")</f>
        <v>Advitha Parikipandla</v>
      </c>
      <c r="C247" s="12" t="str">
        <f>IFERROR(__xludf.DUMMYFUNCTION("""COMPUTED_VALUE"""),"priyanka.silivery@gmail.com")</f>
        <v>priyanka.silivery@gmail.com</v>
      </c>
      <c r="D247" s="12" t="str">
        <f>IFERROR(__xludf.DUMMYFUNCTION("""COMPUTED_VALUE"""),"Child")</f>
        <v>Child</v>
      </c>
      <c r="E247" s="13">
        <f>IF(D247&lt;&gt;"",VLOOKUP(D247,Settings!$G$3:$H$6,2,false),"")</f>
        <v>1200</v>
      </c>
      <c r="F247" s="15" t="str">
        <f>IFERROR(__xludf.DUMMYFUNCTION("""COMPUTED_VALUE"""),"Performer")</f>
        <v>Performer</v>
      </c>
      <c r="G247" s="15" t="str">
        <f>IFERROR(__xludf.DUMMYFUNCTION("""COMPUTED_VALUE"""),"The Dazzlers")</f>
        <v>The Dazzlers</v>
      </c>
      <c r="H247" s="12" t="str">
        <f>IF(G247&lt;&gt;"",VLOOKUP(G247,Settings!$B$4:$C$35,2,false),"")</f>
        <v>Mousumi Moharana</v>
      </c>
      <c r="I247" s="12" t="str">
        <f>IFERROR(__xludf.DUMMYFUNCTION("""COMPUTED_VALUE"""),"")</f>
        <v/>
      </c>
      <c r="J247" s="15" t="s">
        <v>470</v>
      </c>
      <c r="K247" s="16">
        <v>43399.0</v>
      </c>
      <c r="L247" s="3"/>
    </row>
    <row r="248">
      <c r="A248" s="17">
        <f t="shared" si="1"/>
        <v>246</v>
      </c>
      <c r="B248" s="12" t="str">
        <f>IFERROR(__xludf.DUMMYFUNCTION("""COMPUTED_VALUE"""),"Priyanka Parikipandla")</f>
        <v>Priyanka Parikipandla</v>
      </c>
      <c r="C248" s="12" t="str">
        <f>IFERROR(__xludf.DUMMYFUNCTION("""COMPUTED_VALUE"""),"priyanka.silivery@gmail.com")</f>
        <v>priyanka.silivery@gmail.com</v>
      </c>
      <c r="D248" s="12" t="str">
        <f>IFERROR(__xludf.DUMMYFUNCTION("""COMPUTED_VALUE"""),"Adult")</f>
        <v>Adult</v>
      </c>
      <c r="E248" s="13">
        <f>IF(D248&lt;&gt;"",VLOOKUP(D248,Settings!$G$3:$H$6,2,false),"")</f>
        <v>2300</v>
      </c>
      <c r="F248" s="15" t="str">
        <f>IFERROR(__xludf.DUMMYFUNCTION("""COMPUTED_VALUE"""),"Relative")</f>
        <v>Relative</v>
      </c>
      <c r="G248" s="15" t="str">
        <f>IFERROR(__xludf.DUMMYFUNCTION("""COMPUTED_VALUE"""),"The Dazzlers")</f>
        <v>The Dazzlers</v>
      </c>
      <c r="H248" s="12" t="str">
        <f>IF(G248&lt;&gt;"",VLOOKUP(G248,Settings!$B$4:$C$35,2,false),"")</f>
        <v>Mousumi Moharana</v>
      </c>
      <c r="I248" s="12" t="str">
        <f>IFERROR(__xludf.DUMMYFUNCTION("""COMPUTED_VALUE"""),"")</f>
        <v/>
      </c>
      <c r="J248" s="15" t="s">
        <v>470</v>
      </c>
      <c r="K248" s="16">
        <v>43399.0</v>
      </c>
      <c r="L248" s="3"/>
    </row>
    <row r="249">
      <c r="A249" s="17">
        <f t="shared" si="1"/>
        <v>247</v>
      </c>
      <c r="B249" s="12" t="str">
        <f>IFERROR(__xludf.DUMMYFUNCTION("""COMPUTED_VALUE"""),"Ajaykumar Parikipandla")</f>
        <v>Ajaykumar Parikipandla</v>
      </c>
      <c r="C249" s="12" t="str">
        <f>IFERROR(__xludf.DUMMYFUNCTION("""COMPUTED_VALUE"""),"priyanka.silivery@gmail.com")</f>
        <v>priyanka.silivery@gmail.com</v>
      </c>
      <c r="D249" s="12" t="str">
        <f>IFERROR(__xludf.DUMMYFUNCTION("""COMPUTED_VALUE"""),"Adult")</f>
        <v>Adult</v>
      </c>
      <c r="E249" s="13">
        <f>IF(D249&lt;&gt;"",VLOOKUP(D249,Settings!$G$3:$H$6,2,false),"")</f>
        <v>2300</v>
      </c>
      <c r="F249" s="15" t="str">
        <f>IFERROR(__xludf.DUMMYFUNCTION("""COMPUTED_VALUE"""),"Relative")</f>
        <v>Relative</v>
      </c>
      <c r="G249" s="15" t="str">
        <f>IFERROR(__xludf.DUMMYFUNCTION("""COMPUTED_VALUE"""),"The Dazzlers")</f>
        <v>The Dazzlers</v>
      </c>
      <c r="H249" s="12" t="str">
        <f>IF(G249&lt;&gt;"",VLOOKUP(G249,Settings!$B$4:$C$35,2,false),"")</f>
        <v>Mousumi Moharana</v>
      </c>
      <c r="I249" s="12" t="str">
        <f>IFERROR(__xludf.DUMMYFUNCTION("""COMPUTED_VALUE"""),"")</f>
        <v/>
      </c>
      <c r="J249" s="15" t="s">
        <v>470</v>
      </c>
      <c r="K249" s="16">
        <v>43399.0</v>
      </c>
      <c r="L249" s="6"/>
    </row>
    <row r="250">
      <c r="A250" s="17">
        <f t="shared" si="1"/>
        <v>248</v>
      </c>
      <c r="B250" s="12" t="str">
        <f>IFERROR(__xludf.DUMMYFUNCTION("""COMPUTED_VALUE"""),"Srija Reddy")</f>
        <v>Srija Reddy</v>
      </c>
      <c r="C250" s="12" t="str">
        <f>IFERROR(__xludf.DUMMYFUNCTION("""COMPUTED_VALUE"""),"salita_r@yahoo.co.in")</f>
        <v>salita_r@yahoo.co.in</v>
      </c>
      <c r="D250" s="12" t="str">
        <f>IFERROR(__xludf.DUMMYFUNCTION("""COMPUTED_VALUE"""),"Adult")</f>
        <v>Adult</v>
      </c>
      <c r="E250" s="13">
        <f>IF(D250&lt;&gt;"",VLOOKUP(D250,Settings!$G$3:$H$6,2,false),"")</f>
        <v>2300</v>
      </c>
      <c r="F250" s="15" t="str">
        <f>IFERROR(__xludf.DUMMYFUNCTION("""COMPUTED_VALUE"""),"Performer")</f>
        <v>Performer</v>
      </c>
      <c r="G250" s="15" t="str">
        <f>IFERROR(__xludf.DUMMYFUNCTION("""COMPUTED_VALUE"""),"Rockstar Divas")</f>
        <v>Rockstar Divas</v>
      </c>
      <c r="H250" s="12" t="str">
        <f>IF(G250&lt;&gt;"",VLOOKUP(G250,Settings!$B$4:$C$35,2,false),"")</f>
        <v>Nayana Attarde</v>
      </c>
      <c r="I250" s="12" t="str">
        <f>IFERROR(__xludf.DUMMYFUNCTION("""COMPUTED_VALUE"""),"")</f>
        <v/>
      </c>
      <c r="J250" s="15" t="s">
        <v>241</v>
      </c>
      <c r="K250" s="16"/>
      <c r="L250" s="3"/>
    </row>
    <row r="251">
      <c r="A251" s="17">
        <f t="shared" si="1"/>
        <v>249</v>
      </c>
      <c r="B251" s="12" t="str">
        <f>IFERROR(__xludf.DUMMYFUNCTION("""COMPUTED_VALUE"""),"Amol Shelar")</f>
        <v>Amol Shelar</v>
      </c>
      <c r="C251" s="12" t="str">
        <f>IFERROR(__xludf.DUMMYFUNCTION("""COMPUTED_VALUE"""),"sarika.pinky84@gmail.com")</f>
        <v>sarika.pinky84@gmail.com</v>
      </c>
      <c r="D251" s="12" t="str">
        <f>IFERROR(__xludf.DUMMYFUNCTION("""COMPUTED_VALUE"""),"Adult")</f>
        <v>Adult</v>
      </c>
      <c r="E251" s="13">
        <f>IF(D251&lt;&gt;"",VLOOKUP(D251,Settings!$G$3:$H$6,2,false),"")</f>
        <v>2300</v>
      </c>
      <c r="F251" s="15" t="str">
        <f>IFERROR(__xludf.DUMMYFUNCTION("""COMPUTED_VALUE"""),"Relative")</f>
        <v>Relative</v>
      </c>
      <c r="G251" s="15" t="str">
        <f>IFERROR(__xludf.DUMMYFUNCTION("""COMPUTED_VALUE"""),"Blooming Flowers")</f>
        <v>Blooming Flowers</v>
      </c>
      <c r="H251" s="12" t="str">
        <f>IF(G251&lt;&gt;"",VLOOKUP(G251,Settings!$B$4:$C$35,2,false),"")</f>
        <v>Amita Deshpande</v>
      </c>
      <c r="I251" s="12" t="str">
        <f>IFERROR(__xludf.DUMMYFUNCTION("""COMPUTED_VALUE"""),"")</f>
        <v/>
      </c>
      <c r="J251" s="15" t="s">
        <v>241</v>
      </c>
      <c r="K251" s="16"/>
      <c r="L251" s="3"/>
    </row>
    <row r="252">
      <c r="A252" s="17">
        <f t="shared" si="1"/>
        <v>250</v>
      </c>
      <c r="B252" s="12" t="str">
        <f>IFERROR(__xludf.DUMMYFUNCTION("""COMPUTED_VALUE"""),"Sarika Shelar")</f>
        <v>Sarika Shelar</v>
      </c>
      <c r="C252" s="12" t="str">
        <f>IFERROR(__xludf.DUMMYFUNCTION("""COMPUTED_VALUE"""),"sarika.pinky84@gmail.com")</f>
        <v>sarika.pinky84@gmail.com</v>
      </c>
      <c r="D252" s="12" t="str">
        <f>IFERROR(__xludf.DUMMYFUNCTION("""COMPUTED_VALUE"""),"Adult")</f>
        <v>Adult</v>
      </c>
      <c r="E252" s="13">
        <f>IF(D252&lt;&gt;"",VLOOKUP(D252,Settings!$G$3:$H$6,2,false),"")</f>
        <v>2300</v>
      </c>
      <c r="F252" s="15" t="str">
        <f>IFERROR(__xludf.DUMMYFUNCTION("""COMPUTED_VALUE"""),"Performer")</f>
        <v>Performer</v>
      </c>
      <c r="G252" s="15" t="str">
        <f>IFERROR(__xludf.DUMMYFUNCTION("""COMPUTED_VALUE"""),"Sparkle Queens")</f>
        <v>Sparkle Queens</v>
      </c>
      <c r="H252" s="12" t="str">
        <f>IF(G252&lt;&gt;"",VLOOKUP(G252,Settings!$B$4:$C$35,2,false),"")</f>
        <v>Vidya Bhole</v>
      </c>
      <c r="I252" s="12" t="str">
        <f>IFERROR(__xludf.DUMMYFUNCTION("""COMPUTED_VALUE"""),"")</f>
        <v/>
      </c>
      <c r="J252" s="15" t="s">
        <v>241</v>
      </c>
      <c r="K252" s="12"/>
      <c r="L252" s="3"/>
    </row>
    <row r="253">
      <c r="A253" s="17">
        <f t="shared" si="1"/>
        <v>251</v>
      </c>
      <c r="B253" s="12" t="str">
        <f>IFERROR(__xludf.DUMMYFUNCTION("""COMPUTED_VALUE"""),"Aarushi Shelar")</f>
        <v>Aarushi Shelar</v>
      </c>
      <c r="C253" s="12" t="str">
        <f>IFERROR(__xludf.DUMMYFUNCTION("""COMPUTED_VALUE"""),"sarika.pinky84@gmail.com")</f>
        <v>sarika.pinky84@gmail.com</v>
      </c>
      <c r="D253" s="12" t="str">
        <f>IFERROR(__xludf.DUMMYFUNCTION("""COMPUTED_VALUE"""),"Child")</f>
        <v>Child</v>
      </c>
      <c r="E253" s="13">
        <f>IF(D253&lt;&gt;"",VLOOKUP(D253,Settings!$G$3:$H$6,2,false),"")</f>
        <v>1200</v>
      </c>
      <c r="F253" s="15" t="str">
        <f>IFERROR(__xludf.DUMMYFUNCTION("""COMPUTED_VALUE"""),"Performer")</f>
        <v>Performer</v>
      </c>
      <c r="G253" s="15" t="str">
        <f>IFERROR(__xludf.DUMMYFUNCTION("""COMPUTED_VALUE"""),"Blooming Flowers")</f>
        <v>Blooming Flowers</v>
      </c>
      <c r="H253" s="12" t="str">
        <f>IF(G253&lt;&gt;"",VLOOKUP(G253,Settings!$B$4:$C$35,2,false),"")</f>
        <v>Amita Deshpande</v>
      </c>
      <c r="I253" s="12" t="str">
        <f>IFERROR(__xludf.DUMMYFUNCTION("""COMPUTED_VALUE"""),"")</f>
        <v/>
      </c>
      <c r="J253" s="15" t="s">
        <v>241</v>
      </c>
      <c r="K253" s="12"/>
      <c r="L253" s="3"/>
    </row>
    <row r="254">
      <c r="A254" s="17">
        <f t="shared" si="1"/>
        <v>252</v>
      </c>
      <c r="B254" s="12" t="str">
        <f>IFERROR(__xludf.DUMMYFUNCTION("""COMPUTED_VALUE"""),"Shreyas Reddy")</f>
        <v>Shreyas Reddy</v>
      </c>
      <c r="C254" s="12" t="str">
        <f>IFERROR(__xludf.DUMMYFUNCTION("""COMPUTED_VALUE"""),"salita_r@yahoo.co.in")</f>
        <v>salita_r@yahoo.co.in</v>
      </c>
      <c r="D254" s="12" t="str">
        <f>IFERROR(__xludf.DUMMYFUNCTION("""COMPUTED_VALUE"""),"Adult")</f>
        <v>Adult</v>
      </c>
      <c r="E254" s="13">
        <f>IF(D254&lt;&gt;"",VLOOKUP(D254,Settings!$G$3:$H$6,2,false),"")</f>
        <v>2300</v>
      </c>
      <c r="F254" s="15" t="str">
        <f>IFERROR(__xludf.DUMMYFUNCTION("""COMPUTED_VALUE"""),"Relative")</f>
        <v>Relative</v>
      </c>
      <c r="G254" s="15" t="str">
        <f>IFERROR(__xludf.DUMMYFUNCTION("""COMPUTED_VALUE"""),"Rockstar Divas")</f>
        <v>Rockstar Divas</v>
      </c>
      <c r="H254" s="12" t="str">
        <f>IF(G254&lt;&gt;"",VLOOKUP(G254,Settings!$B$4:$C$35,2,false),"")</f>
        <v>Nayana Attarde</v>
      </c>
      <c r="I254" s="12" t="str">
        <f>IFERROR(__xludf.DUMMYFUNCTION("""COMPUTED_VALUE"""),"")</f>
        <v/>
      </c>
      <c r="J254" s="15" t="s">
        <v>241</v>
      </c>
      <c r="K254" s="12"/>
      <c r="L254" s="3"/>
    </row>
    <row r="255">
      <c r="A255" s="17">
        <f t="shared" si="1"/>
        <v>253</v>
      </c>
      <c r="B255" s="12" t="str">
        <f>IFERROR(__xludf.DUMMYFUNCTION("""COMPUTED_VALUE"""),"Salitha")</f>
        <v>Salitha</v>
      </c>
      <c r="C255" s="12" t="str">
        <f>IFERROR(__xludf.DUMMYFUNCTION("""COMPUTED_VALUE"""),"salita_r@yahoo.co.in")</f>
        <v>salita_r@yahoo.co.in</v>
      </c>
      <c r="D255" s="12" t="str">
        <f>IFERROR(__xludf.DUMMYFUNCTION("""COMPUTED_VALUE"""),"Adult")</f>
        <v>Adult</v>
      </c>
      <c r="E255" s="13">
        <f>IF(D255&lt;&gt;"",VLOOKUP(D255,Settings!$G$3:$H$6,2,false),"")</f>
        <v>2300</v>
      </c>
      <c r="F255" s="15" t="str">
        <f>IFERROR(__xludf.DUMMYFUNCTION("""COMPUTED_VALUE"""),"Relative")</f>
        <v>Relative</v>
      </c>
      <c r="G255" s="15" t="str">
        <f>IFERROR(__xludf.DUMMYFUNCTION("""COMPUTED_VALUE"""),"Rockstar Divas")</f>
        <v>Rockstar Divas</v>
      </c>
      <c r="H255" s="12" t="str">
        <f>IF(G255&lt;&gt;"",VLOOKUP(G255,Settings!$B$4:$C$35,2,false),"")</f>
        <v>Nayana Attarde</v>
      </c>
      <c r="I255" s="12" t="str">
        <f>IFERROR(__xludf.DUMMYFUNCTION("""COMPUTED_VALUE"""),"")</f>
        <v/>
      </c>
      <c r="J255" s="15" t="s">
        <v>241</v>
      </c>
      <c r="K255" s="12"/>
      <c r="L255" s="3"/>
    </row>
    <row r="256" hidden="1">
      <c r="A256" s="17">
        <f t="shared" si="1"/>
        <v>254</v>
      </c>
      <c r="B256" s="12" t="str">
        <f>IFERROR(__xludf.DUMMYFUNCTION("""COMPUTED_VALUE"""),"Venkat gandhi")</f>
        <v>Venkat gandhi</v>
      </c>
      <c r="C256" s="12" t="str">
        <f>IFERROR(__xludf.DUMMYFUNCTION("""COMPUTED_VALUE"""),"salita_r@yahoo.co.in")</f>
        <v>salita_r@yahoo.co.in</v>
      </c>
      <c r="D256" s="12" t="str">
        <f>IFERROR(__xludf.DUMMYFUNCTION("""COMPUTED_VALUE"""),"Adult")</f>
        <v>Adult</v>
      </c>
      <c r="E256" s="13">
        <f>IF(D256&lt;&gt;"",VLOOKUP(D256,Settings!$G$3:$H$6,2,false),"")</f>
        <v>2300</v>
      </c>
      <c r="F256" s="15" t="str">
        <f>IFERROR(__xludf.DUMMYFUNCTION("""COMPUTED_VALUE"""),"Relative")</f>
        <v>Relative</v>
      </c>
      <c r="G256" s="15" t="str">
        <f>IFERROR(__xludf.DUMMYFUNCTION("""COMPUTED_VALUE"""),"Rockstar Divas")</f>
        <v>Rockstar Divas</v>
      </c>
      <c r="H256" s="12" t="str">
        <f>IF(G256&lt;&gt;"",VLOOKUP(G256,Settings!$B$4:$C$35,2,false),"")</f>
        <v>Nayana Attarde</v>
      </c>
      <c r="I256" s="12" t="str">
        <f>IFERROR(__xludf.DUMMYFUNCTION("""COMPUTED_VALUE"""),"")</f>
        <v/>
      </c>
      <c r="J256" s="15"/>
      <c r="K256" s="16"/>
      <c r="L256" s="6" t="s">
        <v>592</v>
      </c>
    </row>
    <row r="257" hidden="1">
      <c r="A257" s="17">
        <f t="shared" si="1"/>
        <v>255</v>
      </c>
      <c r="B257" s="12" t="str">
        <f>IFERROR(__xludf.DUMMYFUNCTION("""COMPUTED_VALUE"""),"Mali Shruti ")</f>
        <v>Mali Shruti </v>
      </c>
      <c r="C257" s="12" t="str">
        <f>IFERROR(__xludf.DUMMYFUNCTION("""COMPUTED_VALUE"""),"bhagyashreemali2005@gmail.com")</f>
        <v>bhagyashreemali2005@gmail.com</v>
      </c>
      <c r="D257" s="12" t="str">
        <f>IFERROR(__xludf.DUMMYFUNCTION("""COMPUTED_VALUE"""),"Adult")</f>
        <v>Adult</v>
      </c>
      <c r="E257" s="13">
        <f>IF(D257&lt;&gt;"",VLOOKUP(D257,Settings!$G$3:$H$6,2,false),"")</f>
        <v>2300</v>
      </c>
      <c r="F257" s="15" t="str">
        <f>IFERROR(__xludf.DUMMYFUNCTION("""COMPUTED_VALUE"""),"Relative")</f>
        <v>Relative</v>
      </c>
      <c r="G257" s="15" t="str">
        <f>IFERROR(__xludf.DUMMYFUNCTION("""COMPUTED_VALUE"""),"Classical Mermaids")</f>
        <v>Classical Mermaids</v>
      </c>
      <c r="H257" s="12" t="str">
        <f>IF(G257&lt;&gt;"",VLOOKUP(G257,Settings!$B$4:$C$35,2,false),"")</f>
        <v>Preetha</v>
      </c>
      <c r="I257" s="12" t="str">
        <f>IFERROR(__xludf.DUMMYFUNCTION("""COMPUTED_VALUE"""),"")</f>
        <v/>
      </c>
      <c r="J257" s="15"/>
      <c r="K257" s="16"/>
      <c r="L257" s="6" t="s">
        <v>592</v>
      </c>
    </row>
    <row r="258">
      <c r="A258" s="17">
        <f t="shared" si="1"/>
        <v>256</v>
      </c>
      <c r="B258" s="12" t="str">
        <f>IFERROR(__xludf.DUMMYFUNCTION("""COMPUTED_VALUE"""),"Seeja Prasad ")</f>
        <v>Seeja Prasad </v>
      </c>
      <c r="C258" s="12" t="str">
        <f>IFERROR(__xludf.DUMMYFUNCTION("""COMPUTED_VALUE"""),"seeja.prasad@yahoo.co.in")</f>
        <v>seeja.prasad@yahoo.co.in</v>
      </c>
      <c r="D258" s="12" t="str">
        <f>IFERROR(__xludf.DUMMYFUNCTION("""COMPUTED_VALUE"""),"Adult")</f>
        <v>Adult</v>
      </c>
      <c r="E258" s="13">
        <f>IF(D258&lt;&gt;"",VLOOKUP(D258,Settings!$G$3:$H$6,2,false),"")</f>
        <v>2300</v>
      </c>
      <c r="F258" s="15" t="str">
        <f>IFERROR(__xludf.DUMMYFUNCTION("""COMPUTED_VALUE"""),"Relative")</f>
        <v>Relative</v>
      </c>
      <c r="G258" s="15" t="str">
        <f>IFERROR(__xludf.DUMMYFUNCTION("""COMPUTED_VALUE"""),"Classical Mermaids")</f>
        <v>Classical Mermaids</v>
      </c>
      <c r="H258" s="12" t="str">
        <f>IF(G258&lt;&gt;"",VLOOKUP(G258,Settings!$B$4:$C$35,2,false),"")</f>
        <v>Preetha</v>
      </c>
      <c r="I258" s="12" t="str">
        <f>IFERROR(__xludf.DUMMYFUNCTION("""COMPUTED_VALUE"""),"")</f>
        <v/>
      </c>
      <c r="J258" s="15" t="s">
        <v>470</v>
      </c>
      <c r="K258" s="16">
        <v>43401.0</v>
      </c>
      <c r="L258" s="3"/>
    </row>
    <row r="259">
      <c r="A259" s="17">
        <f t="shared" si="1"/>
        <v>257</v>
      </c>
      <c r="B259" s="12" t="str">
        <f>IFERROR(__xludf.DUMMYFUNCTION("""COMPUTED_VALUE"""),"Manjari  Prasad ")</f>
        <v>Manjari  Prasad </v>
      </c>
      <c r="C259" s="12" t="str">
        <f>IFERROR(__xludf.DUMMYFUNCTION("""COMPUTED_VALUE"""),"seeja.prasad@yahoo.co.in")</f>
        <v>seeja.prasad@yahoo.co.in</v>
      </c>
      <c r="D259" s="12" t="str">
        <f>IFERROR(__xludf.DUMMYFUNCTION("""COMPUTED_VALUE"""),"Adult")</f>
        <v>Adult</v>
      </c>
      <c r="E259" s="13">
        <f>IF(D259&lt;&gt;"",VLOOKUP(D259,Settings!$G$3:$H$6,2,false),"")</f>
        <v>2300</v>
      </c>
      <c r="F259" s="15" t="str">
        <f>IFERROR(__xludf.DUMMYFUNCTION("""COMPUTED_VALUE"""),"Performer")</f>
        <v>Performer</v>
      </c>
      <c r="G259" s="15" t="str">
        <f>IFERROR(__xludf.DUMMYFUNCTION("""COMPUTED_VALUE"""),"Classical Mermaids")</f>
        <v>Classical Mermaids</v>
      </c>
      <c r="H259" s="12" t="str">
        <f>IF(G259&lt;&gt;"",VLOOKUP(G259,Settings!$B$4:$C$35,2,false),"")</f>
        <v>Preetha</v>
      </c>
      <c r="I259" s="12" t="str">
        <f>IFERROR(__xludf.DUMMYFUNCTION("""COMPUTED_VALUE"""),"")</f>
        <v/>
      </c>
      <c r="J259" s="15" t="s">
        <v>470</v>
      </c>
      <c r="K259" s="16">
        <v>43401.0</v>
      </c>
      <c r="L259" s="3"/>
    </row>
    <row r="260">
      <c r="A260" s="17">
        <f t="shared" si="1"/>
        <v>258</v>
      </c>
      <c r="B260" s="12" t="str">
        <f>IFERROR(__xludf.DUMMYFUNCTION("""COMPUTED_VALUE"""),"Anisha Pillai ")</f>
        <v>Anisha Pillai </v>
      </c>
      <c r="C260" s="12" t="str">
        <f>IFERROR(__xludf.DUMMYFUNCTION("""COMPUTED_VALUE"""),"reshmyb@yahoo.com")</f>
        <v>reshmyb@yahoo.com</v>
      </c>
      <c r="D260" s="12" t="str">
        <f>IFERROR(__xludf.DUMMYFUNCTION("""COMPUTED_VALUE"""),"Adult")</f>
        <v>Adult</v>
      </c>
      <c r="E260" s="13">
        <f>IF(D260&lt;&gt;"",VLOOKUP(D260,Settings!$G$3:$H$6,2,false),"")</f>
        <v>2300</v>
      </c>
      <c r="F260" s="15" t="str">
        <f>IFERROR(__xludf.DUMMYFUNCTION("""COMPUTED_VALUE"""),"Performer")</f>
        <v>Performer</v>
      </c>
      <c r="G260" s="15" t="str">
        <f>IFERROR(__xludf.DUMMYFUNCTION("""COMPUTED_VALUE"""),"Classical Mermaids")</f>
        <v>Classical Mermaids</v>
      </c>
      <c r="H260" s="12" t="str">
        <f>IF(G260&lt;&gt;"",VLOOKUP(G260,Settings!$B$4:$C$35,2,false),"")</f>
        <v>Preetha</v>
      </c>
      <c r="I260" s="12" t="str">
        <f>IFERROR(__xludf.DUMMYFUNCTION("""COMPUTED_VALUE"""),"")</f>
        <v/>
      </c>
      <c r="J260" s="15" t="s">
        <v>470</v>
      </c>
      <c r="K260" s="16">
        <v>43401.0</v>
      </c>
      <c r="L260" s="3"/>
    </row>
    <row r="261">
      <c r="A261" s="17">
        <f t="shared" si="1"/>
        <v>259</v>
      </c>
      <c r="B261" s="12" t="str">
        <f>IFERROR(__xludf.DUMMYFUNCTION("""COMPUTED_VALUE"""),"Ambigapriya( Jaisakthi) ")</f>
        <v>Ambigapriya( Jaisakthi) </v>
      </c>
      <c r="C261" s="12" t="str">
        <f>IFERROR(__xludf.DUMMYFUNCTION("""COMPUTED_VALUE"""),"jaiambichan@gmail.com")</f>
        <v>jaiambichan@gmail.com</v>
      </c>
      <c r="D261" s="12" t="str">
        <f>IFERROR(__xludf.DUMMYFUNCTION("""COMPUTED_VALUE"""),"Adult")</f>
        <v>Adult</v>
      </c>
      <c r="E261" s="13">
        <f>IF(D261&lt;&gt;"",VLOOKUP(D261,Settings!$G$3:$H$6,2,false),"")</f>
        <v>2300</v>
      </c>
      <c r="F261" s="15" t="str">
        <f>IFERROR(__xludf.DUMMYFUNCTION("""COMPUTED_VALUE"""),"Relative")</f>
        <v>Relative</v>
      </c>
      <c r="G261" s="15" t="str">
        <f>IFERROR(__xludf.DUMMYFUNCTION("""COMPUTED_VALUE"""),"Classical Mermaids")</f>
        <v>Classical Mermaids</v>
      </c>
      <c r="H261" s="12" t="str">
        <f>IF(G261&lt;&gt;"",VLOOKUP(G261,Settings!$B$4:$C$35,2,false),"")</f>
        <v>Preetha</v>
      </c>
      <c r="I261" s="12" t="str">
        <f>IFERROR(__xludf.DUMMYFUNCTION("""COMPUTED_VALUE"""),"")</f>
        <v/>
      </c>
      <c r="J261" s="15" t="s">
        <v>470</v>
      </c>
      <c r="K261" s="16">
        <v>43401.0</v>
      </c>
      <c r="L261" s="3"/>
    </row>
    <row r="262">
      <c r="A262" s="17">
        <f t="shared" si="1"/>
        <v>260</v>
      </c>
      <c r="B262" s="12" t="str">
        <f>IFERROR(__xludf.DUMMYFUNCTION("""COMPUTED_VALUE"""),"Sajan Anupa")</f>
        <v>Sajan Anupa</v>
      </c>
      <c r="C262" s="12" t="str">
        <f>IFERROR(__xludf.DUMMYFUNCTION("""COMPUTED_VALUE"""),"anupaks3@gmail.com")</f>
        <v>anupaks3@gmail.com</v>
      </c>
      <c r="D262" s="12" t="str">
        <f>IFERROR(__xludf.DUMMYFUNCTION("""COMPUTED_VALUE"""),"Adult")</f>
        <v>Adult</v>
      </c>
      <c r="E262" s="13">
        <f>IF(D262&lt;&gt;"",VLOOKUP(D262,Settings!$G$3:$H$6,2,false),"")</f>
        <v>2300</v>
      </c>
      <c r="F262" s="15" t="str">
        <f>IFERROR(__xludf.DUMMYFUNCTION("""COMPUTED_VALUE"""),"Performer")</f>
        <v>Performer</v>
      </c>
      <c r="G262" s="15" t="str">
        <f>IFERROR(__xludf.DUMMYFUNCTION("""COMPUTED_VALUE"""),"Nrita Natya Dance Academy")</f>
        <v>Nrita Natya Dance Academy</v>
      </c>
      <c r="H262" s="12" t="str">
        <f>IF(G262&lt;&gt;"",VLOOKUP(G262,Settings!$B$4:$C$35,2,false),"")</f>
        <v>Deepasreekumar</v>
      </c>
      <c r="I262" s="12" t="str">
        <f>IFERROR(__xludf.DUMMYFUNCTION("""COMPUTED_VALUE"""),"")</f>
        <v/>
      </c>
      <c r="J262" s="15" t="s">
        <v>650</v>
      </c>
      <c r="K262" s="12"/>
      <c r="L262" s="3"/>
    </row>
    <row r="263">
      <c r="A263" s="17">
        <f t="shared" si="1"/>
        <v>261</v>
      </c>
      <c r="B263" s="12" t="str">
        <f>IFERROR(__xludf.DUMMYFUNCTION("""COMPUTED_VALUE"""),"Nayikarimbil Sajan")</f>
        <v>Nayikarimbil Sajan</v>
      </c>
      <c r="C263" s="12" t="str">
        <f>IFERROR(__xludf.DUMMYFUNCTION("""COMPUTED_VALUE"""),"anupaks3@gmsil.com")</f>
        <v>anupaks3@gmsil.com</v>
      </c>
      <c r="D263" s="12" t="str">
        <f>IFERROR(__xludf.DUMMYFUNCTION("""COMPUTED_VALUE"""),"Adult")</f>
        <v>Adult</v>
      </c>
      <c r="E263" s="13">
        <f>IF(D263&lt;&gt;"",VLOOKUP(D263,Settings!$G$3:$H$6,2,false),"")</f>
        <v>2300</v>
      </c>
      <c r="F263" s="15" t="str">
        <f>IFERROR(__xludf.DUMMYFUNCTION("""COMPUTED_VALUE"""),"Relative")</f>
        <v>Relative</v>
      </c>
      <c r="G263" s="15" t="str">
        <f>IFERROR(__xludf.DUMMYFUNCTION("""COMPUTED_VALUE"""),"Nrita Natya Dance Academy")</f>
        <v>Nrita Natya Dance Academy</v>
      </c>
      <c r="H263" s="12" t="str">
        <f>IF(G263&lt;&gt;"",VLOOKUP(G263,Settings!$B$4:$C$35,2,false),"")</f>
        <v>Deepasreekumar</v>
      </c>
      <c r="I263" s="12" t="str">
        <f>IFERROR(__xludf.DUMMYFUNCTION("""COMPUTED_VALUE"""),"")</f>
        <v/>
      </c>
      <c r="J263" s="15" t="s">
        <v>650</v>
      </c>
      <c r="K263" s="16"/>
      <c r="L263" s="3"/>
    </row>
    <row r="264">
      <c r="A264" s="17">
        <f t="shared" si="1"/>
        <v>262</v>
      </c>
      <c r="B264" s="12" t="str">
        <f>IFERROR(__xludf.DUMMYFUNCTION("""COMPUTED_VALUE"""),"Sajan Arav")</f>
        <v>Sajan Arav</v>
      </c>
      <c r="C264" s="12" t="str">
        <f>IFERROR(__xludf.DUMMYFUNCTION("""COMPUTED_VALUE"""),"anupaks3@gmail.com")</f>
        <v>anupaks3@gmail.com</v>
      </c>
      <c r="D264" s="12" t="str">
        <f>IFERROR(__xludf.DUMMYFUNCTION("""COMPUTED_VALUE"""),"Child")</f>
        <v>Child</v>
      </c>
      <c r="E264" s="13">
        <f>IF(D264&lt;&gt;"",VLOOKUP(D264,Settings!$G$3:$H$6,2,false),"")</f>
        <v>1200</v>
      </c>
      <c r="F264" s="15" t="str">
        <f>IFERROR(__xludf.DUMMYFUNCTION("""COMPUTED_VALUE"""),"Relative")</f>
        <v>Relative</v>
      </c>
      <c r="G264" s="15" t="str">
        <f>IFERROR(__xludf.DUMMYFUNCTION("""COMPUTED_VALUE"""),"Nrita Natya Dance Academy")</f>
        <v>Nrita Natya Dance Academy</v>
      </c>
      <c r="H264" s="12" t="str">
        <f>IF(G264&lt;&gt;"",VLOOKUP(G264,Settings!$B$4:$C$35,2,false),"")</f>
        <v>Deepasreekumar</v>
      </c>
      <c r="I264" s="12" t="str">
        <f>IFERROR(__xludf.DUMMYFUNCTION("""COMPUTED_VALUE"""),"")</f>
        <v/>
      </c>
      <c r="J264" s="15" t="s">
        <v>650</v>
      </c>
      <c r="K264" s="16"/>
      <c r="L264" s="3"/>
    </row>
    <row r="265">
      <c r="A265" s="17">
        <f t="shared" si="1"/>
        <v>263</v>
      </c>
      <c r="B265" s="12" t="str">
        <f>IFERROR(__xludf.DUMMYFUNCTION("""COMPUTED_VALUE"""),"Laneesh")</f>
        <v>Laneesh</v>
      </c>
      <c r="C265" s="12" t="str">
        <f>IFERROR(__xludf.DUMMYFUNCTION("""COMPUTED_VALUE"""),"nanisha_a@yahoo.co.in")</f>
        <v>nanisha_a@yahoo.co.in</v>
      </c>
      <c r="D265" s="12" t="str">
        <f>IFERROR(__xludf.DUMMYFUNCTION("""COMPUTED_VALUE"""),"Adult")</f>
        <v>Adult</v>
      </c>
      <c r="E265" s="13">
        <f>IF(D265&lt;&gt;"",VLOOKUP(D265,Settings!$G$3:$H$6,2,false),"")</f>
        <v>2300</v>
      </c>
      <c r="F265" s="15" t="str">
        <f>IFERROR(__xludf.DUMMYFUNCTION("""COMPUTED_VALUE"""),"Relative")</f>
        <v>Relative</v>
      </c>
      <c r="G265" s="15" t="str">
        <f>IFERROR(__xludf.DUMMYFUNCTION("""COMPUTED_VALUE"""),"Thapasya - Brahmari School Of Dance")</f>
        <v>Thapasya - Brahmari School Of Dance</v>
      </c>
      <c r="H265" s="12" t="str">
        <f>IF(G265&lt;&gt;"",VLOOKUP(G265,Settings!$B$4:$C$35,2,false),"")</f>
        <v>Resmi Joby</v>
      </c>
      <c r="I265" s="12" t="str">
        <f>IFERROR(__xludf.DUMMYFUNCTION("""COMPUTED_VALUE"""),"")</f>
        <v/>
      </c>
      <c r="J265" s="15" t="s">
        <v>470</v>
      </c>
      <c r="K265" s="16">
        <v>43401.0</v>
      </c>
      <c r="L265" s="3"/>
    </row>
    <row r="266">
      <c r="A266" s="17">
        <f t="shared" si="1"/>
        <v>264</v>
      </c>
      <c r="B266" s="12" t="str">
        <f>IFERROR(__xludf.DUMMYFUNCTION("""COMPUTED_VALUE"""),"Saarang ")</f>
        <v>Saarang </v>
      </c>
      <c r="C266" s="12" t="str">
        <f>IFERROR(__xludf.DUMMYFUNCTION("""COMPUTED_VALUE"""),"nanisha_a@yahoo.co.in")</f>
        <v>nanisha_a@yahoo.co.in</v>
      </c>
      <c r="D266" s="12" t="str">
        <f>IFERROR(__xludf.DUMMYFUNCTION("""COMPUTED_VALUE"""),"Child")</f>
        <v>Child</v>
      </c>
      <c r="E266" s="13">
        <f>IF(D266&lt;&gt;"",VLOOKUP(D266,Settings!$G$3:$H$6,2,false),"")</f>
        <v>1200</v>
      </c>
      <c r="F266" s="15" t="str">
        <f>IFERROR(__xludf.DUMMYFUNCTION("""COMPUTED_VALUE"""),"Relative")</f>
        <v>Relative</v>
      </c>
      <c r="G266" s="15" t="str">
        <f>IFERROR(__xludf.DUMMYFUNCTION("""COMPUTED_VALUE"""),"Thapasya - Brahmari School Of Dance")</f>
        <v>Thapasya - Brahmari School Of Dance</v>
      </c>
      <c r="H266" s="12" t="str">
        <f>IF(G266&lt;&gt;"",VLOOKUP(G266,Settings!$B$4:$C$35,2,false),"")</f>
        <v>Resmi Joby</v>
      </c>
      <c r="I266" s="12" t="str">
        <f>IFERROR(__xludf.DUMMYFUNCTION("""COMPUTED_VALUE"""),"")</f>
        <v/>
      </c>
      <c r="J266" s="15" t="s">
        <v>470</v>
      </c>
      <c r="K266" s="16">
        <v>43401.0</v>
      </c>
      <c r="L266" s="3"/>
    </row>
    <row r="267">
      <c r="A267" s="17">
        <f t="shared" si="1"/>
        <v>265</v>
      </c>
      <c r="B267" s="12" t="str">
        <f>IFERROR(__xludf.DUMMYFUNCTION("""COMPUTED_VALUE"""),"Suchir Bahuguna ")</f>
        <v>Suchir Bahuguna </v>
      </c>
      <c r="C267" s="12" t="str">
        <f>IFERROR(__xludf.DUMMYFUNCTION("""COMPUTED_VALUE"""),"bala.shail@gmail.com")</f>
        <v>bala.shail@gmail.com</v>
      </c>
      <c r="D267" s="12" t="str">
        <f>IFERROR(__xludf.DUMMYFUNCTION("""COMPUTED_VALUE"""),"Child")</f>
        <v>Child</v>
      </c>
      <c r="E267" s="13">
        <f>IF(D267&lt;&gt;"",VLOOKUP(D267,Settings!$G$3:$H$6,2,false),"")</f>
        <v>1200</v>
      </c>
      <c r="F267" s="15" t="str">
        <f>IFERROR(__xludf.DUMMYFUNCTION("""COMPUTED_VALUE"""),"Performer")</f>
        <v>Performer</v>
      </c>
      <c r="G267" s="15" t="str">
        <f>IFERROR(__xludf.DUMMYFUNCTION("""COMPUTED_VALUE"""),"Dance Ojima Dance-DOD")</f>
        <v>Dance Ojima Dance-DOD</v>
      </c>
      <c r="H267" s="12" t="str">
        <f>IF(G267&lt;&gt;"",VLOOKUP(G267,Settings!$B$4:$C$35,2,false),"")</f>
        <v>Shweta Singla</v>
      </c>
      <c r="I267" s="12" t="str">
        <f>IFERROR(__xludf.DUMMYFUNCTION("""COMPUTED_VALUE"""),"")</f>
        <v/>
      </c>
      <c r="J267" s="15" t="s">
        <v>241</v>
      </c>
      <c r="K267" s="12"/>
      <c r="L267" s="3"/>
    </row>
    <row r="268">
      <c r="A268" s="17">
        <f t="shared" si="1"/>
        <v>266</v>
      </c>
      <c r="B268" s="12" t="str">
        <f>IFERROR(__xludf.DUMMYFUNCTION("""COMPUTED_VALUE"""),"Shubhranshu Bahuguna ")</f>
        <v>Shubhranshu Bahuguna </v>
      </c>
      <c r="C268" s="12" t="str">
        <f>IFERROR(__xludf.DUMMYFUNCTION("""COMPUTED_VALUE"""),"bala.shail@gmail.com")</f>
        <v>bala.shail@gmail.com</v>
      </c>
      <c r="D268" s="12" t="str">
        <f>IFERROR(__xludf.DUMMYFUNCTION("""COMPUTED_VALUE"""),"Adult")</f>
        <v>Adult</v>
      </c>
      <c r="E268" s="13">
        <f>IF(D268&lt;&gt;"",VLOOKUP(D268,Settings!$G$3:$H$6,2,false),"")</f>
        <v>2300</v>
      </c>
      <c r="F268" s="15" t="str">
        <f>IFERROR(__xludf.DUMMYFUNCTION("""COMPUTED_VALUE"""),"Relative")</f>
        <v>Relative</v>
      </c>
      <c r="G268" s="15" t="str">
        <f>IFERROR(__xludf.DUMMYFUNCTION("""COMPUTED_VALUE"""),"Dance Ojima Dance-DOD")</f>
        <v>Dance Ojima Dance-DOD</v>
      </c>
      <c r="H268" s="12" t="str">
        <f>IF(G268&lt;&gt;"",VLOOKUP(G268,Settings!$B$4:$C$35,2,false),"")</f>
        <v>Shweta Singla</v>
      </c>
      <c r="I268" s="12" t="str">
        <f>IFERROR(__xludf.DUMMYFUNCTION("""COMPUTED_VALUE"""),"")</f>
        <v/>
      </c>
      <c r="J268" s="15" t="s">
        <v>241</v>
      </c>
      <c r="K268" s="16"/>
      <c r="L268" s="3"/>
    </row>
    <row r="269">
      <c r="A269" s="17">
        <f t="shared" si="1"/>
        <v>267</v>
      </c>
      <c r="B269" s="12" t="str">
        <f>IFERROR(__xludf.DUMMYFUNCTION("""COMPUTED_VALUE"""),"Shailbala Bahuguna ")</f>
        <v>Shailbala Bahuguna </v>
      </c>
      <c r="C269" s="12" t="str">
        <f>IFERROR(__xludf.DUMMYFUNCTION("""COMPUTED_VALUE"""),"bala.shail@gmail.com")</f>
        <v>bala.shail@gmail.com</v>
      </c>
      <c r="D269" s="12" t="str">
        <f>IFERROR(__xludf.DUMMYFUNCTION("""COMPUTED_VALUE"""),"Adult")</f>
        <v>Adult</v>
      </c>
      <c r="E269" s="13">
        <f>IF(D269&lt;&gt;"",VLOOKUP(D269,Settings!$G$3:$H$6,2,false),"")</f>
        <v>2300</v>
      </c>
      <c r="F269" s="15" t="str">
        <f>IFERROR(__xludf.DUMMYFUNCTION("""COMPUTED_VALUE"""),"Relative")</f>
        <v>Relative</v>
      </c>
      <c r="G269" s="15" t="str">
        <f>IFERROR(__xludf.DUMMYFUNCTION("""COMPUTED_VALUE"""),"Dance Ojima Dance-DOD")</f>
        <v>Dance Ojima Dance-DOD</v>
      </c>
      <c r="H269" s="12" t="str">
        <f>IF(G269&lt;&gt;"",VLOOKUP(G269,Settings!$B$4:$C$35,2,false),"")</f>
        <v>Shweta Singla</v>
      </c>
      <c r="I269" s="12" t="str">
        <f>IFERROR(__xludf.DUMMYFUNCTION("""COMPUTED_VALUE"""),"")</f>
        <v/>
      </c>
      <c r="J269" s="15" t="s">
        <v>241</v>
      </c>
      <c r="K269" s="16"/>
      <c r="L269" s="3"/>
    </row>
    <row r="270">
      <c r="A270" s="17">
        <f t="shared" si="1"/>
        <v>268</v>
      </c>
      <c r="B270" s="12" t="str">
        <f>IFERROR(__xludf.DUMMYFUNCTION("""COMPUTED_VALUE"""),"Shreyash Shelar")</f>
        <v>Shreyash Shelar</v>
      </c>
      <c r="C270" s="12" t="str">
        <f>IFERROR(__xludf.DUMMYFUNCTION("""COMPUTED_VALUE"""),"priya.shelar@gmail.com")</f>
        <v>priya.shelar@gmail.com</v>
      </c>
      <c r="D270" s="12" t="str">
        <f>IFERROR(__xludf.DUMMYFUNCTION("""COMPUTED_VALUE"""),"Child")</f>
        <v>Child</v>
      </c>
      <c r="E270" s="13">
        <f>IF(D270&lt;&gt;"",VLOOKUP(D270,Settings!$G$3:$H$6,2,false),"")</f>
        <v>1200</v>
      </c>
      <c r="F270" s="15" t="str">
        <f>IFERROR(__xludf.DUMMYFUNCTION("""COMPUTED_VALUE"""),"Performer")</f>
        <v>Performer</v>
      </c>
      <c r="G270" s="15" t="str">
        <f>IFERROR(__xludf.DUMMYFUNCTION("""COMPUTED_VALUE"""),"Little Champions")</f>
        <v>Little Champions</v>
      </c>
      <c r="H270" s="12" t="str">
        <f>IF(G270&lt;&gt;"",VLOOKUP(G270,Settings!$B$4:$C$35,2,false),"")</f>
        <v>Vividha Bhopre</v>
      </c>
      <c r="I270" s="12" t="str">
        <f>IFERROR(__xludf.DUMMYFUNCTION("""COMPUTED_VALUE"""),"")</f>
        <v/>
      </c>
      <c r="J270" s="15" t="s">
        <v>241</v>
      </c>
      <c r="K270" s="16"/>
      <c r="L270" s="3"/>
    </row>
    <row r="271">
      <c r="A271" s="17">
        <f t="shared" si="1"/>
        <v>269</v>
      </c>
      <c r="B271" s="12" t="str">
        <f>IFERROR(__xludf.DUMMYFUNCTION("""COMPUTED_VALUE"""),"Harika Allu ")</f>
        <v>Harika Allu </v>
      </c>
      <c r="C271" s="12" t="str">
        <f>IFERROR(__xludf.DUMMYFUNCTION("""COMPUTED_VALUE"""),"veenaallu@gmail.com")</f>
        <v>veenaallu@gmail.com</v>
      </c>
      <c r="D271" s="12" t="str">
        <f>IFERROR(__xludf.DUMMYFUNCTION("""COMPUTED_VALUE"""),"Adult")</f>
        <v>Adult</v>
      </c>
      <c r="E271" s="13">
        <f>IF(D271&lt;&gt;"",VLOOKUP(D271,Settings!$G$3:$H$6,2,false),"")</f>
        <v>2300</v>
      </c>
      <c r="F271" s="15" t="str">
        <f>IFERROR(__xludf.DUMMYFUNCTION("""COMPUTED_VALUE"""),"Performer")</f>
        <v>Performer</v>
      </c>
      <c r="G271" s="15" t="str">
        <f>IFERROR(__xludf.DUMMYFUNCTION("""COMPUTED_VALUE"""),"Classical Mermaids")</f>
        <v>Classical Mermaids</v>
      </c>
      <c r="H271" s="12" t="str">
        <f>IF(G271&lt;&gt;"",VLOOKUP(G271,Settings!$B$4:$C$35,2,false),"")</f>
        <v>Preetha</v>
      </c>
      <c r="I271" s="12" t="str">
        <f>IFERROR(__xludf.DUMMYFUNCTION("""COMPUTED_VALUE"""),"")</f>
        <v/>
      </c>
      <c r="J271" s="15" t="s">
        <v>470</v>
      </c>
      <c r="K271" s="16">
        <v>43401.0</v>
      </c>
      <c r="L271" s="3"/>
    </row>
    <row r="272">
      <c r="A272" s="17">
        <f t="shared" si="1"/>
        <v>270</v>
      </c>
      <c r="B272" s="12" t="str">
        <f>IFERROR(__xludf.DUMMYFUNCTION("""COMPUTED_VALUE"""),"Praveena Allu ")</f>
        <v>Praveena Allu </v>
      </c>
      <c r="C272" s="12" t="str">
        <f>IFERROR(__xludf.DUMMYFUNCTION("""COMPUTED_VALUE"""),"veenaallu@gmail.com")</f>
        <v>veenaallu@gmail.com</v>
      </c>
      <c r="D272" s="12" t="str">
        <f>IFERROR(__xludf.DUMMYFUNCTION("""COMPUTED_VALUE"""),"Adult")</f>
        <v>Adult</v>
      </c>
      <c r="E272" s="13">
        <f>IF(D272&lt;&gt;"",VLOOKUP(D272,Settings!$G$3:$H$6,2,false),"")</f>
        <v>2300</v>
      </c>
      <c r="F272" s="15" t="str">
        <f>IFERROR(__xludf.DUMMYFUNCTION("""COMPUTED_VALUE"""),"Relative")</f>
        <v>Relative</v>
      </c>
      <c r="G272" s="15" t="str">
        <f>IFERROR(__xludf.DUMMYFUNCTION("""COMPUTED_VALUE"""),"Classical Mermaids")</f>
        <v>Classical Mermaids</v>
      </c>
      <c r="H272" s="12" t="str">
        <f>IF(G272&lt;&gt;"",VLOOKUP(G272,Settings!$B$4:$C$35,2,false),"")</f>
        <v>Preetha</v>
      </c>
      <c r="I272" s="12" t="str">
        <f>IFERROR(__xludf.DUMMYFUNCTION("""COMPUTED_VALUE"""),"")</f>
        <v/>
      </c>
      <c r="J272" s="15" t="s">
        <v>470</v>
      </c>
      <c r="K272" s="16">
        <v>43401.0</v>
      </c>
      <c r="L272" s="3"/>
    </row>
    <row r="273">
      <c r="A273" s="17">
        <f t="shared" si="1"/>
        <v>271</v>
      </c>
      <c r="B273" s="12" t="str">
        <f>IFERROR(__xludf.DUMMYFUNCTION("""COMPUTED_VALUE"""),"Satya Allu ")</f>
        <v>Satya Allu </v>
      </c>
      <c r="C273" s="12" t="str">
        <f>IFERROR(__xludf.DUMMYFUNCTION("""COMPUTED_VALUE"""),"veenaallu@gmail.com")</f>
        <v>veenaallu@gmail.com</v>
      </c>
      <c r="D273" s="12" t="str">
        <f>IFERROR(__xludf.DUMMYFUNCTION("""COMPUTED_VALUE"""),"Adult")</f>
        <v>Adult</v>
      </c>
      <c r="E273" s="13">
        <f>IF(D273&lt;&gt;"",VLOOKUP(D273,Settings!$G$3:$H$6,2,false),"")</f>
        <v>2300</v>
      </c>
      <c r="F273" s="15" t="str">
        <f>IFERROR(__xludf.DUMMYFUNCTION("""COMPUTED_VALUE"""),"Relative")</f>
        <v>Relative</v>
      </c>
      <c r="G273" s="15" t="str">
        <f>IFERROR(__xludf.DUMMYFUNCTION("""COMPUTED_VALUE"""),"Classical Mermaids")</f>
        <v>Classical Mermaids</v>
      </c>
      <c r="H273" s="12" t="str">
        <f>IF(G273&lt;&gt;"",VLOOKUP(G273,Settings!$B$4:$C$35,2,false),"")</f>
        <v>Preetha</v>
      </c>
      <c r="I273" s="12" t="str">
        <f>IFERROR(__xludf.DUMMYFUNCTION("""COMPUTED_VALUE"""),"")</f>
        <v/>
      </c>
      <c r="J273" s="15" t="s">
        <v>470</v>
      </c>
      <c r="K273" s="16">
        <v>43401.0</v>
      </c>
      <c r="L273" s="3"/>
    </row>
    <row r="274">
      <c r="A274" s="17">
        <f t="shared" si="1"/>
        <v>272</v>
      </c>
      <c r="B274" s="12" t="str">
        <f>IFERROR(__xludf.DUMMYFUNCTION("""COMPUTED_VALUE"""),"Ashika Ramesh ")</f>
        <v>Ashika Ramesh </v>
      </c>
      <c r="C274" s="12" t="str">
        <f>IFERROR(__xludf.DUMMYFUNCTION("""COMPUTED_VALUE"""),"r4ramesh_kva@yahoo.co.in")</f>
        <v>r4ramesh_kva@yahoo.co.in</v>
      </c>
      <c r="D274" s="12" t="str">
        <f>IFERROR(__xludf.DUMMYFUNCTION("""COMPUTED_VALUE"""),"Child")</f>
        <v>Child</v>
      </c>
      <c r="E274" s="13">
        <f>IF(D274&lt;&gt;"",VLOOKUP(D274,Settings!$G$3:$H$6,2,false),"")</f>
        <v>1200</v>
      </c>
      <c r="F274" s="15" t="str">
        <f>IFERROR(__xludf.DUMMYFUNCTION("""COMPUTED_VALUE"""),"Performer")</f>
        <v>Performer</v>
      </c>
      <c r="G274" s="15" t="str">
        <f>IFERROR(__xludf.DUMMYFUNCTION("""COMPUTED_VALUE"""),"Dance Ojima Dance-DOD")</f>
        <v>Dance Ojima Dance-DOD</v>
      </c>
      <c r="H274" s="12" t="str">
        <f>IF(G274&lt;&gt;"",VLOOKUP(G274,Settings!$B$4:$C$35,2,false),"")</f>
        <v>Shweta Singla</v>
      </c>
      <c r="I274" s="12" t="str">
        <f>IFERROR(__xludf.DUMMYFUNCTION("""COMPUTED_VALUE"""),"")</f>
        <v/>
      </c>
      <c r="J274" s="15" t="s">
        <v>241</v>
      </c>
      <c r="K274" s="16"/>
      <c r="L274" s="3"/>
    </row>
    <row r="275">
      <c r="A275" s="17">
        <f t="shared" si="1"/>
        <v>273</v>
      </c>
      <c r="B275" s="12" t="str">
        <f>IFERROR(__xludf.DUMMYFUNCTION("""COMPUTED_VALUE"""),"Ramesh kumar")</f>
        <v>Ramesh kumar</v>
      </c>
      <c r="C275" s="12" t="str">
        <f>IFERROR(__xludf.DUMMYFUNCTION("""COMPUTED_VALUE"""),"r4ramesh_kva@yahooo.co.in")</f>
        <v>r4ramesh_kva@yahooo.co.in</v>
      </c>
      <c r="D275" s="12" t="str">
        <f>IFERROR(__xludf.DUMMYFUNCTION("""COMPUTED_VALUE"""),"Adult")</f>
        <v>Adult</v>
      </c>
      <c r="E275" s="13">
        <f>IF(D275&lt;&gt;"",VLOOKUP(D275,Settings!$G$3:$H$6,2,false),"")</f>
        <v>2300</v>
      </c>
      <c r="F275" s="15" t="str">
        <f>IFERROR(__xludf.DUMMYFUNCTION("""COMPUTED_VALUE"""),"Relative")</f>
        <v>Relative</v>
      </c>
      <c r="G275" s="15" t="str">
        <f>IFERROR(__xludf.DUMMYFUNCTION("""COMPUTED_VALUE"""),"Dance Ojima Dance-DOD")</f>
        <v>Dance Ojima Dance-DOD</v>
      </c>
      <c r="H275" s="12" t="str">
        <f>IF(G275&lt;&gt;"",VLOOKUP(G275,Settings!$B$4:$C$35,2,false),"")</f>
        <v>Shweta Singla</v>
      </c>
      <c r="I275" s="12" t="str">
        <f>IFERROR(__xludf.DUMMYFUNCTION("""COMPUTED_VALUE"""),"")</f>
        <v/>
      </c>
      <c r="J275" s="15" t="s">
        <v>241</v>
      </c>
      <c r="K275" s="12"/>
      <c r="L275" s="3"/>
    </row>
    <row r="276">
      <c r="A276" s="17">
        <f t="shared" si="1"/>
        <v>274</v>
      </c>
      <c r="B276" s="12" t="str">
        <f>IFERROR(__xludf.DUMMYFUNCTION("""COMPUTED_VALUE"""),"Veena Ramesh ")</f>
        <v>Veena Ramesh </v>
      </c>
      <c r="C276" s="12" t="str">
        <f>IFERROR(__xludf.DUMMYFUNCTION("""COMPUTED_VALUE"""),"r4ramesh_kva@yahoo.co.in")</f>
        <v>r4ramesh_kva@yahoo.co.in</v>
      </c>
      <c r="D276" s="12" t="str">
        <f>IFERROR(__xludf.DUMMYFUNCTION("""COMPUTED_VALUE"""),"Adult")</f>
        <v>Adult</v>
      </c>
      <c r="E276" s="13">
        <f>IF(D276&lt;&gt;"",VLOOKUP(D276,Settings!$G$3:$H$6,2,false),"")</f>
        <v>2300</v>
      </c>
      <c r="F276" s="15" t="str">
        <f>IFERROR(__xludf.DUMMYFUNCTION("""COMPUTED_VALUE"""),"Relative")</f>
        <v>Relative</v>
      </c>
      <c r="G276" s="15" t="str">
        <f>IFERROR(__xludf.DUMMYFUNCTION("""COMPUTED_VALUE"""),"Dance Ojima Dance-DOD")</f>
        <v>Dance Ojima Dance-DOD</v>
      </c>
      <c r="H276" s="12" t="str">
        <f>IF(G276&lt;&gt;"",VLOOKUP(G276,Settings!$B$4:$C$35,2,false),"")</f>
        <v>Shweta Singla</v>
      </c>
      <c r="I276" s="12" t="str">
        <f>IFERROR(__xludf.DUMMYFUNCTION("""COMPUTED_VALUE"""),"")</f>
        <v/>
      </c>
      <c r="J276" s="15" t="s">
        <v>241</v>
      </c>
      <c r="K276" s="16"/>
      <c r="L276" s="3"/>
    </row>
    <row r="277">
      <c r="A277" s="17">
        <f t="shared" si="1"/>
        <v>275</v>
      </c>
      <c r="B277" s="12" t="str">
        <f>IFERROR(__xludf.DUMMYFUNCTION("""COMPUTED_VALUE"""),"Ameesha Ramesh ")</f>
        <v>Ameesha Ramesh </v>
      </c>
      <c r="C277" s="12" t="str">
        <f>IFERROR(__xludf.DUMMYFUNCTION("""COMPUTED_VALUE"""),"r4ramesh_kva@yahoo.co.in")</f>
        <v>r4ramesh_kva@yahoo.co.in</v>
      </c>
      <c r="D277" s="12" t="str">
        <f>IFERROR(__xludf.DUMMYFUNCTION("""COMPUTED_VALUE"""),"Adult")</f>
        <v>Adult</v>
      </c>
      <c r="E277" s="13">
        <f>IF(D277&lt;&gt;"",VLOOKUP(D277,Settings!$G$3:$H$6,2,false),"")</f>
        <v>2300</v>
      </c>
      <c r="F277" s="15" t="str">
        <f>IFERROR(__xludf.DUMMYFUNCTION("""COMPUTED_VALUE"""),"Relative")</f>
        <v>Relative</v>
      </c>
      <c r="G277" s="15" t="str">
        <f>IFERROR(__xludf.DUMMYFUNCTION("""COMPUTED_VALUE"""),"Dance Ojima Dance-DOD")</f>
        <v>Dance Ojima Dance-DOD</v>
      </c>
      <c r="H277" s="12" t="str">
        <f>IF(G277&lt;&gt;"",VLOOKUP(G277,Settings!$B$4:$C$35,2,false),"")</f>
        <v>Shweta Singla</v>
      </c>
      <c r="I277" s="12" t="str">
        <f>IFERROR(__xludf.DUMMYFUNCTION("""COMPUTED_VALUE"""),"")</f>
        <v/>
      </c>
      <c r="J277" s="15" t="s">
        <v>241</v>
      </c>
      <c r="K277" s="12"/>
      <c r="L277" s="3"/>
    </row>
    <row r="278">
      <c r="A278" s="17">
        <f t="shared" si="1"/>
        <v>276</v>
      </c>
      <c r="B278" s="12" t="str">
        <f>IFERROR(__xludf.DUMMYFUNCTION("""COMPUTED_VALUE"""),"Krishnanunni K.J")</f>
        <v>Krishnanunni K.J</v>
      </c>
      <c r="C278" s="12" t="str">
        <f>IFERROR(__xludf.DUMMYFUNCTION("""COMPUTED_VALUE"""),"krishnanunni121@gnail.com")</f>
        <v>krishnanunni121@gnail.com</v>
      </c>
      <c r="D278" s="12" t="str">
        <f>IFERROR(__xludf.DUMMYFUNCTION("""COMPUTED_VALUE"""),"Adult")</f>
        <v>Adult</v>
      </c>
      <c r="E278" s="13">
        <f>IF(D278&lt;&gt;"",VLOOKUP(D278,Settings!$G$3:$H$6,2,false),"")</f>
        <v>2300</v>
      </c>
      <c r="F278" s="15" t="str">
        <f>IFERROR(__xludf.DUMMYFUNCTION("""COMPUTED_VALUE"""),"Relative")</f>
        <v>Relative</v>
      </c>
      <c r="G278" s="15" t="str">
        <f>IFERROR(__xludf.DUMMYFUNCTION("""COMPUTED_VALUE"""),"Sparkle Queens")</f>
        <v>Sparkle Queens</v>
      </c>
      <c r="H278" s="12" t="str">
        <f>IF(G278&lt;&gt;"",VLOOKUP(G278,Settings!$B$4:$C$35,2,false),"")</f>
        <v>Vidya Bhole</v>
      </c>
      <c r="I278" s="12" t="str">
        <f>IFERROR(__xludf.DUMMYFUNCTION("""COMPUTED_VALUE"""),"")</f>
        <v/>
      </c>
      <c r="J278" s="15" t="s">
        <v>241</v>
      </c>
      <c r="K278" s="12"/>
      <c r="L278" s="3"/>
    </row>
    <row r="279">
      <c r="A279" s="17">
        <f t="shared" si="1"/>
        <v>277</v>
      </c>
      <c r="B279" s="12" t="str">
        <f>IFERROR(__xludf.DUMMYFUNCTION("""COMPUTED_VALUE"""),"Anirudh Krishnan")</f>
        <v>Anirudh Krishnan</v>
      </c>
      <c r="C279" s="12" t="str">
        <f>IFERROR(__xludf.DUMMYFUNCTION("""COMPUTED_VALUE"""),"aswathyjayan9@gmail.com")</f>
        <v>aswathyjayan9@gmail.com</v>
      </c>
      <c r="D279" s="12" t="str">
        <f>IFERROR(__xludf.DUMMYFUNCTION("""COMPUTED_VALUE"""),"Child")</f>
        <v>Child</v>
      </c>
      <c r="E279" s="13">
        <f>IF(D279&lt;&gt;"",VLOOKUP(D279,Settings!$G$3:$H$6,2,false),"")</f>
        <v>1200</v>
      </c>
      <c r="F279" s="15" t="str">
        <f>IFERROR(__xludf.DUMMYFUNCTION("""COMPUTED_VALUE"""),"Relative")</f>
        <v>Relative</v>
      </c>
      <c r="G279" s="15" t="str">
        <f>IFERROR(__xludf.DUMMYFUNCTION("""COMPUTED_VALUE"""),"Sparkle Queens")</f>
        <v>Sparkle Queens</v>
      </c>
      <c r="H279" s="12" t="str">
        <f>IF(G279&lt;&gt;"",VLOOKUP(G279,Settings!$B$4:$C$35,2,false),"")</f>
        <v>Vidya Bhole</v>
      </c>
      <c r="I279" s="12" t="str">
        <f>IFERROR(__xludf.DUMMYFUNCTION("""COMPUTED_VALUE"""),"")</f>
        <v/>
      </c>
      <c r="J279" s="15" t="s">
        <v>241</v>
      </c>
      <c r="K279" s="12"/>
      <c r="L279" s="3"/>
    </row>
    <row r="280">
      <c r="A280" s="17">
        <f t="shared" si="1"/>
        <v>278</v>
      </c>
      <c r="B280" s="12" t="str">
        <f>IFERROR(__xludf.DUMMYFUNCTION("""COMPUTED_VALUE"""),"Aditi Aju")</f>
        <v>Aditi Aju</v>
      </c>
      <c r="C280" s="12" t="str">
        <f>IFERROR(__xludf.DUMMYFUNCTION("""COMPUTED_VALUE"""),"miniaju@gmail.com")</f>
        <v>miniaju@gmail.com</v>
      </c>
      <c r="D280" s="12" t="str">
        <f>IFERROR(__xludf.DUMMYFUNCTION("""COMPUTED_VALUE"""),"Adult")</f>
        <v>Adult</v>
      </c>
      <c r="E280" s="13">
        <f>IF(D280&lt;&gt;"",VLOOKUP(D280,Settings!$G$3:$H$6,2,false),"")</f>
        <v>2300</v>
      </c>
      <c r="F280" s="15" t="str">
        <f>IFERROR(__xludf.DUMMYFUNCTION("""COMPUTED_VALUE"""),"Performer")</f>
        <v>Performer</v>
      </c>
      <c r="G280" s="15" t="str">
        <f>IFERROR(__xludf.DUMMYFUNCTION("""COMPUTED_VALUE"""),"Classical Mermaids")</f>
        <v>Classical Mermaids</v>
      </c>
      <c r="H280" s="12" t="str">
        <f>IF(G280&lt;&gt;"",VLOOKUP(G280,Settings!$B$4:$C$35,2,false),"")</f>
        <v>Preetha</v>
      </c>
      <c r="I280" s="12" t="str">
        <f>IFERROR(__xludf.DUMMYFUNCTION("""COMPUTED_VALUE"""),"")</f>
        <v/>
      </c>
      <c r="J280" s="15" t="s">
        <v>470</v>
      </c>
      <c r="K280" s="16">
        <v>43401.0</v>
      </c>
      <c r="L280" s="3"/>
    </row>
    <row r="281">
      <c r="A281" s="17">
        <f t="shared" si="1"/>
        <v>279</v>
      </c>
      <c r="B281" s="12" t="str">
        <f>IFERROR(__xludf.DUMMYFUNCTION("""COMPUTED_VALUE"""),"Vaishnavi polisetti ")</f>
        <v>Vaishnavi polisetti </v>
      </c>
      <c r="C281" s="12" t="str">
        <f>IFERROR(__xludf.DUMMYFUNCTION("""COMPUTED_VALUE"""),"kalpanapoojitha@gmail.com")</f>
        <v>kalpanapoojitha@gmail.com</v>
      </c>
      <c r="D281" s="12" t="str">
        <f>IFERROR(__xludf.DUMMYFUNCTION("""COMPUTED_VALUE"""),"Child")</f>
        <v>Child</v>
      </c>
      <c r="E281" s="13">
        <f>IF(D281&lt;&gt;"",VLOOKUP(D281,Settings!$G$3:$H$6,2,false),"")</f>
        <v>1200</v>
      </c>
      <c r="F281" s="15" t="str">
        <f>IFERROR(__xludf.DUMMYFUNCTION("""COMPUTED_VALUE"""),"Performer")</f>
        <v>Performer</v>
      </c>
      <c r="G281" s="15" t="str">
        <f>IFERROR(__xludf.DUMMYFUNCTION("""COMPUTED_VALUE"""),"Thalam - Brahmari School Of Dance")</f>
        <v>Thalam - Brahmari School Of Dance</v>
      </c>
      <c r="H281" s="12" t="str">
        <f>IF(G281&lt;&gt;"",VLOOKUP(G281,Settings!$B$4:$C$35,2,false),"")</f>
        <v>Resmi Joby</v>
      </c>
      <c r="I281" s="12" t="str">
        <f>IFERROR(__xludf.DUMMYFUNCTION("""COMPUTED_VALUE"""),"")</f>
        <v/>
      </c>
      <c r="J281" s="15" t="s">
        <v>470</v>
      </c>
      <c r="K281" s="16">
        <v>43401.0</v>
      </c>
      <c r="L281" s="3"/>
    </row>
    <row r="282">
      <c r="A282" s="17">
        <f t="shared" si="1"/>
        <v>280</v>
      </c>
      <c r="B282" s="12" t="str">
        <f>IFERROR(__xludf.DUMMYFUNCTION("""COMPUTED_VALUE"""),"Lakshmaiah polisetti ")</f>
        <v>Lakshmaiah polisetti </v>
      </c>
      <c r="C282" s="12" t="str">
        <f>IFERROR(__xludf.DUMMYFUNCTION("""COMPUTED_VALUE"""),"kalpanapoojitha@gmail.com")</f>
        <v>kalpanapoojitha@gmail.com</v>
      </c>
      <c r="D282" s="12" t="str">
        <f>IFERROR(__xludf.DUMMYFUNCTION("""COMPUTED_VALUE"""),"Adult")</f>
        <v>Adult</v>
      </c>
      <c r="E282" s="13">
        <f>IF(D282&lt;&gt;"",VLOOKUP(D282,Settings!$G$3:$H$6,2,false),"")</f>
        <v>2300</v>
      </c>
      <c r="F282" s="15" t="str">
        <f>IFERROR(__xludf.DUMMYFUNCTION("""COMPUTED_VALUE"""),"Relative")</f>
        <v>Relative</v>
      </c>
      <c r="G282" s="15" t="str">
        <f>IFERROR(__xludf.DUMMYFUNCTION("""COMPUTED_VALUE"""),"Thalam - Brahmari School Of Dance")</f>
        <v>Thalam - Brahmari School Of Dance</v>
      </c>
      <c r="H282" s="12" t="str">
        <f>IF(G282&lt;&gt;"",VLOOKUP(G282,Settings!$B$4:$C$35,2,false),"")</f>
        <v>Resmi Joby</v>
      </c>
      <c r="I282" s="12" t="str">
        <f>IFERROR(__xludf.DUMMYFUNCTION("""COMPUTED_VALUE"""),"")</f>
        <v/>
      </c>
      <c r="J282" s="15" t="s">
        <v>470</v>
      </c>
      <c r="K282" s="16">
        <v>43401.0</v>
      </c>
      <c r="L282" s="3"/>
    </row>
    <row r="283">
      <c r="A283" s="17">
        <f t="shared" si="1"/>
        <v>281</v>
      </c>
      <c r="B283" s="12" t="str">
        <f>IFERROR(__xludf.DUMMYFUNCTION("""COMPUTED_VALUE"""),"Manasvi bardia")</f>
        <v>Manasvi bardia</v>
      </c>
      <c r="C283" s="12" t="str">
        <f>IFERROR(__xludf.DUMMYFUNCTION("""COMPUTED_VALUE"""),"uppercrust14@gmail.com")</f>
        <v>uppercrust14@gmail.com</v>
      </c>
      <c r="D283" s="12" t="str">
        <f>IFERROR(__xludf.DUMMYFUNCTION("""COMPUTED_VALUE"""),"Adult")</f>
        <v>Adult</v>
      </c>
      <c r="E283" s="13">
        <f>IF(D283&lt;&gt;"",VLOOKUP(D283,Settings!$G$3:$H$6,2,false),"")</f>
        <v>2300</v>
      </c>
      <c r="F283" s="15" t="str">
        <f>IFERROR(__xludf.DUMMYFUNCTION("""COMPUTED_VALUE"""),"Performer")</f>
        <v>Performer</v>
      </c>
      <c r="G283" s="15" t="str">
        <f>IFERROR(__xludf.DUMMYFUNCTION("""COMPUTED_VALUE"""),"Okachimachi Group")</f>
        <v>Okachimachi Group</v>
      </c>
      <c r="H283" s="12" t="str">
        <f>IF(G283&lt;&gt;"",VLOOKUP(G283,Settings!$B$4:$C$35,2,false),"")</f>
        <v>Alka lodha</v>
      </c>
      <c r="I283" s="12" t="str">
        <f>IFERROR(__xludf.DUMMYFUNCTION("""COMPUTED_VALUE"""),"")</f>
        <v/>
      </c>
      <c r="J283" s="15" t="s">
        <v>568</v>
      </c>
      <c r="K283" s="16"/>
      <c r="L283" s="3"/>
    </row>
    <row r="284">
      <c r="A284" s="17">
        <f t="shared" si="1"/>
        <v>282</v>
      </c>
      <c r="B284" s="15" t="str">
        <f>IFERROR(__xludf.DUMMYFUNCTION("""COMPUTED_VALUE"""),"Rinku sutaria")</f>
        <v>Rinku sutaria</v>
      </c>
      <c r="C284" s="12" t="str">
        <f>IFERROR(__xludf.DUMMYFUNCTION("""COMPUTED_VALUE"""),"uppercrust14@gamil.com")</f>
        <v>uppercrust14@gamil.com</v>
      </c>
      <c r="D284" s="12" t="str">
        <f>IFERROR(__xludf.DUMMYFUNCTION("""COMPUTED_VALUE"""),"Adult")</f>
        <v>Adult</v>
      </c>
      <c r="E284" s="13">
        <f>IF(D284&lt;&gt;"",VLOOKUP(D284,Settings!$G$3:$H$6,2,false),"")</f>
        <v>2300</v>
      </c>
      <c r="F284" s="15" t="str">
        <f>IFERROR(__xludf.DUMMYFUNCTION("""COMPUTED_VALUE"""),"Relative")</f>
        <v>Relative</v>
      </c>
      <c r="G284" s="15" t="str">
        <f>IFERROR(__xludf.DUMMYFUNCTION("""COMPUTED_VALUE"""),"Okachimachi Group")</f>
        <v>Okachimachi Group</v>
      </c>
      <c r="H284" s="12" t="str">
        <f>IF(G284&lt;&gt;"",VLOOKUP(G284,Settings!$B$4:$C$35,2,false),"")</f>
        <v>Alka lodha</v>
      </c>
      <c r="I284" s="15" t="str">
        <f>IFERROR(__xludf.DUMMYFUNCTION("""COMPUTED_VALUE"""),"")</f>
        <v/>
      </c>
      <c r="J284" s="15" t="s">
        <v>568</v>
      </c>
      <c r="K284" s="16"/>
      <c r="L284" s="3"/>
    </row>
    <row r="285">
      <c r="A285" s="17">
        <f t="shared" si="1"/>
        <v>283</v>
      </c>
      <c r="B285" s="12" t="str">
        <f>IFERROR(__xludf.DUMMYFUNCTION("""COMPUTED_VALUE"""),"Sushil Goel")</f>
        <v>Sushil Goel</v>
      </c>
      <c r="C285" s="12" t="str">
        <f>IFERROR(__xludf.DUMMYFUNCTION("""COMPUTED_VALUE"""),"sushilkumargoel@gmail.com")</f>
        <v>sushilkumargoel@gmail.com</v>
      </c>
      <c r="D285" s="12" t="str">
        <f>IFERROR(__xludf.DUMMYFUNCTION("""COMPUTED_VALUE"""),"Adult")</f>
        <v>Adult</v>
      </c>
      <c r="E285" s="13">
        <f>IF(D285&lt;&gt;"",VLOOKUP(D285,Settings!$G$3:$H$6,2,false),"")</f>
        <v>2300</v>
      </c>
      <c r="F285" s="15" t="str">
        <f>IFERROR(__xludf.DUMMYFUNCTION("""COMPUTED_VALUE"""),"Relative")</f>
        <v>Relative</v>
      </c>
      <c r="G285" s="15" t="str">
        <f>IFERROR(__xludf.DUMMYFUNCTION("""COMPUTED_VALUE"""),"Rockstar Divas")</f>
        <v>Rockstar Divas</v>
      </c>
      <c r="H285" s="12" t="str">
        <f>IF(G285&lt;&gt;"",VLOOKUP(G285,Settings!$B$4:$C$35,2,false),"")</f>
        <v>Nayana Attarde</v>
      </c>
      <c r="I285" s="12" t="str">
        <f>IFERROR(__xludf.DUMMYFUNCTION("""COMPUTED_VALUE"""),"Make sure to have a nice function . ")</f>
        <v>Make sure to have a nice function . </v>
      </c>
      <c r="J285" s="15" t="s">
        <v>560</v>
      </c>
      <c r="K285" s="16"/>
      <c r="L285" s="3"/>
    </row>
    <row r="286">
      <c r="A286" s="17">
        <f t="shared" si="1"/>
        <v>284</v>
      </c>
      <c r="B286" s="12" t="str">
        <f>IFERROR(__xludf.DUMMYFUNCTION("""COMPUTED_VALUE"""),"Rashmi Goel")</f>
        <v>Rashmi Goel</v>
      </c>
      <c r="C286" s="12" t="str">
        <f>IFERROR(__xludf.DUMMYFUNCTION("""COMPUTED_VALUE"""),"sushilkumargoel@gmail.com")</f>
        <v>sushilkumargoel@gmail.com</v>
      </c>
      <c r="D286" s="12" t="str">
        <f>IFERROR(__xludf.DUMMYFUNCTION("""COMPUTED_VALUE"""),"Adult")</f>
        <v>Adult</v>
      </c>
      <c r="E286" s="13">
        <f>IF(D286&lt;&gt;"",VLOOKUP(D286,Settings!$G$3:$H$6,2,false),"")</f>
        <v>2300</v>
      </c>
      <c r="F286" s="15" t="str">
        <f>IFERROR(__xludf.DUMMYFUNCTION("""COMPUTED_VALUE"""),"Relative")</f>
        <v>Relative</v>
      </c>
      <c r="G286" s="15" t="str">
        <f>IFERROR(__xludf.DUMMYFUNCTION("""COMPUTED_VALUE"""),"Rockstar Divas")</f>
        <v>Rockstar Divas</v>
      </c>
      <c r="H286" s="12" t="str">
        <f>IF(G286&lt;&gt;"",VLOOKUP(G286,Settings!$B$4:$C$35,2,false),"")</f>
        <v>Nayana Attarde</v>
      </c>
      <c r="I286" s="12" t="str">
        <f>IFERROR(__xludf.DUMMYFUNCTION("""COMPUTED_VALUE"""),"Great Job, thanks ")</f>
        <v>Great Job, thanks </v>
      </c>
      <c r="J286" s="15" t="s">
        <v>560</v>
      </c>
      <c r="K286" s="16"/>
      <c r="L286" s="3"/>
    </row>
    <row r="287">
      <c r="A287" s="17">
        <f t="shared" si="1"/>
        <v>285</v>
      </c>
      <c r="B287" s="12" t="str">
        <f>IFERROR(__xludf.DUMMYFUNCTION("""COMPUTED_VALUE"""),"Ankit Goel")</f>
        <v>Ankit Goel</v>
      </c>
      <c r="C287" s="12" t="str">
        <f>IFERROR(__xludf.DUMMYFUNCTION("""COMPUTED_VALUE"""),"sushilkumargoel@gmail.com")</f>
        <v>sushilkumargoel@gmail.com</v>
      </c>
      <c r="D287" s="12" t="str">
        <f>IFERROR(__xludf.DUMMYFUNCTION("""COMPUTED_VALUE"""),"Adult")</f>
        <v>Adult</v>
      </c>
      <c r="E287" s="13">
        <f>IF(D287&lt;&gt;"",VLOOKUP(D287,Settings!$G$3:$H$6,2,false),"")</f>
        <v>2300</v>
      </c>
      <c r="F287" s="15" t="str">
        <f>IFERROR(__xludf.DUMMYFUNCTION("""COMPUTED_VALUE"""),"Relative")</f>
        <v>Relative</v>
      </c>
      <c r="G287" s="15" t="str">
        <f>IFERROR(__xludf.DUMMYFUNCTION("""COMPUTED_VALUE"""),"Rockstar Divas")</f>
        <v>Rockstar Divas</v>
      </c>
      <c r="H287" s="12" t="str">
        <f>IF(G287&lt;&gt;"",VLOOKUP(G287,Settings!$B$4:$C$35,2,false),"")</f>
        <v>Nayana Attarde</v>
      </c>
      <c r="I287" s="12" t="str">
        <f>IFERROR(__xludf.DUMMYFUNCTION("""COMPUTED_VALUE"""),"Looking forward . Thanks ")</f>
        <v>Looking forward . Thanks </v>
      </c>
      <c r="J287" s="15" t="s">
        <v>560</v>
      </c>
      <c r="K287" s="16"/>
      <c r="L287" s="6"/>
    </row>
    <row r="288">
      <c r="A288" s="17">
        <f t="shared" si="1"/>
        <v>286</v>
      </c>
      <c r="B288" s="12" t="str">
        <f>IFERROR(__xludf.DUMMYFUNCTION("""COMPUTED_VALUE"""),"Dhvani Goel")</f>
        <v>Dhvani Goel</v>
      </c>
      <c r="C288" s="12" t="str">
        <f>IFERROR(__xludf.DUMMYFUNCTION("""COMPUTED_VALUE"""),"sushilkumargoel@gmail.com")</f>
        <v>sushilkumargoel@gmail.com</v>
      </c>
      <c r="D288" s="12" t="str">
        <f>IFERROR(__xludf.DUMMYFUNCTION("""COMPUTED_VALUE"""),"Adult")</f>
        <v>Adult</v>
      </c>
      <c r="E288" s="13">
        <f>IF(D288&lt;&gt;"",VLOOKUP(D288,Settings!$G$3:$H$6,2,false),"")</f>
        <v>2300</v>
      </c>
      <c r="F288" s="15" t="str">
        <f>IFERROR(__xludf.DUMMYFUNCTION("""COMPUTED_VALUE"""),"Performer")</f>
        <v>Performer</v>
      </c>
      <c r="G288" s="15" t="str">
        <f>IFERROR(__xludf.DUMMYFUNCTION("""COMPUTED_VALUE"""),"Rockstar Divas")</f>
        <v>Rockstar Divas</v>
      </c>
      <c r="H288" s="12" t="str">
        <f>IF(G288&lt;&gt;"",VLOOKUP(G288,Settings!$B$4:$C$35,2,false),"")</f>
        <v>Nayana Attarde</v>
      </c>
      <c r="I288" s="12" t="str">
        <f>IFERROR(__xludf.DUMMYFUNCTION("""COMPUTED_VALUE"""),"Ours will be the best dance of all !!!Whoopi")</f>
        <v>Ours will be the best dance of all !!!Whoopi</v>
      </c>
      <c r="J288" s="15" t="s">
        <v>560</v>
      </c>
      <c r="K288" s="16"/>
      <c r="L288" s="6"/>
    </row>
    <row r="289">
      <c r="A289" s="17">
        <f t="shared" si="1"/>
        <v>287</v>
      </c>
      <c r="B289" s="12" t="str">
        <f>IFERROR(__xludf.DUMMYFUNCTION("""COMPUTED_VALUE"""),"Lekha Mohta")</f>
        <v>Lekha Mohta</v>
      </c>
      <c r="C289" s="12" t="str">
        <f>IFERROR(__xludf.DUMMYFUNCTION("""COMPUTED_VALUE"""),"tarun.mohta@gmail.com")</f>
        <v>tarun.mohta@gmail.com</v>
      </c>
      <c r="D289" s="12" t="str">
        <f>IFERROR(__xludf.DUMMYFUNCTION("""COMPUTED_VALUE"""),"Adult")</f>
        <v>Adult</v>
      </c>
      <c r="E289" s="13">
        <f>IF(D289&lt;&gt;"",VLOOKUP(D289,Settings!$G$3:$H$6,2,false),"")</f>
        <v>2300</v>
      </c>
      <c r="F289" s="15" t="str">
        <f>IFERROR(__xludf.DUMMYFUNCTION("""COMPUTED_VALUE"""),"Performer")</f>
        <v>Performer</v>
      </c>
      <c r="G289" s="15" t="str">
        <f>IFERROR(__xludf.DUMMYFUNCTION("""COMPUTED_VALUE"""),"Classical Mermaids")</f>
        <v>Classical Mermaids</v>
      </c>
      <c r="H289" s="12" t="str">
        <f>IF(G289&lt;&gt;"",VLOOKUP(G289,Settings!$B$4:$C$35,2,false),"")</f>
        <v>Preetha</v>
      </c>
      <c r="I289" s="12" t="str">
        <f>IFERROR(__xludf.DUMMYFUNCTION("""COMPUTED_VALUE"""),"")</f>
        <v/>
      </c>
      <c r="J289" s="15" t="s">
        <v>470</v>
      </c>
      <c r="K289" s="16">
        <v>43401.0</v>
      </c>
      <c r="L289" s="6"/>
    </row>
    <row r="290">
      <c r="A290" s="17">
        <f t="shared" si="1"/>
        <v>288</v>
      </c>
      <c r="B290" s="12" t="str">
        <f>IFERROR(__xludf.DUMMYFUNCTION("""COMPUTED_VALUE"""),"Disha Mohta")</f>
        <v>Disha Mohta</v>
      </c>
      <c r="C290" s="12" t="str">
        <f>IFERROR(__xludf.DUMMYFUNCTION("""COMPUTED_VALUE"""),"tarun.mohta@gmail.com")</f>
        <v>tarun.mohta@gmail.com</v>
      </c>
      <c r="D290" s="12" t="str">
        <f>IFERROR(__xludf.DUMMYFUNCTION("""COMPUTED_VALUE"""),"Adult")</f>
        <v>Adult</v>
      </c>
      <c r="E290" s="13">
        <f>IF(D290&lt;&gt;"",VLOOKUP(D290,Settings!$G$3:$H$6,2,false),"")</f>
        <v>2300</v>
      </c>
      <c r="F290" s="15" t="str">
        <f>IFERROR(__xludf.DUMMYFUNCTION("""COMPUTED_VALUE"""),"Relative")</f>
        <v>Relative</v>
      </c>
      <c r="G290" s="15" t="str">
        <f>IFERROR(__xludf.DUMMYFUNCTION("""COMPUTED_VALUE"""),"My Group")</f>
        <v>My Group</v>
      </c>
      <c r="H290" s="12" t="str">
        <f>IF(G290&lt;&gt;"",VLOOKUP(G290,Settings!$B$4:$C$35,2,false),"")</f>
        <v>OIOC</v>
      </c>
      <c r="I290" s="12" t="str">
        <f>IFERROR(__xludf.DUMMYFUNCTION("""COMPUTED_VALUE"""),"She can do compering if need. ")</f>
        <v>She can do compering if need. </v>
      </c>
      <c r="J290" s="15" t="s">
        <v>686</v>
      </c>
      <c r="K290" s="16"/>
      <c r="L290" s="3"/>
    </row>
    <row r="291">
      <c r="A291" s="17">
        <f t="shared" si="1"/>
        <v>289</v>
      </c>
      <c r="B291" s="12" t="str">
        <f>IFERROR(__xludf.DUMMYFUNCTION("""COMPUTED_VALUE"""),"khandelwal soham")</f>
        <v>khandelwal soham</v>
      </c>
      <c r="C291" s="12" t="str">
        <f>IFERROR(__xludf.DUMMYFUNCTION("""COMPUTED_VALUE"""),"rachana.khandelwal@yahoo.com")</f>
        <v>rachana.khandelwal@yahoo.com</v>
      </c>
      <c r="D291" s="12" t="str">
        <f>IFERROR(__xludf.DUMMYFUNCTION("""COMPUTED_VALUE"""),"Child")</f>
        <v>Child</v>
      </c>
      <c r="E291" s="13">
        <f>IF(D291&lt;&gt;"",VLOOKUP(D291,Settings!$G$3:$H$6,2,false),"")</f>
        <v>1200</v>
      </c>
      <c r="F291" s="15" t="str">
        <f>IFERROR(__xludf.DUMMYFUNCTION("""COMPUTED_VALUE"""),"Performer")</f>
        <v>Performer</v>
      </c>
      <c r="G291" s="15" t="str">
        <f>IFERROR(__xludf.DUMMYFUNCTION("""COMPUTED_VALUE"""),"Okachimachi Group")</f>
        <v>Okachimachi Group</v>
      </c>
      <c r="H291" s="12" t="str">
        <f>IF(G291&lt;&gt;"",VLOOKUP(G291,Settings!$B$4:$C$35,2,false),"")</f>
        <v>Alka lodha</v>
      </c>
      <c r="I291" s="12" t="str">
        <f>IFERROR(__xludf.DUMMYFUNCTION("""COMPUTED_VALUE"""),"")</f>
        <v/>
      </c>
      <c r="J291" s="15" t="s">
        <v>568</v>
      </c>
      <c r="K291" s="16"/>
      <c r="L291" s="3"/>
    </row>
    <row r="292">
      <c r="A292" s="17">
        <f t="shared" si="1"/>
        <v>290</v>
      </c>
      <c r="B292" s="12" t="str">
        <f>IFERROR(__xludf.DUMMYFUNCTION("""COMPUTED_VALUE"""),"khandelwal rachana")</f>
        <v>khandelwal rachana</v>
      </c>
      <c r="C292" s="12" t="str">
        <f>IFERROR(__xludf.DUMMYFUNCTION("""COMPUTED_VALUE"""),"rachana.khandelwal@yahoo.com")</f>
        <v>rachana.khandelwal@yahoo.com</v>
      </c>
      <c r="D292" s="12" t="str">
        <f>IFERROR(__xludf.DUMMYFUNCTION("""COMPUTED_VALUE"""),"Adult")</f>
        <v>Adult</v>
      </c>
      <c r="E292" s="13">
        <f>IF(D292&lt;&gt;"",VLOOKUP(D292,Settings!$G$3:$H$6,2,false),"")</f>
        <v>2300</v>
      </c>
      <c r="F292" s="15" t="str">
        <f>IFERROR(__xludf.DUMMYFUNCTION("""COMPUTED_VALUE"""),"Relative")</f>
        <v>Relative</v>
      </c>
      <c r="G292" s="15" t="str">
        <f>IFERROR(__xludf.DUMMYFUNCTION("""COMPUTED_VALUE"""),"Okachimachi Group")</f>
        <v>Okachimachi Group</v>
      </c>
      <c r="H292" s="12" t="str">
        <f>IF(G292&lt;&gt;"",VLOOKUP(G292,Settings!$B$4:$C$35,2,false),"")</f>
        <v>Alka lodha</v>
      </c>
      <c r="I292" s="12" t="str">
        <f>IFERROR(__xludf.DUMMYFUNCTION("""COMPUTED_VALUE"""),"")</f>
        <v/>
      </c>
      <c r="J292" s="15" t="s">
        <v>568</v>
      </c>
      <c r="K292" s="16"/>
      <c r="L292" s="3"/>
    </row>
    <row r="293">
      <c r="A293" s="17">
        <f t="shared" si="1"/>
        <v>291</v>
      </c>
      <c r="B293" s="12" t="str">
        <f>IFERROR(__xludf.DUMMYFUNCTION("""COMPUTED_VALUE"""),"khandelwal rishi")</f>
        <v>khandelwal rishi</v>
      </c>
      <c r="C293" s="12" t="str">
        <f>IFERROR(__xludf.DUMMYFUNCTION("""COMPUTED_VALUE"""),"rachana.khandelwal@yahoo.com")</f>
        <v>rachana.khandelwal@yahoo.com</v>
      </c>
      <c r="D293" s="12" t="str">
        <f>IFERROR(__xludf.DUMMYFUNCTION("""COMPUTED_VALUE"""),"Adult")</f>
        <v>Adult</v>
      </c>
      <c r="E293" s="13">
        <f>IF(D293&lt;&gt;"",VLOOKUP(D293,Settings!$G$3:$H$6,2,false),"")</f>
        <v>2300</v>
      </c>
      <c r="F293" s="15" t="str">
        <f>IFERROR(__xludf.DUMMYFUNCTION("""COMPUTED_VALUE"""),"Relative")</f>
        <v>Relative</v>
      </c>
      <c r="G293" s="15" t="str">
        <f>IFERROR(__xludf.DUMMYFUNCTION("""COMPUTED_VALUE"""),"Okachimachi Group")</f>
        <v>Okachimachi Group</v>
      </c>
      <c r="H293" s="12" t="str">
        <f>IF(G293&lt;&gt;"",VLOOKUP(G293,Settings!$B$4:$C$35,2,false),"")</f>
        <v>Alka lodha</v>
      </c>
      <c r="I293" s="12" t="str">
        <f>IFERROR(__xludf.DUMMYFUNCTION("""COMPUTED_VALUE"""),"")</f>
        <v/>
      </c>
      <c r="J293" s="15" t="s">
        <v>568</v>
      </c>
      <c r="K293" s="16"/>
      <c r="L293" s="6"/>
    </row>
    <row r="294">
      <c r="A294" s="17">
        <f t="shared" si="1"/>
        <v>292</v>
      </c>
      <c r="B294" s="12" t="str">
        <f>IFERROR(__xludf.DUMMYFUNCTION("""COMPUTED_VALUE"""),"khandelwal prakariti")</f>
        <v>khandelwal prakariti</v>
      </c>
      <c r="C294" s="12" t="str">
        <f>IFERROR(__xludf.DUMMYFUNCTION("""COMPUTED_VALUE"""),"rachana.khandelwal@yahoo.com")</f>
        <v>rachana.khandelwal@yahoo.com</v>
      </c>
      <c r="D294" s="12" t="str">
        <f>IFERROR(__xludf.DUMMYFUNCTION("""COMPUTED_VALUE"""),"Child")</f>
        <v>Child</v>
      </c>
      <c r="E294" s="13">
        <f>IF(D294&lt;&gt;"",VLOOKUP(D294,Settings!$G$3:$H$6,2,false),"")</f>
        <v>1200</v>
      </c>
      <c r="F294" s="15" t="str">
        <f>IFERROR(__xludf.DUMMYFUNCTION("""COMPUTED_VALUE"""),"Relative")</f>
        <v>Relative</v>
      </c>
      <c r="G294" s="15" t="str">
        <f>IFERROR(__xludf.DUMMYFUNCTION("""COMPUTED_VALUE"""),"Okachimachi Group")</f>
        <v>Okachimachi Group</v>
      </c>
      <c r="H294" s="12" t="str">
        <f>IF(G294&lt;&gt;"",VLOOKUP(G294,Settings!$B$4:$C$35,2,false),"")</f>
        <v>Alka lodha</v>
      </c>
      <c r="I294" s="12" t="str">
        <f>IFERROR(__xludf.DUMMYFUNCTION("""COMPUTED_VALUE"""),"")</f>
        <v/>
      </c>
      <c r="J294" s="15" t="s">
        <v>241</v>
      </c>
      <c r="K294" s="16"/>
      <c r="L294" s="6"/>
    </row>
    <row r="295">
      <c r="A295" s="17">
        <f t="shared" si="1"/>
        <v>293</v>
      </c>
      <c r="B295" s="12" t="str">
        <f>IFERROR(__xludf.DUMMYFUNCTION("""COMPUTED_VALUE"""),"Nanisha ")</f>
        <v>Nanisha </v>
      </c>
      <c r="C295" s="12" t="str">
        <f>IFERROR(__xludf.DUMMYFUNCTION("""COMPUTED_VALUE"""),"nanisha_a@yahoo.co.in")</f>
        <v>nanisha_a@yahoo.co.in</v>
      </c>
      <c r="D295" s="12" t="str">
        <f>IFERROR(__xludf.DUMMYFUNCTION("""COMPUTED_VALUE"""),"Adult")</f>
        <v>Adult</v>
      </c>
      <c r="E295" s="13">
        <f>IF(D295&lt;&gt;"",VLOOKUP(D295,Settings!$G$3:$H$6,2,false),"")</f>
        <v>2300</v>
      </c>
      <c r="F295" s="15" t="str">
        <f>IFERROR(__xludf.DUMMYFUNCTION("""COMPUTED_VALUE"""),"Performer")</f>
        <v>Performer</v>
      </c>
      <c r="G295" s="15" t="str">
        <f>IFERROR(__xludf.DUMMYFUNCTION("""COMPUTED_VALUE"""),"Nrita Natya Dance Academy")</f>
        <v>Nrita Natya Dance Academy</v>
      </c>
      <c r="H295" s="12" t="str">
        <f>IF(G295&lt;&gt;"",VLOOKUP(G295,Settings!$B$4:$C$35,2,false),"")</f>
        <v>Deepasreekumar</v>
      </c>
      <c r="I295" s="12" t="str">
        <f>IFERROR(__xludf.DUMMYFUNCTION("""COMPUTED_VALUE"""),"")</f>
        <v/>
      </c>
      <c r="J295" s="15" t="s">
        <v>650</v>
      </c>
      <c r="K295" s="16"/>
      <c r="L295" s="6"/>
    </row>
    <row r="296">
      <c r="A296" s="17">
        <f t="shared" si="1"/>
        <v>294</v>
      </c>
      <c r="B296" s="12" t="str">
        <f>IFERROR(__xludf.DUMMYFUNCTION("""COMPUTED_VALUE"""),"Preeja  Manoj")</f>
        <v>Preeja  Manoj</v>
      </c>
      <c r="C296" s="12" t="str">
        <f>IFERROR(__xludf.DUMMYFUNCTION("""COMPUTED_VALUE"""),"preejanr@hotmail.com")</f>
        <v>preejanr@hotmail.com</v>
      </c>
      <c r="D296" s="12" t="str">
        <f>IFERROR(__xludf.DUMMYFUNCTION("""COMPUTED_VALUE"""),"Adult")</f>
        <v>Adult</v>
      </c>
      <c r="E296" s="13">
        <f>IF(D296&lt;&gt;"",VLOOKUP(D296,Settings!$G$3:$H$6,2,false),"")</f>
        <v>2300</v>
      </c>
      <c r="F296" s="15" t="str">
        <f>IFERROR(__xludf.DUMMYFUNCTION("""COMPUTED_VALUE"""),"Relative")</f>
        <v>Relative</v>
      </c>
      <c r="G296" s="15" t="str">
        <f>IFERROR(__xludf.DUMMYFUNCTION("""COMPUTED_VALUE"""),"Classical Mermaids")</f>
        <v>Classical Mermaids</v>
      </c>
      <c r="H296" s="12" t="str">
        <f>IF(G296&lt;&gt;"",VLOOKUP(G296,Settings!$B$4:$C$35,2,false),"")</f>
        <v>Preetha</v>
      </c>
      <c r="I296" s="12" t="str">
        <f>IFERROR(__xludf.DUMMYFUNCTION("""COMPUTED_VALUE"""),"")</f>
        <v/>
      </c>
      <c r="J296" s="15" t="s">
        <v>470</v>
      </c>
      <c r="K296" s="16">
        <v>43398.0</v>
      </c>
      <c r="L296" s="3"/>
    </row>
    <row r="297">
      <c r="A297" s="17">
        <f t="shared" si="1"/>
        <v>295</v>
      </c>
      <c r="B297" s="12" t="str">
        <f>IFERROR(__xludf.DUMMYFUNCTION("""COMPUTED_VALUE"""),"Manoj Ramanujam")</f>
        <v>Manoj Ramanujam</v>
      </c>
      <c r="C297" s="12" t="str">
        <f>IFERROR(__xludf.DUMMYFUNCTION("""COMPUTED_VALUE"""),"preejanr@hotmail.com")</f>
        <v>preejanr@hotmail.com</v>
      </c>
      <c r="D297" s="12" t="str">
        <f>IFERROR(__xludf.DUMMYFUNCTION("""COMPUTED_VALUE"""),"Adult")</f>
        <v>Adult</v>
      </c>
      <c r="E297" s="13">
        <f>IF(D297&lt;&gt;"",VLOOKUP(D297,Settings!$G$3:$H$6,2,false),"")</f>
        <v>2300</v>
      </c>
      <c r="F297" s="15" t="str">
        <f>IFERROR(__xludf.DUMMYFUNCTION("""COMPUTED_VALUE"""),"Relative")</f>
        <v>Relative</v>
      </c>
      <c r="G297" s="15" t="str">
        <f>IFERROR(__xludf.DUMMYFUNCTION("""COMPUTED_VALUE"""),"Classical Mermaids")</f>
        <v>Classical Mermaids</v>
      </c>
      <c r="H297" s="12" t="str">
        <f>IF(G297&lt;&gt;"",VLOOKUP(G297,Settings!$B$4:$C$35,2,false),"")</f>
        <v>Preetha</v>
      </c>
      <c r="I297" s="12" t="str">
        <f>IFERROR(__xludf.DUMMYFUNCTION("""COMPUTED_VALUE"""),"")</f>
        <v/>
      </c>
      <c r="J297" s="15" t="s">
        <v>470</v>
      </c>
      <c r="K297" s="16">
        <v>43398.0</v>
      </c>
      <c r="L297" s="3"/>
    </row>
    <row r="298">
      <c r="A298" s="17">
        <f t="shared" si="1"/>
        <v>296</v>
      </c>
      <c r="B298" s="12" t="str">
        <f>IFERROR(__xludf.DUMMYFUNCTION("""COMPUTED_VALUE"""),"Keertana  Manoj")</f>
        <v>Keertana  Manoj</v>
      </c>
      <c r="C298" s="15" t="str">
        <f>IFERROR(__xludf.DUMMYFUNCTION("""COMPUTED_VALUE"""),"preejanr@hotmail.com")</f>
        <v>preejanr@hotmail.com</v>
      </c>
      <c r="D298" s="12" t="str">
        <f>IFERROR(__xludf.DUMMYFUNCTION("""COMPUTED_VALUE"""),"Adult")</f>
        <v>Adult</v>
      </c>
      <c r="E298" s="13">
        <f>IF(D298&lt;&gt;"",VLOOKUP(D298,Settings!$G$3:$H$6,2,false),"")</f>
        <v>2300</v>
      </c>
      <c r="F298" s="15" t="str">
        <f>IFERROR(__xludf.DUMMYFUNCTION("""COMPUTED_VALUE"""),"Performer")</f>
        <v>Performer</v>
      </c>
      <c r="G298" s="15" t="str">
        <f>IFERROR(__xludf.DUMMYFUNCTION("""COMPUTED_VALUE"""),"Classical Mermaids")</f>
        <v>Classical Mermaids</v>
      </c>
      <c r="H298" s="12" t="str">
        <f>IF(G298&lt;&gt;"",VLOOKUP(G298,Settings!$B$4:$C$35,2,false),"")</f>
        <v>Preetha</v>
      </c>
      <c r="I298" s="12" t="str">
        <f>IFERROR(__xludf.DUMMYFUNCTION("""COMPUTED_VALUE"""),"")</f>
        <v/>
      </c>
      <c r="J298" s="15" t="s">
        <v>470</v>
      </c>
      <c r="K298" s="16">
        <v>43398.0</v>
      </c>
      <c r="L298" s="3"/>
    </row>
    <row r="299">
      <c r="A299" s="17">
        <f t="shared" si="1"/>
        <v>297</v>
      </c>
      <c r="B299" s="12" t="str">
        <f>IFERROR(__xludf.DUMMYFUNCTION("""COMPUTED_VALUE"""),"Karthik Manoj")</f>
        <v>Karthik Manoj</v>
      </c>
      <c r="C299" s="12" t="str">
        <f>IFERROR(__xludf.DUMMYFUNCTION("""COMPUTED_VALUE"""),"preejanr@hotmail.com")</f>
        <v>preejanr@hotmail.com</v>
      </c>
      <c r="D299" s="12" t="str">
        <f>IFERROR(__xludf.DUMMYFUNCTION("""COMPUTED_VALUE"""),"Child")</f>
        <v>Child</v>
      </c>
      <c r="E299" s="13">
        <f>IF(D299&lt;&gt;"",VLOOKUP(D299,Settings!$G$3:$H$6,2,false),"")</f>
        <v>1200</v>
      </c>
      <c r="F299" s="15" t="str">
        <f>IFERROR(__xludf.DUMMYFUNCTION("""COMPUTED_VALUE"""),"Relative")</f>
        <v>Relative</v>
      </c>
      <c r="G299" s="15" t="str">
        <f>IFERROR(__xludf.DUMMYFUNCTION("""COMPUTED_VALUE"""),"Classical Mermaids")</f>
        <v>Classical Mermaids</v>
      </c>
      <c r="H299" s="12" t="str">
        <f>IF(G299&lt;&gt;"",VLOOKUP(G299,Settings!$B$4:$C$35,2,false),"")</f>
        <v>Preetha</v>
      </c>
      <c r="I299" s="12" t="str">
        <f>IFERROR(__xludf.DUMMYFUNCTION("""COMPUTED_VALUE"""),"")</f>
        <v/>
      </c>
      <c r="J299" s="15" t="s">
        <v>470</v>
      </c>
      <c r="K299" s="16">
        <v>43398.0</v>
      </c>
      <c r="L299" s="3"/>
    </row>
    <row r="300">
      <c r="A300" s="17">
        <f t="shared" si="1"/>
        <v>298</v>
      </c>
      <c r="B300" s="12" t="str">
        <f>IFERROR(__xludf.DUMMYFUNCTION("""COMPUTED_VALUE"""),"Kothari manya")</f>
        <v>Kothari manya</v>
      </c>
      <c r="C300" s="12" t="str">
        <f>IFERROR(__xludf.DUMMYFUNCTION("""COMPUTED_VALUE"""),"nishakotharijain@yahoo.com")</f>
        <v>nishakotharijain@yahoo.com</v>
      </c>
      <c r="D300" s="12" t="str">
        <f>IFERROR(__xludf.DUMMYFUNCTION("""COMPUTED_VALUE"""),"Child")</f>
        <v>Child</v>
      </c>
      <c r="E300" s="13">
        <f>IF(D300&lt;&gt;"",VLOOKUP(D300,Settings!$G$3:$H$6,2,false),"")</f>
        <v>1200</v>
      </c>
      <c r="F300" s="15" t="str">
        <f>IFERROR(__xludf.DUMMYFUNCTION("""COMPUTED_VALUE"""),"Performer")</f>
        <v>Performer</v>
      </c>
      <c r="G300" s="15" t="str">
        <f>IFERROR(__xludf.DUMMYFUNCTION("""COMPUTED_VALUE"""),"Dancing Queens")</f>
        <v>Dancing Queens</v>
      </c>
      <c r="H300" s="12" t="str">
        <f>IF(G300&lt;&gt;"",VLOOKUP(G300,Settings!$B$4:$C$35,2,false),"")</f>
        <v>Rekha Bafna</v>
      </c>
      <c r="I300" s="12" t="str">
        <f>IFERROR(__xludf.DUMMYFUNCTION("""COMPUTED_VALUE"""),"")</f>
        <v/>
      </c>
      <c r="J300" s="15" t="s">
        <v>241</v>
      </c>
      <c r="K300" s="16"/>
      <c r="L300" s="3"/>
    </row>
    <row r="301">
      <c r="A301" s="17">
        <f t="shared" si="1"/>
        <v>299</v>
      </c>
      <c r="B301" s="12" t="str">
        <f>IFERROR(__xludf.DUMMYFUNCTION("""COMPUTED_VALUE"""),"Kothari Syna ")</f>
        <v>Kothari Syna </v>
      </c>
      <c r="C301" s="12" t="str">
        <f>IFERROR(__xludf.DUMMYFUNCTION("""COMPUTED_VALUE"""),"nishakotharijain@yahoo.com")</f>
        <v>nishakotharijain@yahoo.com</v>
      </c>
      <c r="D301" s="12" t="str">
        <f>IFERROR(__xludf.DUMMYFUNCTION("""COMPUTED_VALUE"""),"Child")</f>
        <v>Child</v>
      </c>
      <c r="E301" s="13">
        <f>IF(D301&lt;&gt;"",VLOOKUP(D301,Settings!$G$3:$H$6,2,false),"")</f>
        <v>1200</v>
      </c>
      <c r="F301" s="15" t="str">
        <f>IFERROR(__xludf.DUMMYFUNCTION("""COMPUTED_VALUE"""),"Performer")</f>
        <v>Performer</v>
      </c>
      <c r="G301" s="15" t="str">
        <f>IFERROR(__xludf.DUMMYFUNCTION("""COMPUTED_VALUE"""),"Dancing Queens")</f>
        <v>Dancing Queens</v>
      </c>
      <c r="H301" s="12" t="str">
        <f>IF(G301&lt;&gt;"",VLOOKUP(G301,Settings!$B$4:$C$35,2,false),"")</f>
        <v>Rekha Bafna</v>
      </c>
      <c r="I301" s="12" t="str">
        <f>IFERROR(__xludf.DUMMYFUNCTION("""COMPUTED_VALUE"""),"")</f>
        <v/>
      </c>
      <c r="J301" s="15" t="s">
        <v>241</v>
      </c>
      <c r="K301" s="16"/>
      <c r="L301" s="3"/>
    </row>
    <row r="302">
      <c r="A302" s="17">
        <f t="shared" si="1"/>
        <v>300</v>
      </c>
      <c r="B302" s="12" t="str">
        <f>IFERROR(__xludf.DUMMYFUNCTION("""COMPUTED_VALUE"""),"Sameena Adhikari")</f>
        <v>Sameena Adhikari</v>
      </c>
      <c r="C302" s="12" t="str">
        <f>IFERROR(__xludf.DUMMYFUNCTION("""COMPUTED_VALUE"""),"sarusapkota@gmail.com")</f>
        <v>sarusapkota@gmail.com</v>
      </c>
      <c r="D302" s="12" t="str">
        <f>IFERROR(__xludf.DUMMYFUNCTION("""COMPUTED_VALUE"""),"Child")</f>
        <v>Child</v>
      </c>
      <c r="E302" s="13">
        <f>IF(D302&lt;&gt;"",VLOOKUP(D302,Settings!$G$3:$H$6,2,false),"")</f>
        <v>1200</v>
      </c>
      <c r="F302" s="15" t="str">
        <f>IFERROR(__xludf.DUMMYFUNCTION("""COMPUTED_VALUE"""),"Performer")</f>
        <v>Performer</v>
      </c>
      <c r="G302" s="15" t="str">
        <f>IFERROR(__xludf.DUMMYFUNCTION("""COMPUTED_VALUE"""),"Dancing Queens")</f>
        <v>Dancing Queens</v>
      </c>
      <c r="H302" s="12" t="str">
        <f>IF(G302&lt;&gt;"",VLOOKUP(G302,Settings!$B$4:$C$35,2,false),"")</f>
        <v>Rekha Bafna</v>
      </c>
      <c r="I302" s="12" t="str">
        <f>IFERROR(__xludf.DUMMYFUNCTION("""COMPUTED_VALUE"""),"")</f>
        <v/>
      </c>
      <c r="J302" s="15" t="s">
        <v>241</v>
      </c>
      <c r="K302" s="16"/>
      <c r="L302" s="3"/>
    </row>
    <row r="303">
      <c r="A303" s="17">
        <f t="shared" si="1"/>
        <v>301</v>
      </c>
      <c r="B303" s="12" t="str">
        <f>IFERROR(__xludf.DUMMYFUNCTION("""COMPUTED_VALUE"""),"Saraswati Adhikari")</f>
        <v>Saraswati Adhikari</v>
      </c>
      <c r="C303" s="12" t="str">
        <f>IFERROR(__xludf.DUMMYFUNCTION("""COMPUTED_VALUE"""),"sarusapkota@gmail.com")</f>
        <v>sarusapkota@gmail.com</v>
      </c>
      <c r="D303" s="12" t="str">
        <f>IFERROR(__xludf.DUMMYFUNCTION("""COMPUTED_VALUE"""),"Adult")</f>
        <v>Adult</v>
      </c>
      <c r="E303" s="13">
        <f>IF(D303&lt;&gt;"",VLOOKUP(D303,Settings!$G$3:$H$6,2,false),"")</f>
        <v>2300</v>
      </c>
      <c r="F303" s="15" t="str">
        <f>IFERROR(__xludf.DUMMYFUNCTION("""COMPUTED_VALUE"""),"Relative")</f>
        <v>Relative</v>
      </c>
      <c r="G303" s="15" t="str">
        <f>IFERROR(__xludf.DUMMYFUNCTION("""COMPUTED_VALUE"""),"Dancing Queens")</f>
        <v>Dancing Queens</v>
      </c>
      <c r="H303" s="12" t="str">
        <f>IF(G303&lt;&gt;"",VLOOKUP(G303,Settings!$B$4:$C$35,2,false),"")</f>
        <v>Rekha Bafna</v>
      </c>
      <c r="I303" s="12" t="str">
        <f>IFERROR(__xludf.DUMMYFUNCTION("""COMPUTED_VALUE"""),"")</f>
        <v/>
      </c>
      <c r="J303" s="15" t="s">
        <v>241</v>
      </c>
      <c r="K303" s="16"/>
      <c r="L303" s="3"/>
    </row>
    <row r="304">
      <c r="A304" s="17">
        <f t="shared" si="1"/>
        <v>302</v>
      </c>
      <c r="B304" s="12" t="str">
        <f>IFERROR(__xludf.DUMMYFUNCTION("""COMPUTED_VALUE"""),"Surendra Bafna")</f>
        <v>Surendra Bafna</v>
      </c>
      <c r="C304" s="12" t="str">
        <f>IFERROR(__xludf.DUMMYFUNCTION("""COMPUTED_VALUE"""),"nishakotharijain@yahoo.com")</f>
        <v>nishakotharijain@yahoo.com</v>
      </c>
      <c r="D304" s="12" t="str">
        <f>IFERROR(__xludf.DUMMYFUNCTION("""COMPUTED_VALUE"""),"Adult")</f>
        <v>Adult</v>
      </c>
      <c r="E304" s="13">
        <f>IF(D304&lt;&gt;"",VLOOKUP(D304,Settings!$G$3:$H$6,2,false),"")</f>
        <v>2300</v>
      </c>
      <c r="F304" s="15" t="str">
        <f>IFERROR(__xludf.DUMMYFUNCTION("""COMPUTED_VALUE"""),"Relative")</f>
        <v>Relative</v>
      </c>
      <c r="G304" s="15" t="str">
        <f>IFERROR(__xludf.DUMMYFUNCTION("""COMPUTED_VALUE"""),"Dancing Queens")</f>
        <v>Dancing Queens</v>
      </c>
      <c r="H304" s="12" t="str">
        <f>IF(G304&lt;&gt;"",VLOOKUP(G304,Settings!$B$4:$C$35,2,false),"")</f>
        <v>Rekha Bafna</v>
      </c>
      <c r="I304" s="12" t="str">
        <f>IFERROR(__xludf.DUMMYFUNCTION("""COMPUTED_VALUE"""),"")</f>
        <v/>
      </c>
      <c r="J304" s="15" t="s">
        <v>241</v>
      </c>
      <c r="K304" s="16"/>
      <c r="L304" s="3"/>
    </row>
    <row r="305">
      <c r="A305" s="17">
        <f t="shared" si="1"/>
        <v>303</v>
      </c>
      <c r="B305" s="12" t="str">
        <f>IFERROR(__xludf.DUMMYFUNCTION("""COMPUTED_VALUE"""),"Nisha Kothari")</f>
        <v>Nisha Kothari</v>
      </c>
      <c r="C305" s="12" t="str">
        <f>IFERROR(__xludf.DUMMYFUNCTION("""COMPUTED_VALUE"""),"nishakotharijain@yahoo.com")</f>
        <v>nishakotharijain@yahoo.com</v>
      </c>
      <c r="D305" s="12" t="str">
        <f>IFERROR(__xludf.DUMMYFUNCTION("""COMPUTED_VALUE"""),"Adult")</f>
        <v>Adult</v>
      </c>
      <c r="E305" s="13">
        <f>IF(D305&lt;&gt;"",VLOOKUP(D305,Settings!$G$3:$H$6,2,false),"")</f>
        <v>2300</v>
      </c>
      <c r="F305" s="15" t="str">
        <f>IFERROR(__xludf.DUMMYFUNCTION("""COMPUTED_VALUE"""),"Relative")</f>
        <v>Relative</v>
      </c>
      <c r="G305" s="15" t="str">
        <f>IFERROR(__xludf.DUMMYFUNCTION("""COMPUTED_VALUE"""),"Dancing Queens")</f>
        <v>Dancing Queens</v>
      </c>
      <c r="H305" s="12" t="str">
        <f>IF(G305&lt;&gt;"",VLOOKUP(G305,Settings!$B$4:$C$35,2,false),"")</f>
        <v>Rekha Bafna</v>
      </c>
      <c r="I305" s="12" t="str">
        <f>IFERROR(__xludf.DUMMYFUNCTION("""COMPUTED_VALUE"""),"")</f>
        <v/>
      </c>
      <c r="J305" s="15" t="s">
        <v>241</v>
      </c>
      <c r="K305" s="16"/>
      <c r="L305" s="6"/>
    </row>
    <row r="306">
      <c r="A306" s="17">
        <f t="shared" si="1"/>
        <v>304</v>
      </c>
      <c r="B306" s="12" t="str">
        <f>IFERROR(__xludf.DUMMYFUNCTION("""COMPUTED_VALUE"""),"Manish Kothari")</f>
        <v>Manish Kothari</v>
      </c>
      <c r="C306" s="12" t="str">
        <f>IFERROR(__xludf.DUMMYFUNCTION("""COMPUTED_VALUE"""),"nishakotharijain@yahoo.com")</f>
        <v>nishakotharijain@yahoo.com</v>
      </c>
      <c r="D306" s="12" t="str">
        <f>IFERROR(__xludf.DUMMYFUNCTION("""COMPUTED_VALUE"""),"Adult")</f>
        <v>Adult</v>
      </c>
      <c r="E306" s="13">
        <f>IF(D306&lt;&gt;"",VLOOKUP(D306,Settings!$G$3:$H$6,2,false),"")</f>
        <v>2300</v>
      </c>
      <c r="F306" s="15" t="str">
        <f>IFERROR(__xludf.DUMMYFUNCTION("""COMPUTED_VALUE"""),"Relative")</f>
        <v>Relative</v>
      </c>
      <c r="G306" s="15" t="str">
        <f>IFERROR(__xludf.DUMMYFUNCTION("""COMPUTED_VALUE"""),"Dancing Queens")</f>
        <v>Dancing Queens</v>
      </c>
      <c r="H306" s="12" t="str">
        <f>IF(G306&lt;&gt;"",VLOOKUP(G306,Settings!$B$4:$C$35,2,false),"")</f>
        <v>Rekha Bafna</v>
      </c>
      <c r="I306" s="12" t="str">
        <f>IFERROR(__xludf.DUMMYFUNCTION("""COMPUTED_VALUE"""),"")</f>
        <v/>
      </c>
      <c r="J306" s="15" t="s">
        <v>241</v>
      </c>
      <c r="K306" s="12"/>
      <c r="L306" s="3"/>
    </row>
    <row r="307">
      <c r="A307" s="17">
        <f t="shared" si="1"/>
        <v>305</v>
      </c>
      <c r="B307" s="12" t="str">
        <f>IFERROR(__xludf.DUMMYFUNCTION("""COMPUTED_VALUE"""),"Soumya Halmandge")</f>
        <v>Soumya Halmandge</v>
      </c>
      <c r="C307" s="12" t="str">
        <f>IFERROR(__xludf.DUMMYFUNCTION("""COMPUTED_VALUE"""),"soumyahalmandge005@gmail.com")</f>
        <v>soumyahalmandge005@gmail.com</v>
      </c>
      <c r="D307" s="12" t="str">
        <f>IFERROR(__xludf.DUMMYFUNCTION("""COMPUTED_VALUE"""),"Child")</f>
        <v>Child</v>
      </c>
      <c r="E307" s="13">
        <f>IF(D307&lt;&gt;"",VLOOKUP(D307,Settings!$G$3:$H$6,2,false),"")</f>
        <v>1200</v>
      </c>
      <c r="F307" s="15" t="str">
        <f>IFERROR(__xludf.DUMMYFUNCTION("""COMPUTED_VALUE"""),"Performer")</f>
        <v>Performer</v>
      </c>
      <c r="G307" s="15" t="str">
        <f>IFERROR(__xludf.DUMMYFUNCTION("""COMPUTED_VALUE"""),"Dancing Queens")</f>
        <v>Dancing Queens</v>
      </c>
      <c r="H307" s="12" t="str">
        <f>IF(G307&lt;&gt;"",VLOOKUP(G307,Settings!$B$4:$C$35,2,false),"")</f>
        <v>Rekha Bafna</v>
      </c>
      <c r="I307" s="12" t="str">
        <f>IFERROR(__xludf.DUMMYFUNCTION("""COMPUTED_VALUE"""),"")</f>
        <v/>
      </c>
      <c r="J307" s="15" t="s">
        <v>241</v>
      </c>
      <c r="K307" s="16"/>
      <c r="L307" s="3"/>
    </row>
    <row r="308">
      <c r="A308" s="17">
        <f t="shared" si="1"/>
        <v>306</v>
      </c>
      <c r="B308" s="12" t="str">
        <f>IFERROR(__xludf.DUMMYFUNCTION("""COMPUTED_VALUE"""),"Astha Bhatnagar")</f>
        <v>Astha Bhatnagar</v>
      </c>
      <c r="C308" s="12" t="str">
        <f>IFERROR(__xludf.DUMMYFUNCTION("""COMPUTED_VALUE"""),"bhat_y@yahoo.com")</f>
        <v>bhat_y@yahoo.com</v>
      </c>
      <c r="D308" s="12" t="str">
        <f>IFERROR(__xludf.DUMMYFUNCTION("""COMPUTED_VALUE"""),"Adult")</f>
        <v>Adult</v>
      </c>
      <c r="E308" s="13">
        <f>IF(D308&lt;&gt;"",VLOOKUP(D308,Settings!$G$3:$H$6,2,false),"")</f>
        <v>2300</v>
      </c>
      <c r="F308" s="15" t="str">
        <f>IFERROR(__xludf.DUMMYFUNCTION("""COMPUTED_VALUE"""),"Relative")</f>
        <v>Relative</v>
      </c>
      <c r="G308" s="15" t="str">
        <f>IFERROR(__xludf.DUMMYFUNCTION("""COMPUTED_VALUE"""),"Dancing Queens")</f>
        <v>Dancing Queens</v>
      </c>
      <c r="H308" s="12" t="str">
        <f>IF(G308&lt;&gt;"",VLOOKUP(G308,Settings!$B$4:$C$35,2,false),"")</f>
        <v>Rekha Bafna</v>
      </c>
      <c r="I308" s="12" t="str">
        <f>IFERROR(__xludf.DUMMYFUNCTION("""COMPUTED_VALUE"""),"")</f>
        <v/>
      </c>
      <c r="J308" s="15" t="s">
        <v>241</v>
      </c>
      <c r="K308" s="16"/>
      <c r="L308" s="3"/>
    </row>
    <row r="309">
      <c r="A309" s="17">
        <f t="shared" si="1"/>
        <v>307</v>
      </c>
      <c r="B309" s="12" t="str">
        <f>IFERROR(__xludf.DUMMYFUNCTION("""COMPUTED_VALUE"""),"Amulyaa")</f>
        <v>Amulyaa</v>
      </c>
      <c r="C309" s="12" t="str">
        <f>IFERROR(__xludf.DUMMYFUNCTION("""COMPUTED_VALUE"""),"bhat_y@yahoo.com")</f>
        <v>bhat_y@yahoo.com</v>
      </c>
      <c r="D309" s="12" t="str">
        <f>IFERROR(__xludf.DUMMYFUNCTION("""COMPUTED_VALUE"""),"Child")</f>
        <v>Child</v>
      </c>
      <c r="E309" s="13">
        <f>IF(D309&lt;&gt;"",VLOOKUP(D309,Settings!$G$3:$H$6,2,false),"")</f>
        <v>1200</v>
      </c>
      <c r="F309" s="15" t="str">
        <f>IFERROR(__xludf.DUMMYFUNCTION("""COMPUTED_VALUE"""),"Performer")</f>
        <v>Performer</v>
      </c>
      <c r="G309" s="15" t="str">
        <f>IFERROR(__xludf.DUMMYFUNCTION("""COMPUTED_VALUE"""),"Dancing Queens")</f>
        <v>Dancing Queens</v>
      </c>
      <c r="H309" s="12" t="str">
        <f>IF(G309&lt;&gt;"",VLOOKUP(G309,Settings!$B$4:$C$35,2,false),"")</f>
        <v>Rekha Bafna</v>
      </c>
      <c r="I309" s="12" t="str">
        <f>IFERROR(__xludf.DUMMYFUNCTION("""COMPUTED_VALUE"""),"")</f>
        <v/>
      </c>
      <c r="J309" s="15" t="s">
        <v>241</v>
      </c>
      <c r="K309" s="16"/>
      <c r="L309" s="3"/>
    </row>
    <row r="310">
      <c r="A310" s="17">
        <f t="shared" si="1"/>
        <v>308</v>
      </c>
      <c r="B310" s="12" t="str">
        <f>IFERROR(__xludf.DUMMYFUNCTION("""COMPUTED_VALUE"""),"Aakarsh Bhatnagar")</f>
        <v>Aakarsh Bhatnagar</v>
      </c>
      <c r="C310" s="12" t="str">
        <f>IFERROR(__xludf.DUMMYFUNCTION("""COMPUTED_VALUE"""),"bhat_y@yahoo.con")</f>
        <v>bhat_y@yahoo.con</v>
      </c>
      <c r="D310" s="12" t="str">
        <f>IFERROR(__xludf.DUMMYFUNCTION("""COMPUTED_VALUE"""),"Child")</f>
        <v>Child</v>
      </c>
      <c r="E310" s="13">
        <f>IF(D310&lt;&gt;"",VLOOKUP(D310,Settings!$G$3:$H$6,2,false),"")</f>
        <v>1200</v>
      </c>
      <c r="F310" s="15" t="str">
        <f>IFERROR(__xludf.DUMMYFUNCTION("""COMPUTED_VALUE"""),"Relative")</f>
        <v>Relative</v>
      </c>
      <c r="G310" s="15" t="str">
        <f>IFERROR(__xludf.DUMMYFUNCTION("""COMPUTED_VALUE"""),"Dancing Queens")</f>
        <v>Dancing Queens</v>
      </c>
      <c r="H310" s="12" t="str">
        <f>IF(G310&lt;&gt;"",VLOOKUP(G310,Settings!$B$4:$C$35,2,false),"")</f>
        <v>Rekha Bafna</v>
      </c>
      <c r="I310" s="12" t="str">
        <f>IFERROR(__xludf.DUMMYFUNCTION("""COMPUTED_VALUE"""),"")</f>
        <v/>
      </c>
      <c r="J310" s="15" t="s">
        <v>241</v>
      </c>
      <c r="K310" s="16"/>
      <c r="L310" s="3"/>
    </row>
    <row r="311">
      <c r="A311" s="17">
        <f t="shared" si="1"/>
        <v>309</v>
      </c>
      <c r="B311" s="12" t="str">
        <f>IFERROR(__xludf.DUMMYFUNCTION("""COMPUTED_VALUE"""),"Moupia Chattarjee")</f>
        <v>Moupia Chattarjee</v>
      </c>
      <c r="C311" s="12" t="str">
        <f>IFERROR(__xludf.DUMMYFUNCTION("""COMPUTED_VALUE"""),"moupia.m@gmail.com")</f>
        <v>moupia.m@gmail.com</v>
      </c>
      <c r="D311" s="12" t="str">
        <f>IFERROR(__xludf.DUMMYFUNCTION("""COMPUTED_VALUE"""),"Adult")</f>
        <v>Adult</v>
      </c>
      <c r="E311" s="13">
        <f>IF(D311&lt;&gt;"",VLOOKUP(D311,Settings!$G$3:$H$6,2,false),"")</f>
        <v>2300</v>
      </c>
      <c r="F311" s="15" t="str">
        <f>IFERROR(__xludf.DUMMYFUNCTION("""COMPUTED_VALUE"""),"Relative")</f>
        <v>Relative</v>
      </c>
      <c r="G311" s="15" t="str">
        <f>IFERROR(__xludf.DUMMYFUNCTION("""COMPUTED_VALUE"""),"Thalam - Brahmari School Of Dance")</f>
        <v>Thalam - Brahmari School Of Dance</v>
      </c>
      <c r="H311" s="12" t="str">
        <f>IF(G311&lt;&gt;"",VLOOKUP(G311,Settings!$B$4:$C$35,2,false),"")</f>
        <v>Resmi Joby</v>
      </c>
      <c r="I311" s="12" t="str">
        <f>IFERROR(__xludf.DUMMYFUNCTION("""COMPUTED_VALUE"""),"")</f>
        <v/>
      </c>
      <c r="J311" s="15" t="s">
        <v>470</v>
      </c>
      <c r="K311" s="103"/>
      <c r="L311" s="3"/>
    </row>
    <row r="312">
      <c r="A312" s="17">
        <f t="shared" si="1"/>
        <v>310</v>
      </c>
      <c r="B312" s="12" t="str">
        <f>IFERROR(__xludf.DUMMYFUNCTION("""COMPUTED_VALUE"""),"")</f>
        <v/>
      </c>
      <c r="C312" s="12" t="str">
        <f>IFERROR(__xludf.DUMMYFUNCTION("""COMPUTED_VALUE"""),"")</f>
        <v/>
      </c>
      <c r="D312" s="12" t="str">
        <f>IFERROR(__xludf.DUMMYFUNCTION("""COMPUTED_VALUE"""),"")</f>
        <v/>
      </c>
      <c r="E312" s="13" t="str">
        <f>IF(D312&lt;&gt;"",VLOOKUP(D312,Settings!$G$3:$H$6,2,false),"")</f>
        <v/>
      </c>
      <c r="F312" s="15" t="str">
        <f>IFERROR(__xludf.DUMMYFUNCTION("""COMPUTED_VALUE"""),"")</f>
        <v/>
      </c>
      <c r="G312" s="15" t="str">
        <f>IFERROR(__xludf.DUMMYFUNCTION("""COMPUTED_VALUE"""),"")</f>
        <v/>
      </c>
      <c r="H312" s="12" t="str">
        <f>IF(G312&lt;&gt;"",VLOOKUP(G312,Settings!$B$4:$C$35,2,false),"")</f>
        <v/>
      </c>
      <c r="I312" s="12" t="str">
        <f>IFERROR(__xludf.DUMMYFUNCTION("""COMPUTED_VALUE"""),"")</f>
        <v/>
      </c>
      <c r="J312" s="15"/>
      <c r="K312" s="103"/>
      <c r="L312" s="3"/>
    </row>
    <row r="313">
      <c r="A313" s="17" t="str">
        <f t="shared" si="1"/>
        <v/>
      </c>
      <c r="B313" s="12" t="str">
        <f>IFERROR(__xludf.DUMMYFUNCTION("""COMPUTED_VALUE"""),"")</f>
        <v/>
      </c>
      <c r="C313" s="12" t="str">
        <f>IFERROR(__xludf.DUMMYFUNCTION("""COMPUTED_VALUE"""),"")</f>
        <v/>
      </c>
      <c r="D313" s="12" t="str">
        <f>IFERROR(__xludf.DUMMYFUNCTION("""COMPUTED_VALUE"""),"")</f>
        <v/>
      </c>
      <c r="E313" s="13" t="str">
        <f>IF(D313&lt;&gt;"",VLOOKUP(D313,Settings!$G$3:$H$6,2,false),"")</f>
        <v/>
      </c>
      <c r="F313" s="15" t="str">
        <f>IFERROR(__xludf.DUMMYFUNCTION("""COMPUTED_VALUE"""),"")</f>
        <v/>
      </c>
      <c r="G313" s="15" t="str">
        <f>IFERROR(__xludf.DUMMYFUNCTION("""COMPUTED_VALUE"""),"")</f>
        <v/>
      </c>
      <c r="H313" s="12" t="str">
        <f>IF(G313&lt;&gt;"",VLOOKUP(G313,Settings!$B$4:$C$35,2,false),"")</f>
        <v/>
      </c>
      <c r="I313" s="12" t="str">
        <f>IFERROR(__xludf.DUMMYFUNCTION("""COMPUTED_VALUE"""),"")</f>
        <v/>
      </c>
      <c r="J313" s="15"/>
      <c r="K313" s="16"/>
      <c r="L313" s="3"/>
    </row>
    <row r="314">
      <c r="A314" s="17" t="str">
        <f t="shared" si="1"/>
        <v/>
      </c>
      <c r="B314" s="12" t="str">
        <f>IFERROR(__xludf.DUMMYFUNCTION("""COMPUTED_VALUE"""),"")</f>
        <v/>
      </c>
      <c r="C314" s="12" t="str">
        <f>IFERROR(__xludf.DUMMYFUNCTION("""COMPUTED_VALUE"""),"")</f>
        <v/>
      </c>
      <c r="D314" s="12" t="str">
        <f>IFERROR(__xludf.DUMMYFUNCTION("""COMPUTED_VALUE"""),"")</f>
        <v/>
      </c>
      <c r="E314" s="13" t="str">
        <f>IF(D314&lt;&gt;"",VLOOKUP(D314,Settings!$G$3:$H$6,2,false),"")</f>
        <v/>
      </c>
      <c r="F314" s="15" t="str">
        <f>IFERROR(__xludf.DUMMYFUNCTION("""COMPUTED_VALUE"""),"")</f>
        <v/>
      </c>
      <c r="G314" s="15" t="str">
        <f>IFERROR(__xludf.DUMMYFUNCTION("""COMPUTED_VALUE"""),"")</f>
        <v/>
      </c>
      <c r="H314" s="12" t="str">
        <f>IF(G314&lt;&gt;"",VLOOKUP(G314,Settings!$B$4:$C$35,2,false),"")</f>
        <v/>
      </c>
      <c r="I314" s="12" t="str">
        <f>IFERROR(__xludf.DUMMYFUNCTION("""COMPUTED_VALUE"""),"")</f>
        <v/>
      </c>
      <c r="J314" s="15"/>
      <c r="K314" s="15"/>
      <c r="L314" s="3"/>
    </row>
    <row r="315">
      <c r="A315" s="17" t="str">
        <f t="shared" si="1"/>
        <v/>
      </c>
      <c r="B315" s="12" t="str">
        <f>IFERROR(__xludf.DUMMYFUNCTION("""COMPUTED_VALUE"""),"")</f>
        <v/>
      </c>
      <c r="C315" s="12" t="str">
        <f>IFERROR(__xludf.DUMMYFUNCTION("""COMPUTED_VALUE"""),"")</f>
        <v/>
      </c>
      <c r="D315" s="12" t="str">
        <f>IFERROR(__xludf.DUMMYFUNCTION("""COMPUTED_VALUE"""),"")</f>
        <v/>
      </c>
      <c r="E315" s="13" t="str">
        <f>IF(D315&lt;&gt;"",VLOOKUP(D315,Settings!$G$3:$H$6,2,false),"")</f>
        <v/>
      </c>
      <c r="F315" s="15" t="str">
        <f>IFERROR(__xludf.DUMMYFUNCTION("""COMPUTED_VALUE"""),"")</f>
        <v/>
      </c>
      <c r="G315" s="15" t="str">
        <f>IFERROR(__xludf.DUMMYFUNCTION("""COMPUTED_VALUE"""),"")</f>
        <v/>
      </c>
      <c r="H315" s="12" t="str">
        <f>IF(G315&lt;&gt;"",VLOOKUP(G315,Settings!$B$4:$C$35,2,false),"")</f>
        <v/>
      </c>
      <c r="I315" s="12" t="str">
        <f>IFERROR(__xludf.DUMMYFUNCTION("""COMPUTED_VALUE"""),"")</f>
        <v/>
      </c>
      <c r="J315" s="15"/>
      <c r="K315" s="15"/>
      <c r="L315" s="3"/>
    </row>
    <row r="316">
      <c r="A316" s="17" t="str">
        <f t="shared" si="1"/>
        <v/>
      </c>
      <c r="B316" s="12" t="str">
        <f>IFERROR(__xludf.DUMMYFUNCTION("""COMPUTED_VALUE"""),"")</f>
        <v/>
      </c>
      <c r="C316" s="12" t="str">
        <f>IFERROR(__xludf.DUMMYFUNCTION("""COMPUTED_VALUE"""),"")</f>
        <v/>
      </c>
      <c r="D316" s="12" t="str">
        <f>IFERROR(__xludf.DUMMYFUNCTION("""COMPUTED_VALUE"""),"")</f>
        <v/>
      </c>
      <c r="E316" s="13" t="str">
        <f>IF(D316&lt;&gt;"",VLOOKUP(D316,Settings!$G$3:$H$6,2,false),"")</f>
        <v/>
      </c>
      <c r="F316" s="15" t="str">
        <f>IFERROR(__xludf.DUMMYFUNCTION("""COMPUTED_VALUE"""),"")</f>
        <v/>
      </c>
      <c r="G316" s="15" t="str">
        <f>IFERROR(__xludf.DUMMYFUNCTION("""COMPUTED_VALUE"""),"")</f>
        <v/>
      </c>
      <c r="H316" s="12" t="str">
        <f>IF(G316&lt;&gt;"",VLOOKUP(G316,Settings!$B$4:$C$35,2,false),"")</f>
        <v/>
      </c>
      <c r="I316" s="12" t="str">
        <f>IFERROR(__xludf.DUMMYFUNCTION("""COMPUTED_VALUE"""),"")</f>
        <v/>
      </c>
      <c r="J316" s="15"/>
      <c r="K316" s="15"/>
      <c r="L316" s="3"/>
    </row>
    <row r="317">
      <c r="A317" s="17" t="str">
        <f t="shared" si="1"/>
        <v/>
      </c>
      <c r="B317" s="12" t="str">
        <f>IFERROR(__xludf.DUMMYFUNCTION("""COMPUTED_VALUE"""),"")</f>
        <v/>
      </c>
      <c r="C317" s="12" t="str">
        <f>IFERROR(__xludf.DUMMYFUNCTION("""COMPUTED_VALUE"""),"")</f>
        <v/>
      </c>
      <c r="D317" s="12" t="str">
        <f>IFERROR(__xludf.DUMMYFUNCTION("""COMPUTED_VALUE"""),"")</f>
        <v/>
      </c>
      <c r="E317" s="13" t="str">
        <f>IF(D317&lt;&gt;"",VLOOKUP(D317,Settings!$G$3:$H$6,2,false),"")</f>
        <v/>
      </c>
      <c r="F317" s="15" t="str">
        <f>IFERROR(__xludf.DUMMYFUNCTION("""COMPUTED_VALUE"""),"")</f>
        <v/>
      </c>
      <c r="G317" s="15" t="str">
        <f>IFERROR(__xludf.DUMMYFUNCTION("""COMPUTED_VALUE"""),"")</f>
        <v/>
      </c>
      <c r="H317" s="12" t="str">
        <f>IF(G317&lt;&gt;"",VLOOKUP(G317,Settings!$B$4:$C$35,2,false),"")</f>
        <v/>
      </c>
      <c r="I317" s="12" t="str">
        <f>IFERROR(__xludf.DUMMYFUNCTION("""COMPUTED_VALUE"""),"")</f>
        <v/>
      </c>
      <c r="J317" s="15"/>
      <c r="K317" s="12"/>
      <c r="L317" s="3"/>
    </row>
    <row r="318">
      <c r="A318" s="17" t="str">
        <f t="shared" si="1"/>
        <v/>
      </c>
      <c r="B318" s="12" t="str">
        <f>IFERROR(__xludf.DUMMYFUNCTION("""COMPUTED_VALUE"""),"")</f>
        <v/>
      </c>
      <c r="C318" s="12" t="str">
        <f>IFERROR(__xludf.DUMMYFUNCTION("""COMPUTED_VALUE"""),"")</f>
        <v/>
      </c>
      <c r="D318" s="12" t="str">
        <f>IFERROR(__xludf.DUMMYFUNCTION("""COMPUTED_VALUE"""),"")</f>
        <v/>
      </c>
      <c r="E318" s="13" t="str">
        <f>IF(D318&lt;&gt;"",VLOOKUP(D318,Settings!$G$3:$H$6,2,false),"")</f>
        <v/>
      </c>
      <c r="F318" s="15" t="str">
        <f>IFERROR(__xludf.DUMMYFUNCTION("""COMPUTED_VALUE"""),"")</f>
        <v/>
      </c>
      <c r="G318" s="15" t="str">
        <f>IFERROR(__xludf.DUMMYFUNCTION("""COMPUTED_VALUE"""),"")</f>
        <v/>
      </c>
      <c r="H318" s="12" t="str">
        <f>IF(G318&lt;&gt;"",VLOOKUP(G318,Settings!$B$4:$C$35,2,false),"")</f>
        <v/>
      </c>
      <c r="I318" s="12" t="str">
        <f>IFERROR(__xludf.DUMMYFUNCTION("""COMPUTED_VALUE"""),"")</f>
        <v/>
      </c>
      <c r="J318" s="15"/>
      <c r="K318" s="12"/>
      <c r="L318" s="3"/>
    </row>
    <row r="319">
      <c r="A319" s="17" t="str">
        <f t="shared" si="1"/>
        <v/>
      </c>
      <c r="B319" s="12" t="str">
        <f>IFERROR(__xludf.DUMMYFUNCTION("""COMPUTED_VALUE"""),"")</f>
        <v/>
      </c>
      <c r="C319" s="12" t="str">
        <f>IFERROR(__xludf.DUMMYFUNCTION("""COMPUTED_VALUE"""),"")</f>
        <v/>
      </c>
      <c r="D319" s="12" t="str">
        <f>IFERROR(__xludf.DUMMYFUNCTION("""COMPUTED_VALUE"""),"")</f>
        <v/>
      </c>
      <c r="E319" s="13" t="str">
        <f>IF(D319&lt;&gt;"",VLOOKUP(D319,Settings!$G$3:$H$6,2,false),"")</f>
        <v/>
      </c>
      <c r="F319" s="15" t="str">
        <f>IFERROR(__xludf.DUMMYFUNCTION("""COMPUTED_VALUE"""),"")</f>
        <v/>
      </c>
      <c r="G319" s="15" t="str">
        <f>IFERROR(__xludf.DUMMYFUNCTION("""COMPUTED_VALUE"""),"")</f>
        <v/>
      </c>
      <c r="H319" s="12" t="str">
        <f>IF(G319&lt;&gt;"",VLOOKUP(G319,Settings!$B$4:$C$35,2,false),"")</f>
        <v/>
      </c>
      <c r="I319" s="12" t="str">
        <f>IFERROR(__xludf.DUMMYFUNCTION("""COMPUTED_VALUE"""),"")</f>
        <v/>
      </c>
      <c r="J319" s="12"/>
      <c r="K319" s="12"/>
      <c r="L319" s="3"/>
    </row>
    <row r="320">
      <c r="A320" s="17" t="str">
        <f t="shared" si="1"/>
        <v/>
      </c>
      <c r="B320" s="12" t="str">
        <f>IFERROR(__xludf.DUMMYFUNCTION("""COMPUTED_VALUE"""),"")</f>
        <v/>
      </c>
      <c r="C320" s="12" t="str">
        <f>IFERROR(__xludf.DUMMYFUNCTION("""COMPUTED_VALUE"""),"")</f>
        <v/>
      </c>
      <c r="D320" s="12" t="str">
        <f>IFERROR(__xludf.DUMMYFUNCTION("""COMPUTED_VALUE"""),"")</f>
        <v/>
      </c>
      <c r="E320" s="13" t="str">
        <f>IF(D320&lt;&gt;"",VLOOKUP(D320,Settings!$G$3:$H$6,2,false),"")</f>
        <v/>
      </c>
      <c r="F320" s="15" t="str">
        <f>IFERROR(__xludf.DUMMYFUNCTION("""COMPUTED_VALUE"""),"")</f>
        <v/>
      </c>
      <c r="G320" s="15" t="str">
        <f>IFERROR(__xludf.DUMMYFUNCTION("""COMPUTED_VALUE"""),"")</f>
        <v/>
      </c>
      <c r="H320" s="12" t="str">
        <f>IF(G320&lt;&gt;"",VLOOKUP(G320,Settings!$B$4:$C$35,2,false),"")</f>
        <v/>
      </c>
      <c r="I320" s="12" t="str">
        <f>IFERROR(__xludf.DUMMYFUNCTION("""COMPUTED_VALUE"""),"")</f>
        <v/>
      </c>
      <c r="J320" s="15"/>
      <c r="K320" s="16"/>
      <c r="L320" s="6"/>
    </row>
    <row r="321">
      <c r="A321" s="17" t="str">
        <f t="shared" si="1"/>
        <v/>
      </c>
      <c r="B321" s="12" t="str">
        <f>IFERROR(__xludf.DUMMYFUNCTION("""COMPUTED_VALUE"""),"")</f>
        <v/>
      </c>
      <c r="C321" s="12" t="str">
        <f>IFERROR(__xludf.DUMMYFUNCTION("""COMPUTED_VALUE"""),"")</f>
        <v/>
      </c>
      <c r="D321" s="12" t="str">
        <f>IFERROR(__xludf.DUMMYFUNCTION("""COMPUTED_VALUE"""),"")</f>
        <v/>
      </c>
      <c r="E321" s="13" t="str">
        <f>IF(D321&lt;&gt;"",VLOOKUP(D321,Settings!$G$3:$H$6,2,false),"")</f>
        <v/>
      </c>
      <c r="F321" s="15" t="str">
        <f>IFERROR(__xludf.DUMMYFUNCTION("""COMPUTED_VALUE"""),"")</f>
        <v/>
      </c>
      <c r="G321" s="15" t="str">
        <f>IFERROR(__xludf.DUMMYFUNCTION("""COMPUTED_VALUE"""),"")</f>
        <v/>
      </c>
      <c r="H321" s="12" t="str">
        <f>IF(G321&lt;&gt;"",VLOOKUP(G321,Settings!$B$4:$C$35,2,false),"")</f>
        <v/>
      </c>
      <c r="I321" s="12" t="str">
        <f>IFERROR(__xludf.DUMMYFUNCTION("""COMPUTED_VALUE"""),"")</f>
        <v/>
      </c>
      <c r="J321" s="15"/>
      <c r="K321" s="16"/>
      <c r="L321" s="6"/>
    </row>
    <row r="322">
      <c r="A322" s="17" t="str">
        <f t="shared" si="1"/>
        <v/>
      </c>
      <c r="B322" s="12" t="str">
        <f>IFERROR(__xludf.DUMMYFUNCTION("""COMPUTED_VALUE"""),"")</f>
        <v/>
      </c>
      <c r="C322" s="12" t="str">
        <f>IFERROR(__xludf.DUMMYFUNCTION("""COMPUTED_VALUE"""),"")</f>
        <v/>
      </c>
      <c r="D322" s="12" t="str">
        <f>IFERROR(__xludf.DUMMYFUNCTION("""COMPUTED_VALUE"""),"")</f>
        <v/>
      </c>
      <c r="E322" s="13" t="str">
        <f>IF(D322&lt;&gt;"",VLOOKUP(D322,Settings!$G$3:$H$6,2,false),"")</f>
        <v/>
      </c>
      <c r="F322" s="15" t="str">
        <f>IFERROR(__xludf.DUMMYFUNCTION("""COMPUTED_VALUE"""),"")</f>
        <v/>
      </c>
      <c r="G322" s="15" t="str">
        <f>IFERROR(__xludf.DUMMYFUNCTION("""COMPUTED_VALUE"""),"")</f>
        <v/>
      </c>
      <c r="H322" s="12" t="str">
        <f>IF(G322&lt;&gt;"",VLOOKUP(G322,Settings!$B$4:$C$35,2,false),"")</f>
        <v/>
      </c>
      <c r="I322" s="12" t="str">
        <f>IFERROR(__xludf.DUMMYFUNCTION("""COMPUTED_VALUE"""),"")</f>
        <v/>
      </c>
      <c r="J322" s="15"/>
      <c r="K322" s="12"/>
      <c r="L322" s="3"/>
    </row>
    <row r="323">
      <c r="A323" s="17" t="str">
        <f t="shared" si="1"/>
        <v/>
      </c>
      <c r="B323" s="12" t="str">
        <f>IFERROR(__xludf.DUMMYFUNCTION("""COMPUTED_VALUE"""),"")</f>
        <v/>
      </c>
      <c r="C323" s="12" t="str">
        <f>IFERROR(__xludf.DUMMYFUNCTION("""COMPUTED_VALUE"""),"")</f>
        <v/>
      </c>
      <c r="D323" s="12" t="str">
        <f>IFERROR(__xludf.DUMMYFUNCTION("""COMPUTED_VALUE"""),"")</f>
        <v/>
      </c>
      <c r="E323" s="13" t="str">
        <f>IF(D323&lt;&gt;"",VLOOKUP(D323,Settings!$G$3:$H$6,2,false),"")</f>
        <v/>
      </c>
      <c r="F323" s="15" t="str">
        <f>IFERROR(__xludf.DUMMYFUNCTION("""COMPUTED_VALUE"""),"")</f>
        <v/>
      </c>
      <c r="G323" s="15" t="str">
        <f>IFERROR(__xludf.DUMMYFUNCTION("""COMPUTED_VALUE"""),"")</f>
        <v/>
      </c>
      <c r="H323" s="12" t="str">
        <f>IF(G323&lt;&gt;"",VLOOKUP(G323,Settings!$B$4:$C$35,2,false),"")</f>
        <v/>
      </c>
      <c r="I323" s="12" t="str">
        <f>IFERROR(__xludf.DUMMYFUNCTION("""COMPUTED_VALUE"""),"")</f>
        <v/>
      </c>
      <c r="J323" s="15"/>
      <c r="K323" s="12"/>
      <c r="L323" s="3"/>
    </row>
    <row r="324">
      <c r="A324" s="17" t="str">
        <f t="shared" si="1"/>
        <v/>
      </c>
      <c r="B324" s="12" t="str">
        <f>IFERROR(__xludf.DUMMYFUNCTION("""COMPUTED_VALUE"""),"")</f>
        <v/>
      </c>
      <c r="C324" s="12" t="str">
        <f>IFERROR(__xludf.DUMMYFUNCTION("""COMPUTED_VALUE"""),"")</f>
        <v/>
      </c>
      <c r="D324" s="12" t="str">
        <f>IFERROR(__xludf.DUMMYFUNCTION("""COMPUTED_VALUE"""),"")</f>
        <v/>
      </c>
      <c r="E324" s="13" t="str">
        <f>IF(D324&lt;&gt;"",VLOOKUP(D324,Settings!$G$3:$H$6,2,false),"")</f>
        <v/>
      </c>
      <c r="F324" s="15" t="str">
        <f>IFERROR(__xludf.DUMMYFUNCTION("""COMPUTED_VALUE"""),"")</f>
        <v/>
      </c>
      <c r="G324" s="15" t="str">
        <f>IFERROR(__xludf.DUMMYFUNCTION("""COMPUTED_VALUE"""),"")</f>
        <v/>
      </c>
      <c r="H324" s="12" t="str">
        <f>IF(G324&lt;&gt;"",VLOOKUP(G324,Settings!$B$4:$C$35,2,false),"")</f>
        <v/>
      </c>
      <c r="I324" s="12" t="str">
        <f>IFERROR(__xludf.DUMMYFUNCTION("""COMPUTED_VALUE"""),"")</f>
        <v/>
      </c>
      <c r="J324" s="15"/>
      <c r="K324" s="12"/>
      <c r="L324" s="3"/>
    </row>
    <row r="325">
      <c r="A325" s="17" t="str">
        <f t="shared" si="1"/>
        <v/>
      </c>
      <c r="B325" s="12" t="str">
        <f>IFERROR(__xludf.DUMMYFUNCTION("""COMPUTED_VALUE"""),"")</f>
        <v/>
      </c>
      <c r="C325" s="12" t="str">
        <f>IFERROR(__xludf.DUMMYFUNCTION("""COMPUTED_VALUE"""),"")</f>
        <v/>
      </c>
      <c r="D325" s="12" t="str">
        <f>IFERROR(__xludf.DUMMYFUNCTION("""COMPUTED_VALUE"""),"")</f>
        <v/>
      </c>
      <c r="E325" s="13" t="str">
        <f>IF(D325&lt;&gt;"",VLOOKUP(D325,Settings!$G$3:$H$6,2,false),"")</f>
        <v/>
      </c>
      <c r="F325" s="15" t="str">
        <f>IFERROR(__xludf.DUMMYFUNCTION("""COMPUTED_VALUE"""),"")</f>
        <v/>
      </c>
      <c r="G325" s="15" t="str">
        <f>IFERROR(__xludf.DUMMYFUNCTION("""COMPUTED_VALUE"""),"")</f>
        <v/>
      </c>
      <c r="H325" s="12" t="str">
        <f>IF(G325&lt;&gt;"",VLOOKUP(G325,Settings!$B$4:$C$35,2,false),"")</f>
        <v/>
      </c>
      <c r="I325" s="12" t="str">
        <f>IFERROR(__xludf.DUMMYFUNCTION("""COMPUTED_VALUE"""),"")</f>
        <v/>
      </c>
      <c r="J325" s="15"/>
      <c r="K325" s="12"/>
      <c r="L325" s="3"/>
    </row>
    <row r="326">
      <c r="A326" s="17" t="str">
        <f t="shared" si="1"/>
        <v/>
      </c>
      <c r="B326" s="12" t="str">
        <f>IFERROR(__xludf.DUMMYFUNCTION("""COMPUTED_VALUE"""),"")</f>
        <v/>
      </c>
      <c r="C326" s="12" t="str">
        <f>IFERROR(__xludf.DUMMYFUNCTION("""COMPUTED_VALUE"""),"")</f>
        <v/>
      </c>
      <c r="D326" s="12" t="str">
        <f>IFERROR(__xludf.DUMMYFUNCTION("""COMPUTED_VALUE"""),"")</f>
        <v/>
      </c>
      <c r="E326" s="13" t="str">
        <f>IF(D326&lt;&gt;"",VLOOKUP(D326,Settings!$G$3:$H$6,2,false),"")</f>
        <v/>
      </c>
      <c r="F326" s="15" t="str">
        <f>IFERROR(__xludf.DUMMYFUNCTION("""COMPUTED_VALUE"""),"")</f>
        <v/>
      </c>
      <c r="G326" s="15" t="str">
        <f>IFERROR(__xludf.DUMMYFUNCTION("""COMPUTED_VALUE"""),"")</f>
        <v/>
      </c>
      <c r="H326" s="12" t="str">
        <f>IF(G326&lt;&gt;"",VLOOKUP(G326,Settings!$B$4:$C$35,2,false),"")</f>
        <v/>
      </c>
      <c r="I326" s="12" t="str">
        <f>IFERROR(__xludf.DUMMYFUNCTION("""COMPUTED_VALUE"""),"")</f>
        <v/>
      </c>
      <c r="J326" s="15"/>
      <c r="K326" s="103"/>
      <c r="L326" s="3"/>
    </row>
    <row r="327">
      <c r="A327" s="17" t="str">
        <f t="shared" si="1"/>
        <v/>
      </c>
      <c r="B327" s="12" t="str">
        <f>IFERROR(__xludf.DUMMYFUNCTION("""COMPUTED_VALUE"""),"")</f>
        <v/>
      </c>
      <c r="C327" s="12" t="str">
        <f>IFERROR(__xludf.DUMMYFUNCTION("""COMPUTED_VALUE"""),"")</f>
        <v/>
      </c>
      <c r="D327" s="12" t="str">
        <f>IFERROR(__xludf.DUMMYFUNCTION("""COMPUTED_VALUE"""),"")</f>
        <v/>
      </c>
      <c r="E327" s="13" t="str">
        <f>IF(D327&lt;&gt;"",VLOOKUP(D327,Settings!$G$3:$H$6,2,false),"")</f>
        <v/>
      </c>
      <c r="F327" s="15" t="str">
        <f>IFERROR(__xludf.DUMMYFUNCTION("""COMPUTED_VALUE"""),"")</f>
        <v/>
      </c>
      <c r="G327" s="15" t="str">
        <f>IFERROR(__xludf.DUMMYFUNCTION("""COMPUTED_VALUE"""),"")</f>
        <v/>
      </c>
      <c r="H327" s="12" t="str">
        <f>IF(G327&lt;&gt;"",VLOOKUP(G327,Settings!$B$4:$C$35,2,false),"")</f>
        <v/>
      </c>
      <c r="I327" s="12" t="str">
        <f>IFERROR(__xludf.DUMMYFUNCTION("""COMPUTED_VALUE"""),"")</f>
        <v/>
      </c>
      <c r="J327" s="15"/>
      <c r="K327" s="16"/>
      <c r="L327" s="6"/>
    </row>
    <row r="328">
      <c r="A328" s="17" t="str">
        <f t="shared" si="1"/>
        <v/>
      </c>
      <c r="B328" s="12" t="str">
        <f>IFERROR(__xludf.DUMMYFUNCTION("""COMPUTED_VALUE"""),"")</f>
        <v/>
      </c>
      <c r="C328" s="12" t="str">
        <f>IFERROR(__xludf.DUMMYFUNCTION("""COMPUTED_VALUE"""),"")</f>
        <v/>
      </c>
      <c r="D328" s="12" t="str">
        <f>IFERROR(__xludf.DUMMYFUNCTION("""COMPUTED_VALUE"""),"")</f>
        <v/>
      </c>
      <c r="E328" s="13" t="str">
        <f>IF(D328&lt;&gt;"",VLOOKUP(D328,Settings!$G$3:$H$6,2,false),"")</f>
        <v/>
      </c>
      <c r="F328" s="15" t="str">
        <f>IFERROR(__xludf.DUMMYFUNCTION("""COMPUTED_VALUE"""),"")</f>
        <v/>
      </c>
      <c r="G328" s="15" t="str">
        <f>IFERROR(__xludf.DUMMYFUNCTION("""COMPUTED_VALUE"""),"")</f>
        <v/>
      </c>
      <c r="H328" s="12" t="str">
        <f>IF(G328&lt;&gt;"",VLOOKUP(G328,Settings!$B$4:$C$35,2,false),"")</f>
        <v/>
      </c>
      <c r="I328" s="12" t="str">
        <f>IFERROR(__xludf.DUMMYFUNCTION("""COMPUTED_VALUE"""),"")</f>
        <v/>
      </c>
      <c r="J328" s="15"/>
      <c r="K328" s="12"/>
      <c r="L328" s="3"/>
    </row>
    <row r="329">
      <c r="A329" s="17" t="str">
        <f t="shared" si="1"/>
        <v/>
      </c>
      <c r="B329" s="12" t="str">
        <f>IFERROR(__xludf.DUMMYFUNCTION("""COMPUTED_VALUE"""),"")</f>
        <v/>
      </c>
      <c r="C329" s="12" t="str">
        <f>IFERROR(__xludf.DUMMYFUNCTION("""COMPUTED_VALUE"""),"")</f>
        <v/>
      </c>
      <c r="D329" s="12" t="str">
        <f>IFERROR(__xludf.DUMMYFUNCTION("""COMPUTED_VALUE"""),"")</f>
        <v/>
      </c>
      <c r="E329" s="13" t="str">
        <f>IF(D329&lt;&gt;"",VLOOKUP(D329,Settings!$G$3:$H$6,2,false),"")</f>
        <v/>
      </c>
      <c r="F329" s="15" t="str">
        <f>IFERROR(__xludf.DUMMYFUNCTION("""COMPUTED_VALUE"""),"")</f>
        <v/>
      </c>
      <c r="G329" s="15" t="str">
        <f>IFERROR(__xludf.DUMMYFUNCTION("""COMPUTED_VALUE"""),"")</f>
        <v/>
      </c>
      <c r="H329" s="12" t="str">
        <f>IF(G329&lt;&gt;"",VLOOKUP(G329,Settings!$B$4:$C$35,2,false),"")</f>
        <v/>
      </c>
      <c r="I329" s="12" t="str">
        <f>IFERROR(__xludf.DUMMYFUNCTION("""COMPUTED_VALUE"""),"")</f>
        <v/>
      </c>
      <c r="J329" s="15"/>
      <c r="K329" s="12"/>
      <c r="L329" s="3"/>
    </row>
    <row r="330">
      <c r="A330" s="17" t="str">
        <f t="shared" si="1"/>
        <v/>
      </c>
      <c r="B330" s="12" t="str">
        <f>IFERROR(__xludf.DUMMYFUNCTION("""COMPUTED_VALUE"""),"")</f>
        <v/>
      </c>
      <c r="C330" s="12" t="str">
        <f>IFERROR(__xludf.DUMMYFUNCTION("""COMPUTED_VALUE"""),"")</f>
        <v/>
      </c>
      <c r="D330" s="12" t="str">
        <f>IFERROR(__xludf.DUMMYFUNCTION("""COMPUTED_VALUE"""),"")</f>
        <v/>
      </c>
      <c r="E330" s="13" t="str">
        <f>IF(D330&lt;&gt;"",VLOOKUP(D330,Settings!$G$3:$H$6,2,false),"")</f>
        <v/>
      </c>
      <c r="F330" s="15" t="str">
        <f>IFERROR(__xludf.DUMMYFUNCTION("""COMPUTED_VALUE"""),"")</f>
        <v/>
      </c>
      <c r="G330" s="15" t="str">
        <f>IFERROR(__xludf.DUMMYFUNCTION("""COMPUTED_VALUE"""),"")</f>
        <v/>
      </c>
      <c r="H330" s="12" t="str">
        <f>IF(G330&lt;&gt;"",VLOOKUP(G330,Settings!$B$4:$C$35,2,false),"")</f>
        <v/>
      </c>
      <c r="I330" s="12" t="str">
        <f>IFERROR(__xludf.DUMMYFUNCTION("""COMPUTED_VALUE"""),"")</f>
        <v/>
      </c>
      <c r="J330" s="15"/>
      <c r="K330" s="12"/>
      <c r="L330" s="3"/>
    </row>
    <row r="331">
      <c r="A331" s="17" t="str">
        <f t="shared" si="1"/>
        <v/>
      </c>
      <c r="B331" s="12" t="str">
        <f>IFERROR(__xludf.DUMMYFUNCTION("""COMPUTED_VALUE"""),"")</f>
        <v/>
      </c>
      <c r="C331" s="12" t="str">
        <f>IFERROR(__xludf.DUMMYFUNCTION("""COMPUTED_VALUE"""),"")</f>
        <v/>
      </c>
      <c r="D331" s="12" t="str">
        <f>IFERROR(__xludf.DUMMYFUNCTION("""COMPUTED_VALUE"""),"")</f>
        <v/>
      </c>
      <c r="E331" s="13" t="str">
        <f>IF(D331&lt;&gt;"",VLOOKUP(D331,Settings!$G$3:$H$6,2,false),"")</f>
        <v/>
      </c>
      <c r="F331" s="15" t="str">
        <f>IFERROR(__xludf.DUMMYFUNCTION("""COMPUTED_VALUE"""),"")</f>
        <v/>
      </c>
      <c r="G331" s="15" t="str">
        <f>IFERROR(__xludf.DUMMYFUNCTION("""COMPUTED_VALUE"""),"")</f>
        <v/>
      </c>
      <c r="H331" s="12" t="str">
        <f>IF(G331&lt;&gt;"",VLOOKUP(G331,Settings!$B$4:$C$35,2,false),"")</f>
        <v/>
      </c>
      <c r="I331" s="12" t="str">
        <f>IFERROR(__xludf.DUMMYFUNCTION("""COMPUTED_VALUE"""),"")</f>
        <v/>
      </c>
      <c r="J331" s="15"/>
      <c r="K331" s="12"/>
      <c r="L331" s="3"/>
    </row>
    <row r="332">
      <c r="A332" s="17" t="str">
        <f t="shared" si="1"/>
        <v/>
      </c>
      <c r="B332" s="12" t="str">
        <f>IFERROR(__xludf.DUMMYFUNCTION("""COMPUTED_VALUE"""),"")</f>
        <v/>
      </c>
      <c r="C332" s="12" t="str">
        <f>IFERROR(__xludf.DUMMYFUNCTION("""COMPUTED_VALUE"""),"")</f>
        <v/>
      </c>
      <c r="D332" s="12" t="str">
        <f>IFERROR(__xludf.DUMMYFUNCTION("""COMPUTED_VALUE"""),"")</f>
        <v/>
      </c>
      <c r="E332" s="13" t="str">
        <f>IF(D332&lt;&gt;"",VLOOKUP(D332,Settings!$G$3:$H$6,2,false),"")</f>
        <v/>
      </c>
      <c r="F332" s="15" t="str">
        <f>IFERROR(__xludf.DUMMYFUNCTION("""COMPUTED_VALUE"""),"")</f>
        <v/>
      </c>
      <c r="G332" s="15" t="str">
        <f>IFERROR(__xludf.DUMMYFUNCTION("""COMPUTED_VALUE"""),"")</f>
        <v/>
      </c>
      <c r="H332" s="12" t="str">
        <f>IF(G332&lt;&gt;"",VLOOKUP(G332,Settings!$B$4:$C$35,2,false),"")</f>
        <v/>
      </c>
      <c r="I332" s="12" t="str">
        <f>IFERROR(__xludf.DUMMYFUNCTION("""COMPUTED_VALUE"""),"")</f>
        <v/>
      </c>
      <c r="J332" s="15"/>
      <c r="K332" s="12"/>
      <c r="L332" s="3"/>
    </row>
    <row r="333">
      <c r="A333" s="17" t="str">
        <f t="shared" si="1"/>
        <v/>
      </c>
      <c r="B333" s="12" t="str">
        <f>IFERROR(__xludf.DUMMYFUNCTION("""COMPUTED_VALUE"""),"")</f>
        <v/>
      </c>
      <c r="C333" s="12" t="str">
        <f>IFERROR(__xludf.DUMMYFUNCTION("""COMPUTED_VALUE"""),"")</f>
        <v/>
      </c>
      <c r="D333" s="12" t="str">
        <f>IFERROR(__xludf.DUMMYFUNCTION("""COMPUTED_VALUE"""),"")</f>
        <v/>
      </c>
      <c r="E333" s="13" t="str">
        <f>IF(D333&lt;&gt;"",VLOOKUP(D333,Settings!$G$3:$H$6,2,false),"")</f>
        <v/>
      </c>
      <c r="F333" s="15" t="str">
        <f>IFERROR(__xludf.DUMMYFUNCTION("""COMPUTED_VALUE"""),"")</f>
        <v/>
      </c>
      <c r="G333" s="15" t="str">
        <f>IFERROR(__xludf.DUMMYFUNCTION("""COMPUTED_VALUE"""),"")</f>
        <v/>
      </c>
      <c r="H333" s="12" t="str">
        <f>IF(G333&lt;&gt;"",VLOOKUP(G333,Settings!$B$4:$C$35,2,false),"")</f>
        <v/>
      </c>
      <c r="I333" s="12" t="str">
        <f>IFERROR(__xludf.DUMMYFUNCTION("""COMPUTED_VALUE"""),"")</f>
        <v/>
      </c>
      <c r="J333" s="15"/>
      <c r="K333" s="16"/>
      <c r="L333" s="3"/>
    </row>
    <row r="334">
      <c r="A334" s="17" t="str">
        <f t="shared" si="1"/>
        <v/>
      </c>
      <c r="B334" s="12" t="str">
        <f>IFERROR(__xludf.DUMMYFUNCTION("""COMPUTED_VALUE"""),"")</f>
        <v/>
      </c>
      <c r="C334" s="12" t="str">
        <f>IFERROR(__xludf.DUMMYFUNCTION("""COMPUTED_VALUE"""),"")</f>
        <v/>
      </c>
      <c r="D334" s="12" t="str">
        <f>IFERROR(__xludf.DUMMYFUNCTION("""COMPUTED_VALUE"""),"")</f>
        <v/>
      </c>
      <c r="E334" s="13" t="str">
        <f>IF(D334&lt;&gt;"",VLOOKUP(D334,Settings!$G$3:$H$6,2,false),"")</f>
        <v/>
      </c>
      <c r="F334" s="15" t="str">
        <f>IFERROR(__xludf.DUMMYFUNCTION("""COMPUTED_VALUE"""),"")</f>
        <v/>
      </c>
      <c r="G334" s="15" t="str">
        <f>IFERROR(__xludf.DUMMYFUNCTION("""COMPUTED_VALUE"""),"")</f>
        <v/>
      </c>
      <c r="H334" s="12" t="str">
        <f>IF(G334&lt;&gt;"",VLOOKUP(G334,Settings!$B$4:$C$35,2,false),"")</f>
        <v/>
      </c>
      <c r="I334" s="12" t="str">
        <f>IFERROR(__xludf.DUMMYFUNCTION("""COMPUTED_VALUE"""),"")</f>
        <v/>
      </c>
      <c r="J334" s="15"/>
      <c r="K334" s="16"/>
      <c r="L334" s="3"/>
    </row>
    <row r="335">
      <c r="A335" s="17" t="str">
        <f t="shared" si="1"/>
        <v/>
      </c>
      <c r="B335" s="12" t="str">
        <f>IFERROR(__xludf.DUMMYFUNCTION("""COMPUTED_VALUE"""),"")</f>
        <v/>
      </c>
      <c r="C335" s="12" t="str">
        <f>IFERROR(__xludf.DUMMYFUNCTION("""COMPUTED_VALUE"""),"")</f>
        <v/>
      </c>
      <c r="D335" s="12" t="str">
        <f>IFERROR(__xludf.DUMMYFUNCTION("""COMPUTED_VALUE"""),"")</f>
        <v/>
      </c>
      <c r="E335" s="13" t="str">
        <f>IF(D335&lt;&gt;"",VLOOKUP(D335,Settings!$G$3:$H$6,2,false),"")</f>
        <v/>
      </c>
      <c r="F335" s="15" t="str">
        <f>IFERROR(__xludf.DUMMYFUNCTION("""COMPUTED_VALUE"""),"")</f>
        <v/>
      </c>
      <c r="G335" s="15" t="str">
        <f>IFERROR(__xludf.DUMMYFUNCTION("""COMPUTED_VALUE"""),"")</f>
        <v/>
      </c>
      <c r="H335" s="12" t="str">
        <f>IF(G335&lt;&gt;"",VLOOKUP(G335,Settings!$B$4:$C$35,2,false),"")</f>
        <v/>
      </c>
      <c r="I335" s="12" t="str">
        <f>IFERROR(__xludf.DUMMYFUNCTION("""COMPUTED_VALUE"""),"")</f>
        <v/>
      </c>
      <c r="J335" s="15"/>
      <c r="K335" s="16"/>
      <c r="L335" s="3"/>
    </row>
    <row r="336">
      <c r="A336" s="17" t="str">
        <f t="shared" si="1"/>
        <v/>
      </c>
      <c r="B336" s="12" t="str">
        <f>IFERROR(__xludf.DUMMYFUNCTION("""COMPUTED_VALUE"""),"")</f>
        <v/>
      </c>
      <c r="C336" s="12" t="str">
        <f>IFERROR(__xludf.DUMMYFUNCTION("""COMPUTED_VALUE"""),"")</f>
        <v/>
      </c>
      <c r="D336" s="12" t="str">
        <f>IFERROR(__xludf.DUMMYFUNCTION("""COMPUTED_VALUE"""),"")</f>
        <v/>
      </c>
      <c r="E336" s="13" t="str">
        <f>IF(D336&lt;&gt;"",VLOOKUP(D336,Settings!$G$3:$H$6,2,false),"")</f>
        <v/>
      </c>
      <c r="F336" s="15" t="str">
        <f>IFERROR(__xludf.DUMMYFUNCTION("""COMPUTED_VALUE"""),"")</f>
        <v/>
      </c>
      <c r="G336" s="15" t="str">
        <f>IFERROR(__xludf.DUMMYFUNCTION("""COMPUTED_VALUE"""),"")</f>
        <v/>
      </c>
      <c r="H336" s="12" t="str">
        <f>IF(G336&lt;&gt;"",VLOOKUP(G336,Settings!$B$4:$C$35,2,false),"")</f>
        <v/>
      </c>
      <c r="I336" s="12" t="str">
        <f>IFERROR(__xludf.DUMMYFUNCTION("""COMPUTED_VALUE"""),"")</f>
        <v/>
      </c>
      <c r="J336" s="15"/>
      <c r="K336" s="16"/>
      <c r="L336" s="3"/>
    </row>
    <row r="337">
      <c r="A337" s="17" t="str">
        <f t="shared" si="1"/>
        <v/>
      </c>
      <c r="B337" s="12" t="str">
        <f>IFERROR(__xludf.DUMMYFUNCTION("""COMPUTED_VALUE"""),"")</f>
        <v/>
      </c>
      <c r="C337" s="12" t="str">
        <f>IFERROR(__xludf.DUMMYFUNCTION("""COMPUTED_VALUE"""),"")</f>
        <v/>
      </c>
      <c r="D337" s="12" t="str">
        <f>IFERROR(__xludf.DUMMYFUNCTION("""COMPUTED_VALUE"""),"")</f>
        <v/>
      </c>
      <c r="E337" s="13" t="str">
        <f>IF(D337&lt;&gt;"",VLOOKUP(D337,Settings!$G$3:$H$6,2,false),"")</f>
        <v/>
      </c>
      <c r="F337" s="15" t="str">
        <f>IFERROR(__xludf.DUMMYFUNCTION("""COMPUTED_VALUE"""),"")</f>
        <v/>
      </c>
      <c r="G337" s="15" t="str">
        <f>IFERROR(__xludf.DUMMYFUNCTION("""COMPUTED_VALUE"""),"")</f>
        <v/>
      </c>
      <c r="H337" s="12" t="str">
        <f>IF(G337&lt;&gt;"",VLOOKUP(G337,Settings!$B$4:$C$35,2,false),"")</f>
        <v/>
      </c>
      <c r="I337" s="12" t="str">
        <f>IFERROR(__xludf.DUMMYFUNCTION("""COMPUTED_VALUE"""),"")</f>
        <v/>
      </c>
      <c r="J337" s="15"/>
      <c r="K337" s="16"/>
      <c r="L337" s="3"/>
    </row>
    <row r="338">
      <c r="A338" s="17" t="str">
        <f t="shared" si="1"/>
        <v/>
      </c>
      <c r="B338" s="12" t="str">
        <f>IFERROR(__xludf.DUMMYFUNCTION("""COMPUTED_VALUE"""),"")</f>
        <v/>
      </c>
      <c r="C338" s="12" t="str">
        <f>IFERROR(__xludf.DUMMYFUNCTION("""COMPUTED_VALUE"""),"")</f>
        <v/>
      </c>
      <c r="D338" s="12" t="str">
        <f>IFERROR(__xludf.DUMMYFUNCTION("""COMPUTED_VALUE"""),"")</f>
        <v/>
      </c>
      <c r="E338" s="13" t="str">
        <f>IF(D338&lt;&gt;"",VLOOKUP(D338,Settings!$G$3:$H$6,2,false),"")</f>
        <v/>
      </c>
      <c r="F338" s="15" t="str">
        <f>IFERROR(__xludf.DUMMYFUNCTION("""COMPUTED_VALUE"""),"")</f>
        <v/>
      </c>
      <c r="G338" s="15" t="str">
        <f>IFERROR(__xludf.DUMMYFUNCTION("""COMPUTED_VALUE"""),"")</f>
        <v/>
      </c>
      <c r="H338" s="12" t="str">
        <f>IF(G338&lt;&gt;"",VLOOKUP(G338,Settings!$B$4:$C$35,2,false),"")</f>
        <v/>
      </c>
      <c r="I338" s="12" t="str">
        <f>IFERROR(__xludf.DUMMYFUNCTION("""COMPUTED_VALUE"""),"")</f>
        <v/>
      </c>
      <c r="J338" s="15"/>
      <c r="K338" s="16"/>
      <c r="L338" s="3"/>
    </row>
    <row r="339">
      <c r="A339" s="17" t="str">
        <f t="shared" si="1"/>
        <v/>
      </c>
      <c r="B339" s="12" t="str">
        <f>IFERROR(__xludf.DUMMYFUNCTION("""COMPUTED_VALUE"""),"")</f>
        <v/>
      </c>
      <c r="C339" s="12" t="str">
        <f>IFERROR(__xludf.DUMMYFUNCTION("""COMPUTED_VALUE"""),"")</f>
        <v/>
      </c>
      <c r="D339" s="12" t="str">
        <f>IFERROR(__xludf.DUMMYFUNCTION("""COMPUTED_VALUE"""),"")</f>
        <v/>
      </c>
      <c r="E339" s="13" t="str">
        <f>IF(D339&lt;&gt;"",VLOOKUP(D339,Settings!$G$3:$H$6,2,false),"")</f>
        <v/>
      </c>
      <c r="F339" s="15" t="str">
        <f>IFERROR(__xludf.DUMMYFUNCTION("""COMPUTED_VALUE"""),"")</f>
        <v/>
      </c>
      <c r="G339" s="15" t="str">
        <f>IFERROR(__xludf.DUMMYFUNCTION("""COMPUTED_VALUE"""),"")</f>
        <v/>
      </c>
      <c r="H339" s="12" t="str">
        <f>IF(G339&lt;&gt;"",VLOOKUP(G339,Settings!$B$4:$C$35,2,false),"")</f>
        <v/>
      </c>
      <c r="I339" s="12" t="str">
        <f>IFERROR(__xludf.DUMMYFUNCTION("""COMPUTED_VALUE"""),"")</f>
        <v/>
      </c>
      <c r="J339" s="15"/>
      <c r="K339" s="16"/>
      <c r="L339" s="3"/>
    </row>
    <row r="340">
      <c r="A340" s="17" t="str">
        <f t="shared" si="1"/>
        <v/>
      </c>
      <c r="B340" s="12" t="str">
        <f>IFERROR(__xludf.DUMMYFUNCTION("""COMPUTED_VALUE"""),"")</f>
        <v/>
      </c>
      <c r="C340" s="12" t="str">
        <f>IFERROR(__xludf.DUMMYFUNCTION("""COMPUTED_VALUE"""),"")</f>
        <v/>
      </c>
      <c r="D340" s="12" t="str">
        <f>IFERROR(__xludf.DUMMYFUNCTION("""COMPUTED_VALUE"""),"")</f>
        <v/>
      </c>
      <c r="E340" s="13" t="str">
        <f>IF(D340&lt;&gt;"",VLOOKUP(D340,Settings!$G$3:$H$6,2,false),"")</f>
        <v/>
      </c>
      <c r="F340" s="15" t="str">
        <f>IFERROR(__xludf.DUMMYFUNCTION("""COMPUTED_VALUE"""),"")</f>
        <v/>
      </c>
      <c r="G340" s="15" t="str">
        <f>IFERROR(__xludf.DUMMYFUNCTION("""COMPUTED_VALUE"""),"")</f>
        <v/>
      </c>
      <c r="H340" s="12" t="str">
        <f>IF(G340&lt;&gt;"",VLOOKUP(G340,Settings!$B$4:$C$35,2,false),"")</f>
        <v/>
      </c>
      <c r="I340" s="12" t="str">
        <f>IFERROR(__xludf.DUMMYFUNCTION("""COMPUTED_VALUE"""),"")</f>
        <v/>
      </c>
      <c r="J340" s="15"/>
      <c r="K340" s="16"/>
      <c r="L340" s="3"/>
    </row>
    <row r="341">
      <c r="A341" s="17" t="str">
        <f t="shared" si="1"/>
        <v/>
      </c>
      <c r="B341" s="12" t="str">
        <f>IFERROR(__xludf.DUMMYFUNCTION("""COMPUTED_VALUE"""),"")</f>
        <v/>
      </c>
      <c r="C341" s="12" t="str">
        <f>IFERROR(__xludf.DUMMYFUNCTION("""COMPUTED_VALUE"""),"")</f>
        <v/>
      </c>
      <c r="D341" s="12" t="str">
        <f>IFERROR(__xludf.DUMMYFUNCTION("""COMPUTED_VALUE"""),"")</f>
        <v/>
      </c>
      <c r="E341" s="13" t="str">
        <f>IF(D341&lt;&gt;"",VLOOKUP(D341,Settings!$G$3:$H$6,2,false),"")</f>
        <v/>
      </c>
      <c r="F341" s="15" t="str">
        <f>IFERROR(__xludf.DUMMYFUNCTION("""COMPUTED_VALUE"""),"")</f>
        <v/>
      </c>
      <c r="G341" s="15" t="str">
        <f>IFERROR(__xludf.DUMMYFUNCTION("""COMPUTED_VALUE"""),"")</f>
        <v/>
      </c>
      <c r="H341" s="12" t="str">
        <f>IF(G341&lt;&gt;"",VLOOKUP(G341,Settings!$B$4:$C$35,2,false),"")</f>
        <v/>
      </c>
      <c r="I341" s="12" t="str">
        <f>IFERROR(__xludf.DUMMYFUNCTION("""COMPUTED_VALUE"""),"")</f>
        <v/>
      </c>
      <c r="J341" s="15"/>
      <c r="K341" s="16"/>
      <c r="L341" s="3"/>
    </row>
    <row r="342">
      <c r="A342" s="17" t="str">
        <f t="shared" si="1"/>
        <v/>
      </c>
      <c r="B342" s="12" t="str">
        <f>IFERROR(__xludf.DUMMYFUNCTION("""COMPUTED_VALUE"""),"")</f>
        <v/>
      </c>
      <c r="C342" s="12" t="str">
        <f>IFERROR(__xludf.DUMMYFUNCTION("""COMPUTED_VALUE"""),"")</f>
        <v/>
      </c>
      <c r="D342" s="12" t="str">
        <f>IFERROR(__xludf.DUMMYFUNCTION("""COMPUTED_VALUE"""),"")</f>
        <v/>
      </c>
      <c r="E342" s="13" t="str">
        <f>IF(D342&lt;&gt;"",VLOOKUP(D342,Settings!$G$3:$H$6,2,false),"")</f>
        <v/>
      </c>
      <c r="F342" s="15" t="str">
        <f>IFERROR(__xludf.DUMMYFUNCTION("""COMPUTED_VALUE"""),"")</f>
        <v/>
      </c>
      <c r="G342" s="15" t="str">
        <f>IFERROR(__xludf.DUMMYFUNCTION("""COMPUTED_VALUE"""),"")</f>
        <v/>
      </c>
      <c r="H342" s="12" t="str">
        <f>IF(G342&lt;&gt;"",VLOOKUP(G342,Settings!$B$4:$C$35,2,false),"")</f>
        <v/>
      </c>
      <c r="I342" s="12" t="str">
        <f>IFERROR(__xludf.DUMMYFUNCTION("""COMPUTED_VALUE"""),"")</f>
        <v/>
      </c>
      <c r="J342" s="15"/>
      <c r="K342" s="16"/>
      <c r="L342" s="3"/>
    </row>
    <row r="343">
      <c r="A343" s="17" t="str">
        <f t="shared" si="1"/>
        <v/>
      </c>
      <c r="B343" s="12" t="str">
        <f>IFERROR(__xludf.DUMMYFUNCTION("""COMPUTED_VALUE"""),"")</f>
        <v/>
      </c>
      <c r="C343" s="12" t="str">
        <f>IFERROR(__xludf.DUMMYFUNCTION("""COMPUTED_VALUE"""),"")</f>
        <v/>
      </c>
      <c r="D343" s="12" t="str">
        <f>IFERROR(__xludf.DUMMYFUNCTION("""COMPUTED_VALUE"""),"")</f>
        <v/>
      </c>
      <c r="E343" s="13" t="str">
        <f>IF(D343&lt;&gt;"",VLOOKUP(D343,Settings!$G$3:$H$6,2,false),"")</f>
        <v/>
      </c>
      <c r="F343" s="15" t="str">
        <f>IFERROR(__xludf.DUMMYFUNCTION("""COMPUTED_VALUE"""),"")</f>
        <v/>
      </c>
      <c r="G343" s="15" t="str">
        <f>IFERROR(__xludf.DUMMYFUNCTION("""COMPUTED_VALUE"""),"")</f>
        <v/>
      </c>
      <c r="H343" s="12" t="str">
        <f>IF(G343&lt;&gt;"",VLOOKUP(G343,Settings!$B$4:$C$35,2,false),"")</f>
        <v/>
      </c>
      <c r="I343" s="12" t="str">
        <f>IFERROR(__xludf.DUMMYFUNCTION("""COMPUTED_VALUE"""),"")</f>
        <v/>
      </c>
      <c r="J343" s="15"/>
      <c r="K343" s="16"/>
      <c r="L343" s="3"/>
    </row>
    <row r="344">
      <c r="A344" s="17" t="str">
        <f t="shared" si="1"/>
        <v/>
      </c>
      <c r="B344" s="12" t="str">
        <f>IFERROR(__xludf.DUMMYFUNCTION("""COMPUTED_VALUE"""),"")</f>
        <v/>
      </c>
      <c r="C344" s="12" t="str">
        <f>IFERROR(__xludf.DUMMYFUNCTION("""COMPUTED_VALUE"""),"")</f>
        <v/>
      </c>
      <c r="D344" s="12" t="str">
        <f>IFERROR(__xludf.DUMMYFUNCTION("""COMPUTED_VALUE"""),"")</f>
        <v/>
      </c>
      <c r="E344" s="13" t="str">
        <f>IF(D344&lt;&gt;"",VLOOKUP(D344,Settings!$G$3:$H$6,2,false),"")</f>
        <v/>
      </c>
      <c r="F344" s="15" t="str">
        <f>IFERROR(__xludf.DUMMYFUNCTION("""COMPUTED_VALUE"""),"")</f>
        <v/>
      </c>
      <c r="G344" s="15" t="str">
        <f>IFERROR(__xludf.DUMMYFUNCTION("""COMPUTED_VALUE"""),"")</f>
        <v/>
      </c>
      <c r="H344" s="12" t="str">
        <f>IF(G344&lt;&gt;"",VLOOKUP(G344,Settings!$B$4:$C$35,2,false),"")</f>
        <v/>
      </c>
      <c r="I344" s="12" t="str">
        <f>IFERROR(__xludf.DUMMYFUNCTION("""COMPUTED_VALUE"""),"")</f>
        <v/>
      </c>
      <c r="J344" s="15"/>
      <c r="K344" s="12"/>
      <c r="L344" s="3"/>
    </row>
    <row r="345">
      <c r="A345" s="17" t="str">
        <f t="shared" si="1"/>
        <v/>
      </c>
      <c r="B345" s="12" t="str">
        <f>IFERROR(__xludf.DUMMYFUNCTION("""COMPUTED_VALUE"""),"")</f>
        <v/>
      </c>
      <c r="C345" s="12" t="str">
        <f>IFERROR(__xludf.DUMMYFUNCTION("""COMPUTED_VALUE"""),"")</f>
        <v/>
      </c>
      <c r="D345" s="12" t="str">
        <f>IFERROR(__xludf.DUMMYFUNCTION("""COMPUTED_VALUE"""),"")</f>
        <v/>
      </c>
      <c r="E345" s="13" t="str">
        <f>IF(D345&lt;&gt;"",VLOOKUP(D345,Settings!$G$3:$H$6,2,false),"")</f>
        <v/>
      </c>
      <c r="F345" s="15" t="str">
        <f>IFERROR(__xludf.DUMMYFUNCTION("""COMPUTED_VALUE"""),"")</f>
        <v/>
      </c>
      <c r="G345" s="15" t="str">
        <f>IFERROR(__xludf.DUMMYFUNCTION("""COMPUTED_VALUE"""),"")</f>
        <v/>
      </c>
      <c r="H345" s="12" t="str">
        <f>IF(G345&lt;&gt;"",VLOOKUP(G345,Settings!$B$4:$C$35,2,false),"")</f>
        <v/>
      </c>
      <c r="I345" s="12" t="str">
        <f>IFERROR(__xludf.DUMMYFUNCTION("""COMPUTED_VALUE"""),"")</f>
        <v/>
      </c>
      <c r="J345" s="15"/>
      <c r="K345" s="12"/>
      <c r="L345" s="3"/>
    </row>
    <row r="346">
      <c r="A346" s="17" t="str">
        <f t="shared" si="1"/>
        <v/>
      </c>
      <c r="B346" s="12" t="str">
        <f>IFERROR(__xludf.DUMMYFUNCTION("""COMPUTED_VALUE"""),"")</f>
        <v/>
      </c>
      <c r="C346" s="12" t="str">
        <f>IFERROR(__xludf.DUMMYFUNCTION("""COMPUTED_VALUE"""),"")</f>
        <v/>
      </c>
      <c r="D346" s="12" t="str">
        <f>IFERROR(__xludf.DUMMYFUNCTION("""COMPUTED_VALUE"""),"")</f>
        <v/>
      </c>
      <c r="E346" s="13" t="str">
        <f>IF(D346&lt;&gt;"",VLOOKUP(D346,Settings!$G$3:$H$6,2,false),"")</f>
        <v/>
      </c>
      <c r="F346" s="15" t="str">
        <f>IFERROR(__xludf.DUMMYFUNCTION("""COMPUTED_VALUE"""),"")</f>
        <v/>
      </c>
      <c r="G346" s="15" t="str">
        <f>IFERROR(__xludf.DUMMYFUNCTION("""COMPUTED_VALUE"""),"")</f>
        <v/>
      </c>
      <c r="H346" s="12" t="str">
        <f>IF(G346&lt;&gt;"",VLOOKUP(G346,Settings!$B$4:$C$35,2,false),"")</f>
        <v/>
      </c>
      <c r="I346" s="12" t="str">
        <f>IFERROR(__xludf.DUMMYFUNCTION("""COMPUTED_VALUE"""),"")</f>
        <v/>
      </c>
      <c r="J346" s="15"/>
      <c r="K346" s="12"/>
      <c r="L346" s="3"/>
    </row>
    <row r="347">
      <c r="A347" s="17" t="str">
        <f t="shared" si="1"/>
        <v/>
      </c>
      <c r="B347" s="12" t="str">
        <f>IFERROR(__xludf.DUMMYFUNCTION("""COMPUTED_VALUE"""),"")</f>
        <v/>
      </c>
      <c r="C347" s="12" t="str">
        <f>IFERROR(__xludf.DUMMYFUNCTION("""COMPUTED_VALUE"""),"")</f>
        <v/>
      </c>
      <c r="D347" s="12" t="str">
        <f>IFERROR(__xludf.DUMMYFUNCTION("""COMPUTED_VALUE"""),"")</f>
        <v/>
      </c>
      <c r="E347" s="13" t="str">
        <f>IF(D347&lt;&gt;"",VLOOKUP(D347,Settings!$G$3:$H$6,2,false),"")</f>
        <v/>
      </c>
      <c r="F347" s="15" t="str">
        <f>IFERROR(__xludf.DUMMYFUNCTION("""COMPUTED_VALUE"""),"")</f>
        <v/>
      </c>
      <c r="G347" s="15" t="str">
        <f>IFERROR(__xludf.DUMMYFUNCTION("""COMPUTED_VALUE"""),"")</f>
        <v/>
      </c>
      <c r="H347" s="12" t="str">
        <f>IF(G347&lt;&gt;"",VLOOKUP(G347,Settings!$B$4:$C$35,2,false),"")</f>
        <v/>
      </c>
      <c r="I347" s="12" t="str">
        <f>IFERROR(__xludf.DUMMYFUNCTION("""COMPUTED_VALUE"""),"")</f>
        <v/>
      </c>
      <c r="J347" s="15"/>
      <c r="K347" s="12"/>
      <c r="L347" s="3"/>
    </row>
    <row r="348">
      <c r="A348" s="17" t="str">
        <f t="shared" si="1"/>
        <v/>
      </c>
      <c r="B348" s="12" t="str">
        <f>IFERROR(__xludf.DUMMYFUNCTION("""COMPUTED_VALUE"""),"")</f>
        <v/>
      </c>
      <c r="C348" s="12" t="str">
        <f>IFERROR(__xludf.DUMMYFUNCTION("""COMPUTED_VALUE"""),"")</f>
        <v/>
      </c>
      <c r="D348" s="12" t="str">
        <f>IFERROR(__xludf.DUMMYFUNCTION("""COMPUTED_VALUE"""),"")</f>
        <v/>
      </c>
      <c r="E348" s="13" t="str">
        <f>IF(D348&lt;&gt;"",VLOOKUP(D348,Settings!$G$3:$H$6,2,false),"")</f>
        <v/>
      </c>
      <c r="F348" s="15" t="str">
        <f>IFERROR(__xludf.DUMMYFUNCTION("""COMPUTED_VALUE"""),"")</f>
        <v/>
      </c>
      <c r="G348" s="15" t="str">
        <f>IFERROR(__xludf.DUMMYFUNCTION("""COMPUTED_VALUE"""),"")</f>
        <v/>
      </c>
      <c r="H348" s="12" t="str">
        <f>IF(G348&lt;&gt;"",VLOOKUP(G348,Settings!$B$4:$C$35,2,false),"")</f>
        <v/>
      </c>
      <c r="I348" s="12" t="str">
        <f>IFERROR(__xludf.DUMMYFUNCTION("""COMPUTED_VALUE"""),"")</f>
        <v/>
      </c>
      <c r="J348" s="15"/>
      <c r="K348" s="12"/>
      <c r="L348" s="3"/>
    </row>
    <row r="349">
      <c r="A349" s="17" t="str">
        <f t="shared" si="1"/>
        <v/>
      </c>
      <c r="B349" s="12" t="str">
        <f>IFERROR(__xludf.DUMMYFUNCTION("""COMPUTED_VALUE"""),"")</f>
        <v/>
      </c>
      <c r="C349" s="12" t="str">
        <f>IFERROR(__xludf.DUMMYFUNCTION("""COMPUTED_VALUE"""),"")</f>
        <v/>
      </c>
      <c r="D349" s="12" t="str">
        <f>IFERROR(__xludf.DUMMYFUNCTION("""COMPUTED_VALUE"""),"")</f>
        <v/>
      </c>
      <c r="E349" s="13" t="str">
        <f>IF(D349&lt;&gt;"",VLOOKUP(D349,Settings!$G$3:$H$6,2,false),"")</f>
        <v/>
      </c>
      <c r="F349" s="15" t="str">
        <f>IFERROR(__xludf.DUMMYFUNCTION("""COMPUTED_VALUE"""),"")</f>
        <v/>
      </c>
      <c r="G349" s="15" t="str">
        <f>IFERROR(__xludf.DUMMYFUNCTION("""COMPUTED_VALUE"""),"")</f>
        <v/>
      </c>
      <c r="H349" s="12" t="str">
        <f>IF(G349&lt;&gt;"",VLOOKUP(G349,Settings!$B$4:$C$35,2,false),"")</f>
        <v/>
      </c>
      <c r="I349" s="12" t="str">
        <f>IFERROR(__xludf.DUMMYFUNCTION("""COMPUTED_VALUE"""),"")</f>
        <v/>
      </c>
      <c r="J349" s="15"/>
      <c r="K349" s="12"/>
      <c r="L349" s="3"/>
    </row>
    <row r="350">
      <c r="A350" s="17" t="str">
        <f t="shared" si="1"/>
        <v/>
      </c>
      <c r="B350" s="12" t="str">
        <f>IFERROR(__xludf.DUMMYFUNCTION("""COMPUTED_VALUE"""),"")</f>
        <v/>
      </c>
      <c r="C350" s="12" t="str">
        <f>IFERROR(__xludf.DUMMYFUNCTION("""COMPUTED_VALUE"""),"")</f>
        <v/>
      </c>
      <c r="D350" s="12" t="str">
        <f>IFERROR(__xludf.DUMMYFUNCTION("""COMPUTED_VALUE"""),"")</f>
        <v/>
      </c>
      <c r="E350" s="13" t="str">
        <f>IF(D350&lt;&gt;"",VLOOKUP(D350,Settings!$G$3:$H$6,2,false),"")</f>
        <v/>
      </c>
      <c r="F350" s="15" t="str">
        <f>IFERROR(__xludf.DUMMYFUNCTION("""COMPUTED_VALUE"""),"")</f>
        <v/>
      </c>
      <c r="G350" s="15" t="str">
        <f>IFERROR(__xludf.DUMMYFUNCTION("""COMPUTED_VALUE"""),"")</f>
        <v/>
      </c>
      <c r="H350" s="12" t="str">
        <f>IF(G350&lt;&gt;"",VLOOKUP(G350,Settings!$B$4:$C$35,2,false),"")</f>
        <v/>
      </c>
      <c r="I350" s="12" t="str">
        <f>IFERROR(__xludf.DUMMYFUNCTION("""COMPUTED_VALUE"""),"")</f>
        <v/>
      </c>
      <c r="J350" s="15"/>
      <c r="K350" s="16"/>
      <c r="L350" s="3"/>
    </row>
    <row r="351">
      <c r="A351" s="17" t="str">
        <f t="shared" si="1"/>
        <v/>
      </c>
      <c r="B351" s="12" t="str">
        <f>IFERROR(__xludf.DUMMYFUNCTION("""COMPUTED_VALUE"""),"")</f>
        <v/>
      </c>
      <c r="C351" s="12" t="str">
        <f>IFERROR(__xludf.DUMMYFUNCTION("""COMPUTED_VALUE"""),"")</f>
        <v/>
      </c>
      <c r="D351" s="12" t="str">
        <f>IFERROR(__xludf.DUMMYFUNCTION("""COMPUTED_VALUE"""),"")</f>
        <v/>
      </c>
      <c r="E351" s="13" t="str">
        <f>IF(D351&lt;&gt;"",VLOOKUP(D351,Settings!$G$3:$H$6,2,false),"")</f>
        <v/>
      </c>
      <c r="F351" s="15" t="str">
        <f>IFERROR(__xludf.DUMMYFUNCTION("""COMPUTED_VALUE"""),"")</f>
        <v/>
      </c>
      <c r="G351" s="15" t="str">
        <f>IFERROR(__xludf.DUMMYFUNCTION("""COMPUTED_VALUE"""),"")</f>
        <v/>
      </c>
      <c r="H351" s="12" t="str">
        <f>IF(G351&lt;&gt;"",VLOOKUP(G351,Settings!$B$4:$C$35,2,false),"")</f>
        <v/>
      </c>
      <c r="I351" s="12" t="str">
        <f>IFERROR(__xludf.DUMMYFUNCTION("""COMPUTED_VALUE"""),"")</f>
        <v/>
      </c>
      <c r="J351" s="15"/>
      <c r="K351" s="16"/>
      <c r="L351" s="3"/>
    </row>
    <row r="352">
      <c r="A352" s="17" t="str">
        <f t="shared" si="1"/>
        <v/>
      </c>
      <c r="B352" s="12" t="str">
        <f>IFERROR(__xludf.DUMMYFUNCTION("""COMPUTED_VALUE"""),"")</f>
        <v/>
      </c>
      <c r="C352" s="12" t="str">
        <f>IFERROR(__xludf.DUMMYFUNCTION("""COMPUTED_VALUE"""),"")</f>
        <v/>
      </c>
      <c r="D352" s="12" t="str">
        <f>IFERROR(__xludf.DUMMYFUNCTION("""COMPUTED_VALUE"""),"")</f>
        <v/>
      </c>
      <c r="E352" s="13" t="str">
        <f>IF(D352&lt;&gt;"",VLOOKUP(D352,Settings!$G$3:$H$6,2,false),"")</f>
        <v/>
      </c>
      <c r="F352" s="15" t="str">
        <f>IFERROR(__xludf.DUMMYFUNCTION("""COMPUTED_VALUE"""),"")</f>
        <v/>
      </c>
      <c r="G352" s="15" t="str">
        <f>IFERROR(__xludf.DUMMYFUNCTION("""COMPUTED_VALUE"""),"")</f>
        <v/>
      </c>
      <c r="H352" s="12" t="str">
        <f>IF(G352&lt;&gt;"",VLOOKUP(G352,Settings!$B$4:$C$35,2,false),"")</f>
        <v/>
      </c>
      <c r="I352" s="12" t="str">
        <f>IFERROR(__xludf.DUMMYFUNCTION("""COMPUTED_VALUE"""),"")</f>
        <v/>
      </c>
      <c r="J352" s="15"/>
      <c r="K352" s="16"/>
      <c r="L352" s="3"/>
    </row>
    <row r="353">
      <c r="A353" s="17" t="str">
        <f t="shared" si="1"/>
        <v/>
      </c>
      <c r="B353" s="12" t="str">
        <f>IFERROR(__xludf.DUMMYFUNCTION("""COMPUTED_VALUE"""),"")</f>
        <v/>
      </c>
      <c r="C353" s="12" t="str">
        <f>IFERROR(__xludf.DUMMYFUNCTION("""COMPUTED_VALUE"""),"")</f>
        <v/>
      </c>
      <c r="D353" s="12" t="str">
        <f>IFERROR(__xludf.DUMMYFUNCTION("""COMPUTED_VALUE"""),"")</f>
        <v/>
      </c>
      <c r="E353" s="13" t="str">
        <f>IF(D353&lt;&gt;"",VLOOKUP(D353,Settings!$G$3:$H$6,2,false),"")</f>
        <v/>
      </c>
      <c r="F353" s="15" t="str">
        <f>IFERROR(__xludf.DUMMYFUNCTION("""COMPUTED_VALUE"""),"")</f>
        <v/>
      </c>
      <c r="G353" s="15" t="str">
        <f>IFERROR(__xludf.DUMMYFUNCTION("""COMPUTED_VALUE"""),"")</f>
        <v/>
      </c>
      <c r="H353" s="12" t="str">
        <f>IF(G353&lt;&gt;"",VLOOKUP(G353,Settings!$B$4:$C$35,2,false),"")</f>
        <v/>
      </c>
      <c r="I353" s="12" t="str">
        <f>IFERROR(__xludf.DUMMYFUNCTION("""COMPUTED_VALUE"""),"")</f>
        <v/>
      </c>
      <c r="J353" s="15"/>
      <c r="K353" s="16"/>
      <c r="L353" s="3"/>
    </row>
    <row r="354">
      <c r="A354" s="17" t="str">
        <f t="shared" si="1"/>
        <v/>
      </c>
      <c r="B354" s="12" t="str">
        <f>IFERROR(__xludf.DUMMYFUNCTION("""COMPUTED_VALUE"""),"")</f>
        <v/>
      </c>
      <c r="C354" s="12" t="str">
        <f>IFERROR(__xludf.DUMMYFUNCTION("""COMPUTED_VALUE"""),"")</f>
        <v/>
      </c>
      <c r="D354" s="12" t="str">
        <f>IFERROR(__xludf.DUMMYFUNCTION("""COMPUTED_VALUE"""),"")</f>
        <v/>
      </c>
      <c r="E354" s="13" t="str">
        <f>IF(D354&lt;&gt;"",VLOOKUP(D354,Settings!$G$3:$H$6,2,false),"")</f>
        <v/>
      </c>
      <c r="F354" s="15" t="str">
        <f>IFERROR(__xludf.DUMMYFUNCTION("""COMPUTED_VALUE"""),"")</f>
        <v/>
      </c>
      <c r="G354" s="15" t="str">
        <f>IFERROR(__xludf.DUMMYFUNCTION("""COMPUTED_VALUE"""),"")</f>
        <v/>
      </c>
      <c r="H354" s="12" t="str">
        <f>IF(G354&lt;&gt;"",VLOOKUP(G354,Settings!$B$4:$C$35,2,false),"")</f>
        <v/>
      </c>
      <c r="I354" s="12" t="str">
        <f>IFERROR(__xludf.DUMMYFUNCTION("""COMPUTED_VALUE"""),"")</f>
        <v/>
      </c>
      <c r="J354" s="15"/>
      <c r="K354" s="12"/>
      <c r="L354" s="6"/>
    </row>
    <row r="355">
      <c r="A355" s="17" t="str">
        <f t="shared" si="1"/>
        <v/>
      </c>
      <c r="B355" s="12" t="str">
        <f>IFERROR(__xludf.DUMMYFUNCTION("""COMPUTED_VALUE"""),"")</f>
        <v/>
      </c>
      <c r="C355" s="12" t="str">
        <f>IFERROR(__xludf.DUMMYFUNCTION("""COMPUTED_VALUE"""),"")</f>
        <v/>
      </c>
      <c r="D355" s="12" t="str">
        <f>IFERROR(__xludf.DUMMYFUNCTION("""COMPUTED_VALUE"""),"")</f>
        <v/>
      </c>
      <c r="E355" s="13" t="str">
        <f>IF(D355&lt;&gt;"",VLOOKUP(D355,Settings!$G$3:$H$6,2,false),"")</f>
        <v/>
      </c>
      <c r="F355" s="15" t="str">
        <f>IFERROR(__xludf.DUMMYFUNCTION("""COMPUTED_VALUE"""),"")</f>
        <v/>
      </c>
      <c r="G355" s="15" t="str">
        <f>IFERROR(__xludf.DUMMYFUNCTION("""COMPUTED_VALUE"""),"")</f>
        <v/>
      </c>
      <c r="H355" s="12" t="str">
        <f>IF(G355&lt;&gt;"",VLOOKUP(G355,Settings!$B$4:$C$35,2,false),"")</f>
        <v/>
      </c>
      <c r="I355" s="12" t="str">
        <f>IFERROR(__xludf.DUMMYFUNCTION("""COMPUTED_VALUE"""),"")</f>
        <v/>
      </c>
      <c r="J355" s="15"/>
      <c r="K355" s="12"/>
      <c r="L355" s="3"/>
    </row>
    <row r="356">
      <c r="A356" s="17" t="str">
        <f t="shared" si="1"/>
        <v/>
      </c>
      <c r="B356" s="12" t="str">
        <f>IFERROR(__xludf.DUMMYFUNCTION("""COMPUTED_VALUE"""),"")</f>
        <v/>
      </c>
      <c r="C356" s="12" t="str">
        <f>IFERROR(__xludf.DUMMYFUNCTION("""COMPUTED_VALUE"""),"")</f>
        <v/>
      </c>
      <c r="D356" s="12" t="str">
        <f>IFERROR(__xludf.DUMMYFUNCTION("""COMPUTED_VALUE"""),"")</f>
        <v/>
      </c>
      <c r="E356" s="13" t="str">
        <f>IF(D356&lt;&gt;"",VLOOKUP(D356,Settings!$G$3:$H$6,2,false),"")</f>
        <v/>
      </c>
      <c r="F356" s="15" t="str">
        <f>IFERROR(__xludf.DUMMYFUNCTION("""COMPUTED_VALUE"""),"")</f>
        <v/>
      </c>
      <c r="G356" s="15" t="str">
        <f>IFERROR(__xludf.DUMMYFUNCTION("""COMPUTED_VALUE"""),"")</f>
        <v/>
      </c>
      <c r="H356" s="12" t="str">
        <f>IF(G356&lt;&gt;"",VLOOKUP(G356,Settings!$B$4:$C$35,2,false),"")</f>
        <v/>
      </c>
      <c r="I356" s="12" t="str">
        <f>IFERROR(__xludf.DUMMYFUNCTION("""COMPUTED_VALUE"""),"")</f>
        <v/>
      </c>
      <c r="J356" s="15"/>
      <c r="K356" s="12"/>
      <c r="L356" s="3"/>
    </row>
    <row r="357">
      <c r="A357" s="17" t="str">
        <f t="shared" si="1"/>
        <v/>
      </c>
      <c r="B357" s="12" t="str">
        <f>IFERROR(__xludf.DUMMYFUNCTION("""COMPUTED_VALUE"""),"")</f>
        <v/>
      </c>
      <c r="C357" s="12" t="str">
        <f>IFERROR(__xludf.DUMMYFUNCTION("""COMPUTED_VALUE"""),"")</f>
        <v/>
      </c>
      <c r="D357" s="12" t="str">
        <f>IFERROR(__xludf.DUMMYFUNCTION("""COMPUTED_VALUE"""),"")</f>
        <v/>
      </c>
      <c r="E357" s="13" t="str">
        <f>IF(D357&lt;&gt;"",VLOOKUP(D357,Settings!$G$3:$H$6,2,false),"")</f>
        <v/>
      </c>
      <c r="F357" s="15" t="str">
        <f>IFERROR(__xludf.DUMMYFUNCTION("""COMPUTED_VALUE"""),"")</f>
        <v/>
      </c>
      <c r="G357" s="15" t="str">
        <f>IFERROR(__xludf.DUMMYFUNCTION("""COMPUTED_VALUE"""),"")</f>
        <v/>
      </c>
      <c r="H357" s="12" t="str">
        <f>IF(G357&lt;&gt;"",VLOOKUP(G357,Settings!$B$4:$C$35,2,false),"")</f>
        <v/>
      </c>
      <c r="I357" s="12" t="str">
        <f>IFERROR(__xludf.DUMMYFUNCTION("""COMPUTED_VALUE"""),"")</f>
        <v/>
      </c>
      <c r="J357" s="15"/>
      <c r="K357" s="103"/>
      <c r="L357" s="3"/>
    </row>
    <row r="358">
      <c r="A358" s="17" t="str">
        <f t="shared" si="1"/>
        <v/>
      </c>
      <c r="B358" s="12" t="str">
        <f>IFERROR(__xludf.DUMMYFUNCTION("""COMPUTED_VALUE"""),"")</f>
        <v/>
      </c>
      <c r="C358" s="12" t="str">
        <f>IFERROR(__xludf.DUMMYFUNCTION("""COMPUTED_VALUE"""),"")</f>
        <v/>
      </c>
      <c r="D358" s="12" t="str">
        <f>IFERROR(__xludf.DUMMYFUNCTION("""COMPUTED_VALUE"""),"")</f>
        <v/>
      </c>
      <c r="E358" s="13" t="str">
        <f>IF(D358&lt;&gt;"",VLOOKUP(D358,Settings!$G$3:$H$6,2,false),"")</f>
        <v/>
      </c>
      <c r="F358" s="15" t="str">
        <f>IFERROR(__xludf.DUMMYFUNCTION("""COMPUTED_VALUE"""),"")</f>
        <v/>
      </c>
      <c r="G358" s="15" t="str">
        <f>IFERROR(__xludf.DUMMYFUNCTION("""COMPUTED_VALUE"""),"")</f>
        <v/>
      </c>
      <c r="H358" s="12" t="str">
        <f>IF(G358&lt;&gt;"",VLOOKUP(G358,Settings!$B$4:$C$35,2,false),"")</f>
        <v/>
      </c>
      <c r="I358" s="12" t="str">
        <f>IFERROR(__xludf.DUMMYFUNCTION("""COMPUTED_VALUE"""),"")</f>
        <v/>
      </c>
      <c r="J358" s="15"/>
      <c r="K358" s="12"/>
      <c r="L358" s="3"/>
    </row>
    <row r="359">
      <c r="A359" s="17" t="str">
        <f t="shared" si="1"/>
        <v/>
      </c>
      <c r="B359" s="12" t="str">
        <f>IFERROR(__xludf.DUMMYFUNCTION("""COMPUTED_VALUE"""),"")</f>
        <v/>
      </c>
      <c r="C359" s="12" t="str">
        <f>IFERROR(__xludf.DUMMYFUNCTION("""COMPUTED_VALUE"""),"")</f>
        <v/>
      </c>
      <c r="D359" s="12" t="str">
        <f>IFERROR(__xludf.DUMMYFUNCTION("""COMPUTED_VALUE"""),"")</f>
        <v/>
      </c>
      <c r="E359" s="13" t="str">
        <f>IF(D359&lt;&gt;"",VLOOKUP(D359,Settings!$G$3:$H$6,2,false),"")</f>
        <v/>
      </c>
      <c r="F359" s="15" t="str">
        <f>IFERROR(__xludf.DUMMYFUNCTION("""COMPUTED_VALUE"""),"")</f>
        <v/>
      </c>
      <c r="G359" s="15" t="str">
        <f>IFERROR(__xludf.DUMMYFUNCTION("""COMPUTED_VALUE"""),"")</f>
        <v/>
      </c>
      <c r="H359" s="12" t="str">
        <f>IF(G359&lt;&gt;"",VLOOKUP(G359,Settings!$B$4:$C$35,2,false),"")</f>
        <v/>
      </c>
      <c r="I359" s="12" t="str">
        <f>IFERROR(__xludf.DUMMYFUNCTION("""COMPUTED_VALUE"""),"")</f>
        <v/>
      </c>
      <c r="J359" s="15"/>
      <c r="K359" s="12"/>
      <c r="L359" s="3"/>
    </row>
    <row r="360">
      <c r="A360" s="17" t="str">
        <f t="shared" si="1"/>
        <v/>
      </c>
      <c r="B360" s="12" t="str">
        <f>IFERROR(__xludf.DUMMYFUNCTION("""COMPUTED_VALUE"""),"")</f>
        <v/>
      </c>
      <c r="C360" s="12" t="str">
        <f>IFERROR(__xludf.DUMMYFUNCTION("""COMPUTED_VALUE"""),"")</f>
        <v/>
      </c>
      <c r="D360" s="12" t="str">
        <f>IFERROR(__xludf.DUMMYFUNCTION("""COMPUTED_VALUE"""),"")</f>
        <v/>
      </c>
      <c r="E360" s="13" t="str">
        <f>IF(D360&lt;&gt;"",VLOOKUP(D360,Settings!$G$3:$H$6,2,false),"")</f>
        <v/>
      </c>
      <c r="F360" s="15" t="str">
        <f>IFERROR(__xludf.DUMMYFUNCTION("""COMPUTED_VALUE"""),"")</f>
        <v/>
      </c>
      <c r="G360" s="15" t="str">
        <f>IFERROR(__xludf.DUMMYFUNCTION("""COMPUTED_VALUE"""),"")</f>
        <v/>
      </c>
      <c r="H360" s="12" t="str">
        <f>IF(G360&lt;&gt;"",VLOOKUP(G360,Settings!$B$4:$C$35,2,false),"")</f>
        <v/>
      </c>
      <c r="I360" s="12" t="str">
        <f>IFERROR(__xludf.DUMMYFUNCTION("""COMPUTED_VALUE"""),"")</f>
        <v/>
      </c>
      <c r="J360" s="15"/>
      <c r="K360" s="12"/>
      <c r="L360" s="3"/>
    </row>
    <row r="361">
      <c r="A361" s="17" t="str">
        <f t="shared" si="1"/>
        <v/>
      </c>
      <c r="B361" s="12" t="str">
        <f>IFERROR(__xludf.DUMMYFUNCTION("""COMPUTED_VALUE"""),"")</f>
        <v/>
      </c>
      <c r="C361" s="12" t="str">
        <f>IFERROR(__xludf.DUMMYFUNCTION("""COMPUTED_VALUE"""),"")</f>
        <v/>
      </c>
      <c r="D361" s="12" t="str">
        <f>IFERROR(__xludf.DUMMYFUNCTION("""COMPUTED_VALUE"""),"")</f>
        <v/>
      </c>
      <c r="E361" s="13" t="str">
        <f>IF(D361&lt;&gt;"",VLOOKUP(D361,Settings!$G$3:$H$6,2,false),"")</f>
        <v/>
      </c>
      <c r="F361" s="15" t="str">
        <f>IFERROR(__xludf.DUMMYFUNCTION("""COMPUTED_VALUE"""),"")</f>
        <v/>
      </c>
      <c r="G361" s="15" t="str">
        <f>IFERROR(__xludf.DUMMYFUNCTION("""COMPUTED_VALUE"""),"")</f>
        <v/>
      </c>
      <c r="H361" s="12" t="str">
        <f>IF(G361&lt;&gt;"",VLOOKUP(G361,Settings!$B$4:$C$35,2,false),"")</f>
        <v/>
      </c>
      <c r="I361" s="12" t="str">
        <f>IFERROR(__xludf.DUMMYFUNCTION("""COMPUTED_VALUE"""),"")</f>
        <v/>
      </c>
      <c r="J361" s="15"/>
      <c r="K361" s="103"/>
      <c r="L361" s="6"/>
      <c r="M361" s="1">
        <v>2300.0</v>
      </c>
    </row>
    <row r="362">
      <c r="A362" s="17" t="str">
        <f t="shared" si="1"/>
        <v/>
      </c>
      <c r="B362" s="12" t="str">
        <f>IFERROR(__xludf.DUMMYFUNCTION("""COMPUTED_VALUE"""),"")</f>
        <v/>
      </c>
      <c r="C362" s="12" t="str">
        <f>IFERROR(__xludf.DUMMYFUNCTION("""COMPUTED_VALUE"""),"")</f>
        <v/>
      </c>
      <c r="D362" s="12" t="str">
        <f>IFERROR(__xludf.DUMMYFUNCTION("""COMPUTED_VALUE"""),"")</f>
        <v/>
      </c>
      <c r="E362" s="13" t="str">
        <f>IF(D362&lt;&gt;"",VLOOKUP(D362,Settings!$G$3:$H$6,2,false),"")</f>
        <v/>
      </c>
      <c r="F362" s="15" t="str">
        <f>IFERROR(__xludf.DUMMYFUNCTION("""COMPUTED_VALUE"""),"")</f>
        <v/>
      </c>
      <c r="G362" s="15" t="str">
        <f>IFERROR(__xludf.DUMMYFUNCTION("""COMPUTED_VALUE"""),"")</f>
        <v/>
      </c>
      <c r="H362" s="12" t="str">
        <f>IF(G362&lt;&gt;"",VLOOKUP(G362,Settings!$B$4:$C$35,2,false),"")</f>
        <v/>
      </c>
      <c r="I362" s="12" t="str">
        <f>IFERROR(__xludf.DUMMYFUNCTION("""COMPUTED_VALUE"""),"")</f>
        <v/>
      </c>
      <c r="J362" s="15"/>
      <c r="K362" s="16"/>
      <c r="L362" s="3"/>
    </row>
    <row r="363">
      <c r="A363" s="17" t="str">
        <f t="shared" si="1"/>
        <v/>
      </c>
      <c r="B363" s="12" t="str">
        <f>IFERROR(__xludf.DUMMYFUNCTION("""COMPUTED_VALUE"""),"")</f>
        <v/>
      </c>
      <c r="C363" s="12" t="str">
        <f>IFERROR(__xludf.DUMMYFUNCTION("""COMPUTED_VALUE"""),"")</f>
        <v/>
      </c>
      <c r="D363" s="12" t="str">
        <f>IFERROR(__xludf.DUMMYFUNCTION("""COMPUTED_VALUE"""),"")</f>
        <v/>
      </c>
      <c r="E363" s="13" t="str">
        <f>IF(D363&lt;&gt;"",VLOOKUP(D363,Settings!$G$3:$H$6,2,false),"")</f>
        <v/>
      </c>
      <c r="F363" s="15" t="str">
        <f>IFERROR(__xludf.DUMMYFUNCTION("""COMPUTED_VALUE"""),"")</f>
        <v/>
      </c>
      <c r="G363" s="15" t="str">
        <f>IFERROR(__xludf.DUMMYFUNCTION("""COMPUTED_VALUE"""),"")</f>
        <v/>
      </c>
      <c r="H363" s="12" t="str">
        <f>IF(G363&lt;&gt;"",VLOOKUP(G363,Settings!$B$4:$C$35,2,false),"")</f>
        <v/>
      </c>
      <c r="I363" s="12" t="str">
        <f>IFERROR(__xludf.DUMMYFUNCTION("""COMPUTED_VALUE"""),"")</f>
        <v/>
      </c>
      <c r="J363" s="12"/>
      <c r="K363" s="12"/>
      <c r="L363" s="3"/>
    </row>
    <row r="364">
      <c r="A364" s="17" t="str">
        <f t="shared" si="1"/>
        <v/>
      </c>
      <c r="B364" s="12" t="str">
        <f>IFERROR(__xludf.DUMMYFUNCTION("""COMPUTED_VALUE"""),"")</f>
        <v/>
      </c>
      <c r="C364" s="12" t="str">
        <f>IFERROR(__xludf.DUMMYFUNCTION("""COMPUTED_VALUE"""),"")</f>
        <v/>
      </c>
      <c r="D364" s="12" t="str">
        <f>IFERROR(__xludf.DUMMYFUNCTION("""COMPUTED_VALUE"""),"")</f>
        <v/>
      </c>
      <c r="E364" s="13" t="str">
        <f>IF(D364&lt;&gt;"",VLOOKUP(D364,Settings!$G$3:$H$6,2,false),"")</f>
        <v/>
      </c>
      <c r="F364" s="15" t="str">
        <f>IFERROR(__xludf.DUMMYFUNCTION("""COMPUTED_VALUE"""),"")</f>
        <v/>
      </c>
      <c r="G364" s="15" t="str">
        <f>IFERROR(__xludf.DUMMYFUNCTION("""COMPUTED_VALUE"""),"")</f>
        <v/>
      </c>
      <c r="H364" s="12" t="str">
        <f>IF(G364&lt;&gt;"",VLOOKUP(G364,Settings!$B$4:$C$35,2,false),"")</f>
        <v/>
      </c>
      <c r="I364" s="12" t="str">
        <f>IFERROR(__xludf.DUMMYFUNCTION("""COMPUTED_VALUE"""),"")</f>
        <v/>
      </c>
      <c r="J364" s="15"/>
      <c r="K364" s="12"/>
      <c r="L364" s="3"/>
    </row>
    <row r="365">
      <c r="A365" s="17" t="str">
        <f t="shared" si="1"/>
        <v/>
      </c>
      <c r="B365" s="12" t="str">
        <f>IFERROR(__xludf.DUMMYFUNCTION("""COMPUTED_VALUE"""),"")</f>
        <v/>
      </c>
      <c r="C365" s="12" t="str">
        <f>IFERROR(__xludf.DUMMYFUNCTION("""COMPUTED_VALUE"""),"")</f>
        <v/>
      </c>
      <c r="D365" s="12" t="str">
        <f>IFERROR(__xludf.DUMMYFUNCTION("""COMPUTED_VALUE"""),"")</f>
        <v/>
      </c>
      <c r="E365" s="13" t="str">
        <f>IF(D365&lt;&gt;"",VLOOKUP(D365,Settings!$G$3:$H$6,2,false),"")</f>
        <v/>
      </c>
      <c r="F365" s="15" t="str">
        <f>IFERROR(__xludf.DUMMYFUNCTION("""COMPUTED_VALUE"""),"")</f>
        <v/>
      </c>
      <c r="G365" s="15" t="str">
        <f>IFERROR(__xludf.DUMMYFUNCTION("""COMPUTED_VALUE"""),"")</f>
        <v/>
      </c>
      <c r="H365" s="12" t="str">
        <f>IF(G365&lt;&gt;"",VLOOKUP(G365,Settings!$B$4:$C$35,2,false),"")</f>
        <v/>
      </c>
      <c r="I365" s="12" t="str">
        <f>IFERROR(__xludf.DUMMYFUNCTION("""COMPUTED_VALUE"""),"")</f>
        <v/>
      </c>
      <c r="J365" s="15"/>
      <c r="K365" s="12"/>
      <c r="L365" s="3"/>
    </row>
    <row r="366">
      <c r="A366" s="17" t="str">
        <f t="shared" si="1"/>
        <v/>
      </c>
      <c r="B366" s="12" t="str">
        <f>IFERROR(__xludf.DUMMYFUNCTION("""COMPUTED_VALUE"""),"")</f>
        <v/>
      </c>
      <c r="C366" s="12" t="str">
        <f>IFERROR(__xludf.DUMMYFUNCTION("""COMPUTED_VALUE"""),"")</f>
        <v/>
      </c>
      <c r="D366" s="12" t="str">
        <f>IFERROR(__xludf.DUMMYFUNCTION("""COMPUTED_VALUE"""),"")</f>
        <v/>
      </c>
      <c r="E366" s="13" t="str">
        <f>IF(D366&lt;&gt;"",VLOOKUP(D366,Settings!$G$3:$H$6,2,false),"")</f>
        <v/>
      </c>
      <c r="F366" s="15" t="str">
        <f>IFERROR(__xludf.DUMMYFUNCTION("""COMPUTED_VALUE"""),"")</f>
        <v/>
      </c>
      <c r="G366" s="15" t="str">
        <f>IFERROR(__xludf.DUMMYFUNCTION("""COMPUTED_VALUE"""),"")</f>
        <v/>
      </c>
      <c r="H366" s="12" t="str">
        <f>IF(G366&lt;&gt;"",VLOOKUP(G366,Settings!$B$4:$C$35,2,false),"")</f>
        <v/>
      </c>
      <c r="I366" s="12" t="str">
        <f>IFERROR(__xludf.DUMMYFUNCTION("""COMPUTED_VALUE"""),"")</f>
        <v/>
      </c>
      <c r="J366" s="15"/>
      <c r="K366" s="12"/>
      <c r="L366" s="3"/>
    </row>
    <row r="367">
      <c r="A367" s="17" t="str">
        <f t="shared" si="1"/>
        <v/>
      </c>
      <c r="B367" s="12" t="str">
        <f>IFERROR(__xludf.DUMMYFUNCTION("""COMPUTED_VALUE"""),"")</f>
        <v/>
      </c>
      <c r="C367" s="12" t="str">
        <f>IFERROR(__xludf.DUMMYFUNCTION("""COMPUTED_VALUE"""),"")</f>
        <v/>
      </c>
      <c r="D367" s="12" t="str">
        <f>IFERROR(__xludf.DUMMYFUNCTION("""COMPUTED_VALUE"""),"")</f>
        <v/>
      </c>
      <c r="E367" s="13" t="str">
        <f>IF(D367&lt;&gt;"",VLOOKUP(D367,Settings!$G$3:$H$6,2,false),"")</f>
        <v/>
      </c>
      <c r="F367" s="15" t="str">
        <f>IFERROR(__xludf.DUMMYFUNCTION("""COMPUTED_VALUE"""),"")</f>
        <v/>
      </c>
      <c r="G367" s="15" t="str">
        <f>IFERROR(__xludf.DUMMYFUNCTION("""COMPUTED_VALUE"""),"")</f>
        <v/>
      </c>
      <c r="H367" s="12" t="str">
        <f>IF(G367&lt;&gt;"",VLOOKUP(G367,Settings!$B$4:$C$35,2,false),"")</f>
        <v/>
      </c>
      <c r="I367" s="12" t="str">
        <f>IFERROR(__xludf.DUMMYFUNCTION("""COMPUTED_VALUE"""),"")</f>
        <v/>
      </c>
      <c r="J367" s="15"/>
      <c r="K367" s="103"/>
      <c r="L367" s="3"/>
    </row>
    <row r="368">
      <c r="A368" s="17" t="str">
        <f t="shared" si="1"/>
        <v/>
      </c>
      <c r="B368" s="12" t="str">
        <f>IFERROR(__xludf.DUMMYFUNCTION("""COMPUTED_VALUE"""),"")</f>
        <v/>
      </c>
      <c r="C368" s="12" t="str">
        <f>IFERROR(__xludf.DUMMYFUNCTION("""COMPUTED_VALUE"""),"")</f>
        <v/>
      </c>
      <c r="D368" s="12" t="str">
        <f>IFERROR(__xludf.DUMMYFUNCTION("""COMPUTED_VALUE"""),"")</f>
        <v/>
      </c>
      <c r="E368" s="13" t="str">
        <f>IF(D368&lt;&gt;"",VLOOKUP(D368,Settings!$G$3:$H$6,2,false),"")</f>
        <v/>
      </c>
      <c r="F368" s="15" t="str">
        <f>IFERROR(__xludf.DUMMYFUNCTION("""COMPUTED_VALUE"""),"")</f>
        <v/>
      </c>
      <c r="G368" s="15" t="str">
        <f>IFERROR(__xludf.DUMMYFUNCTION("""COMPUTED_VALUE"""),"")</f>
        <v/>
      </c>
      <c r="H368" s="12" t="str">
        <f>IF(G368&lt;&gt;"",VLOOKUP(G368,Settings!$B$4:$C$35,2,false),"")</f>
        <v/>
      </c>
      <c r="I368" s="12" t="str">
        <f>IFERROR(__xludf.DUMMYFUNCTION("""COMPUTED_VALUE"""),"")</f>
        <v/>
      </c>
      <c r="J368" s="15"/>
      <c r="K368" s="16"/>
      <c r="L368" s="3"/>
    </row>
    <row r="369">
      <c r="A369" s="17" t="str">
        <f t="shared" si="1"/>
        <v/>
      </c>
      <c r="B369" s="12" t="str">
        <f>IFERROR(__xludf.DUMMYFUNCTION("""COMPUTED_VALUE"""),"")</f>
        <v/>
      </c>
      <c r="C369" s="12" t="str">
        <f>IFERROR(__xludf.DUMMYFUNCTION("""COMPUTED_VALUE"""),"")</f>
        <v/>
      </c>
      <c r="D369" s="12" t="str">
        <f>IFERROR(__xludf.DUMMYFUNCTION("""COMPUTED_VALUE"""),"")</f>
        <v/>
      </c>
      <c r="E369" s="13" t="str">
        <f>IF(D369&lt;&gt;"",VLOOKUP(D369,Settings!$G$3:$H$6,2,false),"")</f>
        <v/>
      </c>
      <c r="F369" s="15" t="str">
        <f>IFERROR(__xludf.DUMMYFUNCTION("""COMPUTED_VALUE"""),"")</f>
        <v/>
      </c>
      <c r="G369" s="15" t="str">
        <f>IFERROR(__xludf.DUMMYFUNCTION("""COMPUTED_VALUE"""),"")</f>
        <v/>
      </c>
      <c r="H369" s="12" t="str">
        <f>IF(G369&lt;&gt;"",VLOOKUP(G369,Settings!$B$4:$C$35,2,false),"")</f>
        <v/>
      </c>
      <c r="I369" s="12" t="str">
        <f>IFERROR(__xludf.DUMMYFUNCTION("""COMPUTED_VALUE"""),"")</f>
        <v/>
      </c>
      <c r="J369" s="15"/>
      <c r="K369" s="16"/>
      <c r="L369" s="3"/>
    </row>
    <row r="370">
      <c r="A370" s="17" t="str">
        <f t="shared" si="1"/>
        <v/>
      </c>
      <c r="B370" s="12" t="str">
        <f>IFERROR(__xludf.DUMMYFUNCTION("""COMPUTED_VALUE"""),"")</f>
        <v/>
      </c>
      <c r="C370" s="12" t="str">
        <f>IFERROR(__xludf.DUMMYFUNCTION("""COMPUTED_VALUE"""),"")</f>
        <v/>
      </c>
      <c r="D370" s="12" t="str">
        <f>IFERROR(__xludf.DUMMYFUNCTION("""COMPUTED_VALUE"""),"")</f>
        <v/>
      </c>
      <c r="E370" s="13" t="str">
        <f>IF(D370&lt;&gt;"",VLOOKUP(D370,Settings!$G$3:$H$6,2,false),"")</f>
        <v/>
      </c>
      <c r="F370" s="15" t="str">
        <f>IFERROR(__xludf.DUMMYFUNCTION("""COMPUTED_VALUE"""),"")</f>
        <v/>
      </c>
      <c r="G370" s="15" t="str">
        <f>IFERROR(__xludf.DUMMYFUNCTION("""COMPUTED_VALUE"""),"")</f>
        <v/>
      </c>
      <c r="H370" s="12" t="str">
        <f>IF(G370&lt;&gt;"",VLOOKUP(G370,Settings!$B$4:$C$35,2,false),"")</f>
        <v/>
      </c>
      <c r="I370" s="12" t="str">
        <f>IFERROR(__xludf.DUMMYFUNCTION("""COMPUTED_VALUE"""),"")</f>
        <v/>
      </c>
      <c r="J370" s="15"/>
      <c r="K370" s="16"/>
      <c r="L370" s="3"/>
    </row>
    <row r="371">
      <c r="A371" s="17" t="str">
        <f t="shared" si="1"/>
        <v/>
      </c>
      <c r="B371" s="12" t="str">
        <f>IFERROR(__xludf.DUMMYFUNCTION("""COMPUTED_VALUE"""),"")</f>
        <v/>
      </c>
      <c r="C371" s="12" t="str">
        <f>IFERROR(__xludf.DUMMYFUNCTION("""COMPUTED_VALUE"""),"")</f>
        <v/>
      </c>
      <c r="D371" s="12" t="str">
        <f>IFERROR(__xludf.DUMMYFUNCTION("""COMPUTED_VALUE"""),"")</f>
        <v/>
      </c>
      <c r="E371" s="13" t="str">
        <f>IF(D371&lt;&gt;"",VLOOKUP(D371,Settings!$G$3:$H$6,2,false),"")</f>
        <v/>
      </c>
      <c r="F371" s="15" t="str">
        <f>IFERROR(__xludf.DUMMYFUNCTION("""COMPUTED_VALUE"""),"")</f>
        <v/>
      </c>
      <c r="G371" s="15" t="str">
        <f>IFERROR(__xludf.DUMMYFUNCTION("""COMPUTED_VALUE"""),"")</f>
        <v/>
      </c>
      <c r="H371" s="12" t="str">
        <f>IF(G371&lt;&gt;"",VLOOKUP(G371,Settings!$B$4:$C$35,2,false),"")</f>
        <v/>
      </c>
      <c r="I371" s="12" t="str">
        <f>IFERROR(__xludf.DUMMYFUNCTION("""COMPUTED_VALUE"""),"")</f>
        <v/>
      </c>
      <c r="J371" s="15"/>
      <c r="K371" s="16"/>
      <c r="L371" s="3"/>
    </row>
    <row r="372">
      <c r="A372" s="17" t="str">
        <f t="shared" si="1"/>
        <v/>
      </c>
      <c r="B372" s="12" t="str">
        <f>IFERROR(__xludf.DUMMYFUNCTION("""COMPUTED_VALUE"""),"")</f>
        <v/>
      </c>
      <c r="C372" s="12" t="str">
        <f>IFERROR(__xludf.DUMMYFUNCTION("""COMPUTED_VALUE"""),"")</f>
        <v/>
      </c>
      <c r="D372" s="12" t="str">
        <f>IFERROR(__xludf.DUMMYFUNCTION("""COMPUTED_VALUE"""),"")</f>
        <v/>
      </c>
      <c r="E372" s="13" t="str">
        <f>IF(D372&lt;&gt;"",VLOOKUP(D372,Settings!$G$3:$H$6,2,false),"")</f>
        <v/>
      </c>
      <c r="F372" s="15" t="str">
        <f>IFERROR(__xludf.DUMMYFUNCTION("""COMPUTED_VALUE"""),"")</f>
        <v/>
      </c>
      <c r="G372" s="15" t="str">
        <f>IFERROR(__xludf.DUMMYFUNCTION("""COMPUTED_VALUE"""),"")</f>
        <v/>
      </c>
      <c r="H372" s="12" t="str">
        <f>IF(G372&lt;&gt;"",VLOOKUP(G372,Settings!$B$4:$C$35,2,false),"")</f>
        <v/>
      </c>
      <c r="I372" s="12" t="str">
        <f>IFERROR(__xludf.DUMMYFUNCTION("""COMPUTED_VALUE"""),"")</f>
        <v/>
      </c>
      <c r="J372" s="15"/>
      <c r="K372" s="16"/>
      <c r="L372" s="3"/>
    </row>
    <row r="373">
      <c r="A373" s="17" t="str">
        <f t="shared" si="1"/>
        <v/>
      </c>
      <c r="B373" s="12" t="str">
        <f>IFERROR(__xludf.DUMMYFUNCTION("""COMPUTED_VALUE"""),"")</f>
        <v/>
      </c>
      <c r="C373" s="12" t="str">
        <f>IFERROR(__xludf.DUMMYFUNCTION("""COMPUTED_VALUE"""),"")</f>
        <v/>
      </c>
      <c r="D373" s="12" t="str">
        <f>IFERROR(__xludf.DUMMYFUNCTION("""COMPUTED_VALUE"""),"")</f>
        <v/>
      </c>
      <c r="E373" s="13" t="str">
        <f>IF(D373&lt;&gt;"",VLOOKUP(D373,Settings!$G$3:$H$6,2,false),"")</f>
        <v/>
      </c>
      <c r="F373" s="15" t="str">
        <f>IFERROR(__xludf.DUMMYFUNCTION("""COMPUTED_VALUE"""),"")</f>
        <v/>
      </c>
      <c r="G373" s="15" t="str">
        <f>IFERROR(__xludf.DUMMYFUNCTION("""COMPUTED_VALUE"""),"")</f>
        <v/>
      </c>
      <c r="H373" s="12" t="str">
        <f>IF(G373&lt;&gt;"",VLOOKUP(G373,Settings!$B$4:$C$35,2,false),"")</f>
        <v/>
      </c>
      <c r="I373" s="12" t="str">
        <f>IFERROR(__xludf.DUMMYFUNCTION("""COMPUTED_VALUE"""),"")</f>
        <v/>
      </c>
      <c r="J373" s="15"/>
      <c r="K373" s="16"/>
      <c r="L373" s="3"/>
    </row>
    <row r="374">
      <c r="A374" s="17" t="str">
        <f t="shared" si="1"/>
        <v/>
      </c>
      <c r="B374" s="12" t="str">
        <f>IFERROR(__xludf.DUMMYFUNCTION("""COMPUTED_VALUE"""),"")</f>
        <v/>
      </c>
      <c r="C374" s="12" t="str">
        <f>IFERROR(__xludf.DUMMYFUNCTION("""COMPUTED_VALUE"""),"")</f>
        <v/>
      </c>
      <c r="D374" s="12" t="str">
        <f>IFERROR(__xludf.DUMMYFUNCTION("""COMPUTED_VALUE"""),"")</f>
        <v/>
      </c>
      <c r="E374" s="13" t="str">
        <f>IF(D374&lt;&gt;"",VLOOKUP(D374,Settings!$G$3:$H$6,2,false),"")</f>
        <v/>
      </c>
      <c r="F374" s="15" t="str">
        <f>IFERROR(__xludf.DUMMYFUNCTION("""COMPUTED_VALUE"""),"")</f>
        <v/>
      </c>
      <c r="G374" s="15" t="str">
        <f>IFERROR(__xludf.DUMMYFUNCTION("""COMPUTED_VALUE"""),"")</f>
        <v/>
      </c>
      <c r="H374" s="12" t="str">
        <f>IF(G374&lt;&gt;"",VLOOKUP(G374,Settings!$B$4:$C$35,2,false),"")</f>
        <v/>
      </c>
      <c r="I374" s="12" t="str">
        <f>IFERROR(__xludf.DUMMYFUNCTION("""COMPUTED_VALUE"""),"")</f>
        <v/>
      </c>
      <c r="J374" s="15"/>
      <c r="K374" s="12"/>
      <c r="L374" s="3"/>
    </row>
    <row r="375">
      <c r="A375" s="17" t="str">
        <f t="shared" si="1"/>
        <v/>
      </c>
      <c r="B375" s="12" t="str">
        <f>IFERROR(__xludf.DUMMYFUNCTION("""COMPUTED_VALUE"""),"")</f>
        <v/>
      </c>
      <c r="C375" s="12" t="str">
        <f>IFERROR(__xludf.DUMMYFUNCTION("""COMPUTED_VALUE"""),"")</f>
        <v/>
      </c>
      <c r="D375" s="12" t="str">
        <f>IFERROR(__xludf.DUMMYFUNCTION("""COMPUTED_VALUE"""),"")</f>
        <v/>
      </c>
      <c r="E375" s="13" t="str">
        <f>IF(D375&lt;&gt;"",VLOOKUP(D375,Settings!$G$3:$H$6,2,false),"")</f>
        <v/>
      </c>
      <c r="F375" s="15" t="str">
        <f>IFERROR(__xludf.DUMMYFUNCTION("""COMPUTED_VALUE"""),"")</f>
        <v/>
      </c>
      <c r="G375" s="15" t="str">
        <f>IFERROR(__xludf.DUMMYFUNCTION("""COMPUTED_VALUE"""),"")</f>
        <v/>
      </c>
      <c r="H375" s="12" t="str">
        <f>IF(G375&lt;&gt;"",VLOOKUP(G375,Settings!$B$4:$C$35,2,false),"")</f>
        <v/>
      </c>
      <c r="I375" s="12" t="str">
        <f>IFERROR(__xludf.DUMMYFUNCTION("""COMPUTED_VALUE"""),"")</f>
        <v/>
      </c>
      <c r="J375" s="15"/>
      <c r="K375" s="16"/>
      <c r="L375" s="3"/>
    </row>
    <row r="376">
      <c r="A376" s="17" t="str">
        <f t="shared" si="1"/>
        <v/>
      </c>
      <c r="B376" s="12" t="str">
        <f>IFERROR(__xludf.DUMMYFUNCTION("""COMPUTED_VALUE"""),"")</f>
        <v/>
      </c>
      <c r="C376" s="12" t="str">
        <f>IFERROR(__xludf.DUMMYFUNCTION("""COMPUTED_VALUE"""),"")</f>
        <v/>
      </c>
      <c r="D376" s="12" t="str">
        <f>IFERROR(__xludf.DUMMYFUNCTION("""COMPUTED_VALUE"""),"")</f>
        <v/>
      </c>
      <c r="E376" s="13" t="str">
        <f>IF(D376&lt;&gt;"",VLOOKUP(D376,Settings!$G$3:$H$6,2,false),"")</f>
        <v/>
      </c>
      <c r="F376" s="15" t="str">
        <f>IFERROR(__xludf.DUMMYFUNCTION("""COMPUTED_VALUE"""),"")</f>
        <v/>
      </c>
      <c r="G376" s="15" t="str">
        <f>IFERROR(__xludf.DUMMYFUNCTION("""COMPUTED_VALUE"""),"")</f>
        <v/>
      </c>
      <c r="H376" s="12" t="str">
        <f>IF(G376&lt;&gt;"",VLOOKUP(G376,Settings!$B$4:$C$35,2,false),"")</f>
        <v/>
      </c>
      <c r="I376" s="12" t="str">
        <f>IFERROR(__xludf.DUMMYFUNCTION("""COMPUTED_VALUE"""),"")</f>
        <v/>
      </c>
      <c r="J376" s="15"/>
      <c r="K376" s="16"/>
      <c r="L376" s="3"/>
    </row>
    <row r="377">
      <c r="A377" s="17" t="str">
        <f t="shared" si="1"/>
        <v/>
      </c>
      <c r="B377" s="12" t="str">
        <f>IFERROR(__xludf.DUMMYFUNCTION("""COMPUTED_VALUE"""),"")</f>
        <v/>
      </c>
      <c r="C377" s="12" t="str">
        <f>IFERROR(__xludf.DUMMYFUNCTION("""COMPUTED_VALUE"""),"")</f>
        <v/>
      </c>
      <c r="D377" s="12" t="str">
        <f>IFERROR(__xludf.DUMMYFUNCTION("""COMPUTED_VALUE"""),"")</f>
        <v/>
      </c>
      <c r="E377" s="13" t="str">
        <f>IF(D377&lt;&gt;"",VLOOKUP(D377,Settings!$G$3:$H$6,2,false),"")</f>
        <v/>
      </c>
      <c r="F377" s="15" t="str">
        <f>IFERROR(__xludf.DUMMYFUNCTION("""COMPUTED_VALUE"""),"")</f>
        <v/>
      </c>
      <c r="G377" s="15" t="str">
        <f>IFERROR(__xludf.DUMMYFUNCTION("""COMPUTED_VALUE"""),"")</f>
        <v/>
      </c>
      <c r="H377" s="12" t="str">
        <f>IF(G377&lt;&gt;"",VLOOKUP(G377,Settings!$B$4:$C$35,2,false),"")</f>
        <v/>
      </c>
      <c r="I377" s="12" t="str">
        <f>IFERROR(__xludf.DUMMYFUNCTION("""COMPUTED_VALUE"""),"")</f>
        <v/>
      </c>
      <c r="J377" s="15"/>
      <c r="K377" s="12"/>
      <c r="L377" s="3"/>
    </row>
    <row r="378">
      <c r="A378" s="17" t="str">
        <f t="shared" si="1"/>
        <v/>
      </c>
      <c r="B378" s="12" t="str">
        <f>IFERROR(__xludf.DUMMYFUNCTION("""COMPUTED_VALUE"""),"")</f>
        <v/>
      </c>
      <c r="C378" s="12" t="str">
        <f>IFERROR(__xludf.DUMMYFUNCTION("""COMPUTED_VALUE"""),"")</f>
        <v/>
      </c>
      <c r="D378" s="12" t="str">
        <f>IFERROR(__xludf.DUMMYFUNCTION("""COMPUTED_VALUE"""),"")</f>
        <v/>
      </c>
      <c r="E378" s="13" t="str">
        <f>IF(D378&lt;&gt;"",VLOOKUP(D378,Settings!$G$3:$H$6,2,false),"")</f>
        <v/>
      </c>
      <c r="F378" s="15" t="str">
        <f>IFERROR(__xludf.DUMMYFUNCTION("""COMPUTED_VALUE"""),"")</f>
        <v/>
      </c>
      <c r="G378" s="15" t="str">
        <f>IFERROR(__xludf.DUMMYFUNCTION("""COMPUTED_VALUE"""),"")</f>
        <v/>
      </c>
      <c r="H378" s="12" t="str">
        <f>IF(G378&lt;&gt;"",VLOOKUP(G378,Settings!$B$4:$C$35,2,false),"")</f>
        <v/>
      </c>
      <c r="I378" s="12" t="str">
        <f>IFERROR(__xludf.DUMMYFUNCTION("""COMPUTED_VALUE"""),"")</f>
        <v/>
      </c>
      <c r="J378" s="15"/>
      <c r="K378" s="12"/>
      <c r="L378" s="3"/>
    </row>
    <row r="379">
      <c r="A379" s="17" t="str">
        <f t="shared" si="1"/>
        <v/>
      </c>
      <c r="B379" s="12" t="str">
        <f>IFERROR(__xludf.DUMMYFUNCTION("""COMPUTED_VALUE"""),"")</f>
        <v/>
      </c>
      <c r="C379" s="12" t="str">
        <f>IFERROR(__xludf.DUMMYFUNCTION("""COMPUTED_VALUE"""),"")</f>
        <v/>
      </c>
      <c r="D379" s="12" t="str">
        <f>IFERROR(__xludf.DUMMYFUNCTION("""COMPUTED_VALUE"""),"")</f>
        <v/>
      </c>
      <c r="E379" s="13" t="str">
        <f>IF(D379&lt;&gt;"",VLOOKUP(D379,Settings!$G$3:$H$6,2,false),"")</f>
        <v/>
      </c>
      <c r="F379" s="15" t="str">
        <f>IFERROR(__xludf.DUMMYFUNCTION("""COMPUTED_VALUE"""),"")</f>
        <v/>
      </c>
      <c r="G379" s="15" t="str">
        <f>IFERROR(__xludf.DUMMYFUNCTION("""COMPUTED_VALUE"""),"")</f>
        <v/>
      </c>
      <c r="H379" s="12" t="str">
        <f>IF(G379&lt;&gt;"",VLOOKUP(G379,Settings!$B$4:$C$35,2,false),"")</f>
        <v/>
      </c>
      <c r="I379" s="12" t="str">
        <f>IFERROR(__xludf.DUMMYFUNCTION("""COMPUTED_VALUE"""),"")</f>
        <v/>
      </c>
      <c r="J379" s="15"/>
      <c r="K379" s="16"/>
      <c r="L379" s="3"/>
    </row>
    <row r="380">
      <c r="A380" s="17" t="str">
        <f t="shared" si="1"/>
        <v/>
      </c>
      <c r="B380" s="12" t="str">
        <f>IFERROR(__xludf.DUMMYFUNCTION("""COMPUTED_VALUE"""),"")</f>
        <v/>
      </c>
      <c r="C380" s="12" t="str">
        <f>IFERROR(__xludf.DUMMYFUNCTION("""COMPUTED_VALUE"""),"")</f>
        <v/>
      </c>
      <c r="D380" s="12" t="str">
        <f>IFERROR(__xludf.DUMMYFUNCTION("""COMPUTED_VALUE"""),"")</f>
        <v/>
      </c>
      <c r="E380" s="13" t="str">
        <f>IF(D380&lt;&gt;"",VLOOKUP(D380,Settings!$G$3:$H$6,2,false),"")</f>
        <v/>
      </c>
      <c r="F380" s="15" t="str">
        <f>IFERROR(__xludf.DUMMYFUNCTION("""COMPUTED_VALUE"""),"")</f>
        <v/>
      </c>
      <c r="G380" s="15" t="str">
        <f>IFERROR(__xludf.DUMMYFUNCTION("""COMPUTED_VALUE"""),"")</f>
        <v/>
      </c>
      <c r="H380" s="12" t="str">
        <f>IF(G380&lt;&gt;"",VLOOKUP(G380,Settings!$B$4:$C$35,2,false),"")</f>
        <v/>
      </c>
      <c r="I380" s="12" t="str">
        <f>IFERROR(__xludf.DUMMYFUNCTION("""COMPUTED_VALUE"""),"")</f>
        <v/>
      </c>
      <c r="J380" s="15"/>
      <c r="K380" s="12"/>
      <c r="L380" s="3"/>
    </row>
    <row r="381">
      <c r="A381" s="17" t="str">
        <f t="shared" si="1"/>
        <v/>
      </c>
      <c r="B381" s="12" t="str">
        <f>IFERROR(__xludf.DUMMYFUNCTION("""COMPUTED_VALUE"""),"")</f>
        <v/>
      </c>
      <c r="C381" s="12" t="str">
        <f>IFERROR(__xludf.DUMMYFUNCTION("""COMPUTED_VALUE"""),"")</f>
        <v/>
      </c>
      <c r="D381" s="12" t="str">
        <f>IFERROR(__xludf.DUMMYFUNCTION("""COMPUTED_VALUE"""),"")</f>
        <v/>
      </c>
      <c r="E381" s="13" t="str">
        <f>IF(D381&lt;&gt;"",VLOOKUP(D381,Settings!$G$3:$H$6,2,false),"")</f>
        <v/>
      </c>
      <c r="F381" s="15" t="str">
        <f>IFERROR(__xludf.DUMMYFUNCTION("""COMPUTED_VALUE"""),"")</f>
        <v/>
      </c>
      <c r="G381" s="15" t="str">
        <f>IFERROR(__xludf.DUMMYFUNCTION("""COMPUTED_VALUE"""),"")</f>
        <v/>
      </c>
      <c r="H381" s="12" t="str">
        <f>IF(G381&lt;&gt;"",VLOOKUP(G381,Settings!$B$4:$C$35,2,false),"")</f>
        <v/>
      </c>
      <c r="I381" s="12" t="str">
        <f>IFERROR(__xludf.DUMMYFUNCTION("""COMPUTED_VALUE"""),"")</f>
        <v/>
      </c>
      <c r="J381" s="15"/>
      <c r="K381" s="12"/>
      <c r="L381" s="3"/>
    </row>
    <row r="382">
      <c r="A382" s="17" t="str">
        <f t="shared" si="1"/>
        <v/>
      </c>
      <c r="B382" s="12" t="str">
        <f>IFERROR(__xludf.DUMMYFUNCTION("""COMPUTED_VALUE"""),"")</f>
        <v/>
      </c>
      <c r="C382" s="12" t="str">
        <f>IFERROR(__xludf.DUMMYFUNCTION("""COMPUTED_VALUE"""),"")</f>
        <v/>
      </c>
      <c r="D382" s="12" t="str">
        <f>IFERROR(__xludf.DUMMYFUNCTION("""COMPUTED_VALUE"""),"")</f>
        <v/>
      </c>
      <c r="E382" s="13" t="str">
        <f>IF(D382&lt;&gt;"",VLOOKUP(D382,Settings!$G$3:$H$6,2,false),"")</f>
        <v/>
      </c>
      <c r="F382" s="15" t="str">
        <f>IFERROR(__xludf.DUMMYFUNCTION("""COMPUTED_VALUE"""),"")</f>
        <v/>
      </c>
      <c r="G382" s="15" t="str">
        <f>IFERROR(__xludf.DUMMYFUNCTION("""COMPUTED_VALUE"""),"")</f>
        <v/>
      </c>
      <c r="H382" s="12" t="str">
        <f>IF(G382&lt;&gt;"",VLOOKUP(G382,Settings!$B$4:$C$35,2,false),"")</f>
        <v/>
      </c>
      <c r="I382" s="12" t="str">
        <f>IFERROR(__xludf.DUMMYFUNCTION("""COMPUTED_VALUE"""),"")</f>
        <v/>
      </c>
      <c r="J382" s="15"/>
      <c r="K382" s="12"/>
      <c r="L382" s="3"/>
    </row>
    <row r="383">
      <c r="A383" s="17" t="str">
        <f t="shared" si="1"/>
        <v/>
      </c>
      <c r="B383" s="12" t="str">
        <f>IFERROR(__xludf.DUMMYFUNCTION("""COMPUTED_VALUE"""),"")</f>
        <v/>
      </c>
      <c r="C383" s="12" t="str">
        <f>IFERROR(__xludf.DUMMYFUNCTION("""COMPUTED_VALUE"""),"")</f>
        <v/>
      </c>
      <c r="D383" s="12" t="str">
        <f>IFERROR(__xludf.DUMMYFUNCTION("""COMPUTED_VALUE"""),"")</f>
        <v/>
      </c>
      <c r="E383" s="13" t="str">
        <f>IF(D383&lt;&gt;"",VLOOKUP(D383,Settings!$G$3:$H$6,2,false),"")</f>
        <v/>
      </c>
      <c r="F383" s="15" t="str">
        <f>IFERROR(__xludf.DUMMYFUNCTION("""COMPUTED_VALUE"""),"")</f>
        <v/>
      </c>
      <c r="G383" s="15" t="str">
        <f>IFERROR(__xludf.DUMMYFUNCTION("""COMPUTED_VALUE"""),"")</f>
        <v/>
      </c>
      <c r="H383" s="12" t="str">
        <f>IF(G383&lt;&gt;"",VLOOKUP(G383,Settings!$B$4:$C$35,2,false),"")</f>
        <v/>
      </c>
      <c r="I383" s="12" t="str">
        <f>IFERROR(__xludf.DUMMYFUNCTION("""COMPUTED_VALUE"""),"")</f>
        <v/>
      </c>
      <c r="J383" s="15"/>
      <c r="K383" s="103"/>
      <c r="L383" s="3"/>
    </row>
    <row r="384">
      <c r="A384" s="17" t="str">
        <f t="shared" si="1"/>
        <v/>
      </c>
      <c r="B384" s="12" t="str">
        <f>IFERROR(__xludf.DUMMYFUNCTION("""COMPUTED_VALUE"""),"")</f>
        <v/>
      </c>
      <c r="C384" s="12" t="str">
        <f>IFERROR(__xludf.DUMMYFUNCTION("""COMPUTED_VALUE"""),"")</f>
        <v/>
      </c>
      <c r="D384" s="12" t="str">
        <f>IFERROR(__xludf.DUMMYFUNCTION("""COMPUTED_VALUE"""),"")</f>
        <v/>
      </c>
      <c r="E384" s="13" t="str">
        <f>IF(D384&lt;&gt;"",VLOOKUP(D384,Settings!$G$3:$H$6,2,false),"")</f>
        <v/>
      </c>
      <c r="F384" s="15" t="str">
        <f>IFERROR(__xludf.DUMMYFUNCTION("""COMPUTED_VALUE"""),"")</f>
        <v/>
      </c>
      <c r="G384" s="15" t="str">
        <f>IFERROR(__xludf.DUMMYFUNCTION("""COMPUTED_VALUE"""),"")</f>
        <v/>
      </c>
      <c r="H384" s="12" t="str">
        <f>IF(G384&lt;&gt;"",VLOOKUP(G384,Settings!$B$4:$C$35,2,false),"")</f>
        <v/>
      </c>
      <c r="I384" s="12" t="str">
        <f>IFERROR(__xludf.DUMMYFUNCTION("""COMPUTED_VALUE"""),"")</f>
        <v/>
      </c>
      <c r="J384" s="15"/>
      <c r="K384" s="16"/>
      <c r="L384" s="3"/>
    </row>
    <row r="385">
      <c r="A385" s="17" t="str">
        <f t="shared" si="1"/>
        <v/>
      </c>
      <c r="B385" s="12" t="str">
        <f>IFERROR(__xludf.DUMMYFUNCTION("""COMPUTED_VALUE"""),"")</f>
        <v/>
      </c>
      <c r="C385" s="12" t="str">
        <f>IFERROR(__xludf.DUMMYFUNCTION("""COMPUTED_VALUE"""),"")</f>
        <v/>
      </c>
      <c r="D385" s="12" t="str">
        <f>IFERROR(__xludf.DUMMYFUNCTION("""COMPUTED_VALUE"""),"")</f>
        <v/>
      </c>
      <c r="E385" s="13" t="str">
        <f>IF(D385&lt;&gt;"",VLOOKUP(D385,Settings!$G$3:$H$6,2,false),"")</f>
        <v/>
      </c>
      <c r="F385" s="15" t="str">
        <f>IFERROR(__xludf.DUMMYFUNCTION("""COMPUTED_VALUE"""),"")</f>
        <v/>
      </c>
      <c r="G385" s="15" t="str">
        <f>IFERROR(__xludf.DUMMYFUNCTION("""COMPUTED_VALUE"""),"")</f>
        <v/>
      </c>
      <c r="H385" s="12" t="str">
        <f>IF(G385&lt;&gt;"",VLOOKUP(G385,Settings!$B$4:$C$35,2,false),"")</f>
        <v/>
      </c>
      <c r="I385" s="12" t="str">
        <f>IFERROR(__xludf.DUMMYFUNCTION("""COMPUTED_VALUE"""),"")</f>
        <v/>
      </c>
      <c r="J385" s="15"/>
      <c r="K385" s="16"/>
      <c r="L385" s="3"/>
    </row>
    <row r="386">
      <c r="A386" s="17" t="str">
        <f t="shared" si="1"/>
        <v/>
      </c>
      <c r="B386" s="12" t="str">
        <f>IFERROR(__xludf.DUMMYFUNCTION("""COMPUTED_VALUE"""),"")</f>
        <v/>
      </c>
      <c r="C386" s="12" t="str">
        <f>IFERROR(__xludf.DUMMYFUNCTION("""COMPUTED_VALUE"""),"")</f>
        <v/>
      </c>
      <c r="D386" s="12" t="str">
        <f>IFERROR(__xludf.DUMMYFUNCTION("""COMPUTED_VALUE"""),"")</f>
        <v/>
      </c>
      <c r="E386" s="13" t="str">
        <f>IF(D386&lt;&gt;"",VLOOKUP(D386,Settings!$G$3:$H$6,2,false),"")</f>
        <v/>
      </c>
      <c r="F386" s="15" t="str">
        <f>IFERROR(__xludf.DUMMYFUNCTION("""COMPUTED_VALUE"""),"")</f>
        <v/>
      </c>
      <c r="G386" s="15" t="str">
        <f>IFERROR(__xludf.DUMMYFUNCTION("""COMPUTED_VALUE"""),"")</f>
        <v/>
      </c>
      <c r="H386" s="12" t="str">
        <f>IF(G386&lt;&gt;"",VLOOKUP(G386,Settings!$B$4:$C$35,2,false),"")</f>
        <v/>
      </c>
      <c r="I386" s="12" t="str">
        <f>IFERROR(__xludf.DUMMYFUNCTION("""COMPUTED_VALUE"""),"")</f>
        <v/>
      </c>
      <c r="J386" s="15"/>
      <c r="K386" s="16"/>
      <c r="L386" s="3"/>
    </row>
    <row r="387">
      <c r="A387" s="215">
        <f>ROW()-2</f>
        <v>385</v>
      </c>
      <c r="B387" s="12" t="str">
        <f>IFERROR(__xludf.DUMMYFUNCTION("""COMPUTED_VALUE"""),"")</f>
        <v/>
      </c>
      <c r="C387" s="12" t="str">
        <f>IFERROR(__xludf.DUMMYFUNCTION("""COMPUTED_VALUE"""),"")</f>
        <v/>
      </c>
      <c r="D387" s="12" t="str">
        <f>IFERROR(__xludf.DUMMYFUNCTION("""COMPUTED_VALUE"""),"")</f>
        <v/>
      </c>
      <c r="E387" s="13" t="str">
        <f>IF(D387&lt;&gt;"",VLOOKUP(D387,Settings!$G$3:$H$6,2,false),"")</f>
        <v/>
      </c>
      <c r="F387" s="15" t="str">
        <f>IFERROR(__xludf.DUMMYFUNCTION("""COMPUTED_VALUE"""),"")</f>
        <v/>
      </c>
      <c r="G387" s="15" t="str">
        <f>IFERROR(__xludf.DUMMYFUNCTION("""COMPUTED_VALUE"""),"")</f>
        <v/>
      </c>
      <c r="H387" s="12" t="str">
        <f>IF(G387&lt;&gt;"",VLOOKUP(G387,Settings!$B$4:$C$35,2,false),"")</f>
        <v/>
      </c>
      <c r="I387" s="12" t="str">
        <f>IFERROR(__xludf.DUMMYFUNCTION("""COMPUTED_VALUE"""),"")</f>
        <v/>
      </c>
      <c r="J387" s="15"/>
      <c r="K387" s="15"/>
      <c r="L387" s="3"/>
    </row>
    <row r="388">
      <c r="A388" s="17" t="str">
        <f t="shared" ref="A388:A552" si="2">IF(B387&lt;&gt;"", ROW()-2,"")</f>
        <v/>
      </c>
      <c r="B388" s="12" t="str">
        <f>IFERROR(__xludf.DUMMYFUNCTION("""COMPUTED_VALUE"""),"")</f>
        <v/>
      </c>
      <c r="C388" s="12" t="str">
        <f>IFERROR(__xludf.DUMMYFUNCTION("""COMPUTED_VALUE"""),"")</f>
        <v/>
      </c>
      <c r="D388" s="12" t="str">
        <f>IFERROR(__xludf.DUMMYFUNCTION("""COMPUTED_VALUE"""),"")</f>
        <v/>
      </c>
      <c r="E388" s="13" t="str">
        <f>IF(D388&lt;&gt;"",VLOOKUP(D388,Settings!$G$3:$H$6,2,false),"")</f>
        <v/>
      </c>
      <c r="F388" s="15" t="str">
        <f>IFERROR(__xludf.DUMMYFUNCTION("""COMPUTED_VALUE"""),"")</f>
        <v/>
      </c>
      <c r="G388" s="15" t="str">
        <f>IFERROR(__xludf.DUMMYFUNCTION("""COMPUTED_VALUE"""),"")</f>
        <v/>
      </c>
      <c r="H388" s="12" t="str">
        <f>IF(G388&lt;&gt;"",VLOOKUP(G388,Settings!$B$4:$C$35,2,false),"")</f>
        <v/>
      </c>
      <c r="I388" s="12" t="str">
        <f>IFERROR(__xludf.DUMMYFUNCTION("""COMPUTED_VALUE"""),"")</f>
        <v/>
      </c>
      <c r="J388" s="15"/>
      <c r="K388" s="16"/>
      <c r="L388" s="3"/>
    </row>
    <row r="389">
      <c r="A389" s="17" t="str">
        <f t="shared" si="2"/>
        <v/>
      </c>
      <c r="B389" s="12" t="str">
        <f>IFERROR(__xludf.DUMMYFUNCTION("""COMPUTED_VALUE"""),"")</f>
        <v/>
      </c>
      <c r="C389" s="12" t="str">
        <f>IFERROR(__xludf.DUMMYFUNCTION("""COMPUTED_VALUE"""),"")</f>
        <v/>
      </c>
      <c r="D389" s="12" t="str">
        <f>IFERROR(__xludf.DUMMYFUNCTION("""COMPUTED_VALUE"""),"")</f>
        <v/>
      </c>
      <c r="E389" s="13" t="str">
        <f>IF(D389&lt;&gt;"",VLOOKUP(D389,Settings!$G$3:$H$6,2,false),"")</f>
        <v/>
      </c>
      <c r="F389" s="15" t="str">
        <f>IFERROR(__xludf.DUMMYFUNCTION("""COMPUTED_VALUE"""),"")</f>
        <v/>
      </c>
      <c r="G389" s="15" t="str">
        <f>IFERROR(__xludf.DUMMYFUNCTION("""COMPUTED_VALUE"""),"")</f>
        <v/>
      </c>
      <c r="H389" s="12" t="str">
        <f>IF(G389&lt;&gt;"",VLOOKUP(G389,Settings!$B$4:$C$35,2,false),"")</f>
        <v/>
      </c>
      <c r="I389" s="12" t="str">
        <f>IFERROR(__xludf.DUMMYFUNCTION("""COMPUTED_VALUE"""),"")</f>
        <v/>
      </c>
      <c r="J389" s="15"/>
      <c r="K389" s="16"/>
      <c r="L389" s="3"/>
    </row>
    <row r="390">
      <c r="A390" s="17" t="str">
        <f t="shared" si="2"/>
        <v/>
      </c>
      <c r="B390" s="12" t="str">
        <f>IFERROR(__xludf.DUMMYFUNCTION("""COMPUTED_VALUE"""),"")</f>
        <v/>
      </c>
      <c r="C390" s="12" t="str">
        <f>IFERROR(__xludf.DUMMYFUNCTION("""COMPUTED_VALUE"""),"")</f>
        <v/>
      </c>
      <c r="D390" s="12" t="str">
        <f>IFERROR(__xludf.DUMMYFUNCTION("""COMPUTED_VALUE"""),"")</f>
        <v/>
      </c>
      <c r="E390" s="13" t="str">
        <f>IF(D390&lt;&gt;"",VLOOKUP(D390,Settings!$G$3:$H$6,2,false),"")</f>
        <v/>
      </c>
      <c r="F390" s="15" t="str">
        <f>IFERROR(__xludf.DUMMYFUNCTION("""COMPUTED_VALUE"""),"")</f>
        <v/>
      </c>
      <c r="G390" s="15" t="str">
        <f>IFERROR(__xludf.DUMMYFUNCTION("""COMPUTED_VALUE"""),"")</f>
        <v/>
      </c>
      <c r="H390" s="12" t="str">
        <f>IF(G390&lt;&gt;"",VLOOKUP(G390,Settings!$B$4:$C$35,2,false),"")</f>
        <v/>
      </c>
      <c r="I390" s="12" t="str">
        <f>IFERROR(__xludf.DUMMYFUNCTION("""COMPUTED_VALUE"""),"")</f>
        <v/>
      </c>
      <c r="J390" s="15"/>
      <c r="K390" s="16"/>
      <c r="L390" s="3"/>
    </row>
    <row r="391">
      <c r="A391" s="17" t="str">
        <f t="shared" si="2"/>
        <v/>
      </c>
      <c r="B391" s="12" t="str">
        <f>IFERROR(__xludf.DUMMYFUNCTION("""COMPUTED_VALUE"""),"")</f>
        <v/>
      </c>
      <c r="C391" s="12" t="str">
        <f>IFERROR(__xludf.DUMMYFUNCTION("""COMPUTED_VALUE"""),"")</f>
        <v/>
      </c>
      <c r="D391" s="12" t="str">
        <f>IFERROR(__xludf.DUMMYFUNCTION("""COMPUTED_VALUE"""),"")</f>
        <v/>
      </c>
      <c r="E391" s="13" t="str">
        <f>IF(D391&lt;&gt;"",VLOOKUP(D391,Settings!$G$3:$H$6,2,false),"")</f>
        <v/>
      </c>
      <c r="F391" s="15" t="str">
        <f>IFERROR(__xludf.DUMMYFUNCTION("""COMPUTED_VALUE"""),"")</f>
        <v/>
      </c>
      <c r="G391" s="15" t="str">
        <f>IFERROR(__xludf.DUMMYFUNCTION("""COMPUTED_VALUE"""),"")</f>
        <v/>
      </c>
      <c r="H391" s="12" t="str">
        <f>IF(G391&lt;&gt;"",VLOOKUP(G391,Settings!$B$4:$C$35,2,false),"")</f>
        <v/>
      </c>
      <c r="I391" s="12" t="str">
        <f>IFERROR(__xludf.DUMMYFUNCTION("""COMPUTED_VALUE"""),"")</f>
        <v/>
      </c>
      <c r="J391" s="15"/>
      <c r="K391" s="16"/>
      <c r="L391" s="3"/>
    </row>
    <row r="392">
      <c r="A392" s="17" t="str">
        <f t="shared" si="2"/>
        <v/>
      </c>
      <c r="B392" s="12" t="str">
        <f>IFERROR(__xludf.DUMMYFUNCTION("""COMPUTED_VALUE"""),"")</f>
        <v/>
      </c>
      <c r="C392" s="12" t="str">
        <f>IFERROR(__xludf.DUMMYFUNCTION("""COMPUTED_VALUE"""),"")</f>
        <v/>
      </c>
      <c r="D392" s="12" t="str">
        <f>IFERROR(__xludf.DUMMYFUNCTION("""COMPUTED_VALUE"""),"")</f>
        <v/>
      </c>
      <c r="E392" s="13" t="str">
        <f>IF(D392&lt;&gt;"",VLOOKUP(D392,Settings!$G$3:$H$6,2,false),"")</f>
        <v/>
      </c>
      <c r="F392" s="15" t="str">
        <f>IFERROR(__xludf.DUMMYFUNCTION("""COMPUTED_VALUE"""),"")</f>
        <v/>
      </c>
      <c r="G392" s="15" t="str">
        <f>IFERROR(__xludf.DUMMYFUNCTION("""COMPUTED_VALUE"""),"")</f>
        <v/>
      </c>
      <c r="H392" s="12" t="str">
        <f>IF(G392&lt;&gt;"",VLOOKUP(G392,Settings!$B$4:$C$35,2,false),"")</f>
        <v/>
      </c>
      <c r="I392" s="12" t="str">
        <f>IFERROR(__xludf.DUMMYFUNCTION("""COMPUTED_VALUE"""),"")</f>
        <v/>
      </c>
      <c r="J392" s="15"/>
      <c r="K392" s="12"/>
      <c r="L392" s="3"/>
    </row>
    <row r="393">
      <c r="A393" s="17" t="str">
        <f t="shared" si="2"/>
        <v/>
      </c>
      <c r="B393" s="12" t="str">
        <f>IFERROR(__xludf.DUMMYFUNCTION("""COMPUTED_VALUE"""),"")</f>
        <v/>
      </c>
      <c r="C393" s="12" t="str">
        <f>IFERROR(__xludf.DUMMYFUNCTION("""COMPUTED_VALUE"""),"")</f>
        <v/>
      </c>
      <c r="D393" s="12" t="str">
        <f>IFERROR(__xludf.DUMMYFUNCTION("""COMPUTED_VALUE"""),"")</f>
        <v/>
      </c>
      <c r="E393" s="13" t="str">
        <f>IF(D393&lt;&gt;"",VLOOKUP(D393,Settings!$G$3:$H$6,2,false),"")</f>
        <v/>
      </c>
      <c r="F393" s="15" t="str">
        <f>IFERROR(__xludf.DUMMYFUNCTION("""COMPUTED_VALUE"""),"")</f>
        <v/>
      </c>
      <c r="G393" s="15" t="str">
        <f>IFERROR(__xludf.DUMMYFUNCTION("""COMPUTED_VALUE"""),"")</f>
        <v/>
      </c>
      <c r="H393" s="12" t="str">
        <f>IF(G393&lt;&gt;"",VLOOKUP(G393,Settings!$B$4:$C$35,2,false),"")</f>
        <v/>
      </c>
      <c r="I393" s="12" t="str">
        <f>IFERROR(__xludf.DUMMYFUNCTION("""COMPUTED_VALUE"""),"")</f>
        <v/>
      </c>
      <c r="J393" s="15"/>
      <c r="K393" s="12"/>
      <c r="L393" s="3"/>
    </row>
    <row r="394">
      <c r="A394" s="17" t="str">
        <f t="shared" si="2"/>
        <v/>
      </c>
      <c r="B394" s="12" t="str">
        <f>IFERROR(__xludf.DUMMYFUNCTION("""COMPUTED_VALUE"""),"")</f>
        <v/>
      </c>
      <c r="C394" s="12" t="str">
        <f>IFERROR(__xludf.DUMMYFUNCTION("""COMPUTED_VALUE"""),"")</f>
        <v/>
      </c>
      <c r="D394" s="12" t="str">
        <f>IFERROR(__xludf.DUMMYFUNCTION("""COMPUTED_VALUE"""),"")</f>
        <v/>
      </c>
      <c r="E394" s="13" t="str">
        <f>IF(D394&lt;&gt;"",VLOOKUP(D394,Settings!$G$3:$H$6,2,false),"")</f>
        <v/>
      </c>
      <c r="F394" s="15" t="str">
        <f>IFERROR(__xludf.DUMMYFUNCTION("""COMPUTED_VALUE"""),"")</f>
        <v/>
      </c>
      <c r="G394" s="15" t="str">
        <f>IFERROR(__xludf.DUMMYFUNCTION("""COMPUTED_VALUE"""),"")</f>
        <v/>
      </c>
      <c r="H394" s="12" t="str">
        <f>IF(G394&lt;&gt;"",VLOOKUP(G394,Settings!$B$4:$C$35,2,false),"")</f>
        <v/>
      </c>
      <c r="I394" s="12" t="str">
        <f>IFERROR(__xludf.DUMMYFUNCTION("""COMPUTED_VALUE"""),"")</f>
        <v/>
      </c>
      <c r="J394" s="15"/>
      <c r="K394" s="12"/>
      <c r="L394" s="3"/>
    </row>
    <row r="395">
      <c r="A395" s="17" t="str">
        <f t="shared" si="2"/>
        <v/>
      </c>
      <c r="B395" s="12" t="str">
        <f>IFERROR(__xludf.DUMMYFUNCTION("""COMPUTED_VALUE"""),"")</f>
        <v/>
      </c>
      <c r="C395" s="12" t="str">
        <f>IFERROR(__xludf.DUMMYFUNCTION("""COMPUTED_VALUE"""),"")</f>
        <v/>
      </c>
      <c r="D395" s="12" t="str">
        <f>IFERROR(__xludf.DUMMYFUNCTION("""COMPUTED_VALUE"""),"")</f>
        <v/>
      </c>
      <c r="E395" s="13" t="str">
        <f>IF(D395&lt;&gt;"",VLOOKUP(D395,Settings!$G$3:$H$6,2,false),"")</f>
        <v/>
      </c>
      <c r="F395" s="15" t="str">
        <f>IFERROR(__xludf.DUMMYFUNCTION("""COMPUTED_VALUE"""),"")</f>
        <v/>
      </c>
      <c r="G395" s="15" t="str">
        <f>IFERROR(__xludf.DUMMYFUNCTION("""COMPUTED_VALUE"""),"")</f>
        <v/>
      </c>
      <c r="H395" s="12" t="str">
        <f>IF(G395&lt;&gt;"",VLOOKUP(G395,Settings!$B$4:$C$35,2,false),"")</f>
        <v/>
      </c>
      <c r="I395" s="12" t="str">
        <f>IFERROR(__xludf.DUMMYFUNCTION("""COMPUTED_VALUE"""),"")</f>
        <v/>
      </c>
      <c r="J395" s="15"/>
      <c r="K395" s="16"/>
      <c r="L395" s="3"/>
    </row>
    <row r="396">
      <c r="A396" s="17" t="str">
        <f t="shared" si="2"/>
        <v/>
      </c>
      <c r="B396" s="12" t="str">
        <f>IFERROR(__xludf.DUMMYFUNCTION("""COMPUTED_VALUE"""),"")</f>
        <v/>
      </c>
      <c r="C396" s="12" t="str">
        <f>IFERROR(__xludf.DUMMYFUNCTION("""COMPUTED_VALUE"""),"")</f>
        <v/>
      </c>
      <c r="D396" s="12" t="str">
        <f>IFERROR(__xludf.DUMMYFUNCTION("""COMPUTED_VALUE"""),"")</f>
        <v/>
      </c>
      <c r="E396" s="13" t="str">
        <f>IF(D396&lt;&gt;"",VLOOKUP(D396,Settings!$G$3:$H$6,2,false),"")</f>
        <v/>
      </c>
      <c r="F396" s="15" t="str">
        <f>IFERROR(__xludf.DUMMYFUNCTION("""COMPUTED_VALUE"""),"")</f>
        <v/>
      </c>
      <c r="G396" s="15" t="str">
        <f>IFERROR(__xludf.DUMMYFUNCTION("""COMPUTED_VALUE"""),"")</f>
        <v/>
      </c>
      <c r="H396" s="12" t="str">
        <f>IF(G396&lt;&gt;"",VLOOKUP(G396,Settings!$B$4:$C$35,2,false),"")</f>
        <v/>
      </c>
      <c r="I396" s="12" t="str">
        <f>IFERROR(__xludf.DUMMYFUNCTION("""COMPUTED_VALUE"""),"")</f>
        <v/>
      </c>
      <c r="J396" s="15"/>
      <c r="K396" s="12"/>
      <c r="L396" s="3"/>
    </row>
    <row r="397">
      <c r="A397" s="17" t="str">
        <f t="shared" si="2"/>
        <v/>
      </c>
      <c r="B397" s="12" t="str">
        <f>IFERROR(__xludf.DUMMYFUNCTION("""COMPUTED_VALUE"""),"")</f>
        <v/>
      </c>
      <c r="C397" s="12" t="str">
        <f>IFERROR(__xludf.DUMMYFUNCTION("""COMPUTED_VALUE"""),"")</f>
        <v/>
      </c>
      <c r="D397" s="12" t="str">
        <f>IFERROR(__xludf.DUMMYFUNCTION("""COMPUTED_VALUE"""),"")</f>
        <v/>
      </c>
      <c r="E397" s="13" t="str">
        <f>IF(D397&lt;&gt;"",VLOOKUP(D397,Settings!$G$3:$H$6,2,false),"")</f>
        <v/>
      </c>
      <c r="F397" s="15" t="str">
        <f>IFERROR(__xludf.DUMMYFUNCTION("""COMPUTED_VALUE"""),"")</f>
        <v/>
      </c>
      <c r="G397" s="15" t="str">
        <f>IFERROR(__xludf.DUMMYFUNCTION("""COMPUTED_VALUE"""),"")</f>
        <v/>
      </c>
      <c r="H397" s="12" t="str">
        <f>IF(G397&lt;&gt;"",VLOOKUP(G397,Settings!$B$4:$C$35,2,false),"")</f>
        <v/>
      </c>
      <c r="I397" s="12" t="str">
        <f>IFERROR(__xludf.DUMMYFUNCTION("""COMPUTED_VALUE"""),"")</f>
        <v/>
      </c>
      <c r="J397" s="15"/>
      <c r="K397" s="16"/>
      <c r="L397" s="3"/>
    </row>
    <row r="398">
      <c r="A398" s="17" t="str">
        <f t="shared" si="2"/>
        <v/>
      </c>
      <c r="B398" s="12" t="str">
        <f>IFERROR(__xludf.DUMMYFUNCTION("""COMPUTED_VALUE"""),"")</f>
        <v/>
      </c>
      <c r="C398" s="12" t="str">
        <f>IFERROR(__xludf.DUMMYFUNCTION("""COMPUTED_VALUE"""),"")</f>
        <v/>
      </c>
      <c r="D398" s="12" t="str">
        <f>IFERROR(__xludf.DUMMYFUNCTION("""COMPUTED_VALUE"""),"")</f>
        <v/>
      </c>
      <c r="E398" s="13" t="str">
        <f>IF(D398&lt;&gt;"",VLOOKUP(D398,Settings!$G$3:$H$6,2,false),"")</f>
        <v/>
      </c>
      <c r="F398" s="15" t="str">
        <f>IFERROR(__xludf.DUMMYFUNCTION("""COMPUTED_VALUE"""),"")</f>
        <v/>
      </c>
      <c r="G398" s="15" t="str">
        <f>IFERROR(__xludf.DUMMYFUNCTION("""COMPUTED_VALUE"""),"")</f>
        <v/>
      </c>
      <c r="H398" s="12" t="str">
        <f>IF(G398&lt;&gt;"",VLOOKUP(G398,Settings!$B$4:$C$35,2,false),"")</f>
        <v/>
      </c>
      <c r="I398" s="12" t="str">
        <f>IFERROR(__xludf.DUMMYFUNCTION("""COMPUTED_VALUE"""),"")</f>
        <v/>
      </c>
      <c r="J398" s="15"/>
      <c r="K398" s="16"/>
      <c r="L398" s="3"/>
    </row>
    <row r="399">
      <c r="A399" s="17" t="str">
        <f t="shared" si="2"/>
        <v/>
      </c>
      <c r="B399" s="12" t="str">
        <f>IFERROR(__xludf.DUMMYFUNCTION("""COMPUTED_VALUE"""),"")</f>
        <v/>
      </c>
      <c r="C399" s="12" t="str">
        <f>IFERROR(__xludf.DUMMYFUNCTION("""COMPUTED_VALUE"""),"")</f>
        <v/>
      </c>
      <c r="D399" s="12" t="str">
        <f>IFERROR(__xludf.DUMMYFUNCTION("""COMPUTED_VALUE"""),"")</f>
        <v/>
      </c>
      <c r="E399" s="13" t="str">
        <f>IF(D399&lt;&gt;"",VLOOKUP(D399,Settings!$G$3:$H$6,2,false),"")</f>
        <v/>
      </c>
      <c r="F399" s="15" t="str">
        <f>IFERROR(__xludf.DUMMYFUNCTION("""COMPUTED_VALUE"""),"")</f>
        <v/>
      </c>
      <c r="G399" s="15" t="str">
        <f>IFERROR(__xludf.DUMMYFUNCTION("""COMPUTED_VALUE"""),"")</f>
        <v/>
      </c>
      <c r="H399" s="12" t="str">
        <f>IF(G399&lt;&gt;"",VLOOKUP(G399,Settings!$B$4:$C$35,2,false),"")</f>
        <v/>
      </c>
      <c r="I399" s="12" t="str">
        <f>IFERROR(__xludf.DUMMYFUNCTION("""COMPUTED_VALUE"""),"")</f>
        <v/>
      </c>
      <c r="J399" s="15"/>
      <c r="K399" s="16"/>
      <c r="L399" s="3"/>
    </row>
    <row r="400">
      <c r="A400" s="17" t="str">
        <f t="shared" si="2"/>
        <v/>
      </c>
      <c r="B400" s="12" t="str">
        <f>IFERROR(__xludf.DUMMYFUNCTION("""COMPUTED_VALUE"""),"")</f>
        <v/>
      </c>
      <c r="C400" s="12" t="str">
        <f>IFERROR(__xludf.DUMMYFUNCTION("""COMPUTED_VALUE"""),"")</f>
        <v/>
      </c>
      <c r="D400" s="12" t="str">
        <f>IFERROR(__xludf.DUMMYFUNCTION("""COMPUTED_VALUE"""),"")</f>
        <v/>
      </c>
      <c r="E400" s="13" t="str">
        <f>IF(D400&lt;&gt;"",VLOOKUP(D400,Settings!$G$3:$H$6,2,false),"")</f>
        <v/>
      </c>
      <c r="F400" s="15" t="str">
        <f>IFERROR(__xludf.DUMMYFUNCTION("""COMPUTED_VALUE"""),"")</f>
        <v/>
      </c>
      <c r="G400" s="15" t="str">
        <f>IFERROR(__xludf.DUMMYFUNCTION("""COMPUTED_VALUE"""),"")</f>
        <v/>
      </c>
      <c r="H400" s="12" t="str">
        <f>IF(G400&lt;&gt;"",VLOOKUP(G400,Settings!$B$4:$C$35,2,false),"")</f>
        <v/>
      </c>
      <c r="I400" s="12" t="str">
        <f>IFERROR(__xludf.DUMMYFUNCTION("""COMPUTED_VALUE"""),"")</f>
        <v/>
      </c>
      <c r="J400" s="15"/>
      <c r="K400" s="16"/>
      <c r="L400" s="3"/>
    </row>
    <row r="401">
      <c r="A401" s="17" t="str">
        <f t="shared" si="2"/>
        <v/>
      </c>
      <c r="B401" s="12" t="str">
        <f>IFERROR(__xludf.DUMMYFUNCTION("""COMPUTED_VALUE"""),"")</f>
        <v/>
      </c>
      <c r="C401" s="12" t="str">
        <f>IFERROR(__xludf.DUMMYFUNCTION("""COMPUTED_VALUE"""),"")</f>
        <v/>
      </c>
      <c r="D401" s="12" t="str">
        <f>IFERROR(__xludf.DUMMYFUNCTION("""COMPUTED_VALUE"""),"")</f>
        <v/>
      </c>
      <c r="E401" s="13" t="str">
        <f>IF(D401&lt;&gt;"",VLOOKUP(D401,Settings!$G$3:$H$6,2,false),"")</f>
        <v/>
      </c>
      <c r="F401" s="15" t="str">
        <f>IFERROR(__xludf.DUMMYFUNCTION("""COMPUTED_VALUE"""),"")</f>
        <v/>
      </c>
      <c r="G401" s="15" t="str">
        <f>IFERROR(__xludf.DUMMYFUNCTION("""COMPUTED_VALUE"""),"")</f>
        <v/>
      </c>
      <c r="H401" s="12" t="str">
        <f>IF(G401&lt;&gt;"",VLOOKUP(G401,Settings!$B$4:$C$35,2,false),"")</f>
        <v/>
      </c>
      <c r="I401" s="15" t="str">
        <f>IFERROR(__xludf.DUMMYFUNCTION("""COMPUTED_VALUE"""),"")</f>
        <v/>
      </c>
      <c r="J401" s="15"/>
      <c r="K401" s="16"/>
      <c r="L401" s="6"/>
    </row>
    <row r="402">
      <c r="A402" s="17" t="str">
        <f t="shared" si="2"/>
        <v/>
      </c>
      <c r="B402" s="12" t="str">
        <f>IFERROR(__xludf.DUMMYFUNCTION("""COMPUTED_VALUE"""),"")</f>
        <v/>
      </c>
      <c r="C402" s="12" t="str">
        <f>IFERROR(__xludf.DUMMYFUNCTION("""COMPUTED_VALUE"""),"")</f>
        <v/>
      </c>
      <c r="D402" s="12" t="str">
        <f>IFERROR(__xludf.DUMMYFUNCTION("""COMPUTED_VALUE"""),"")</f>
        <v/>
      </c>
      <c r="E402" s="13" t="str">
        <f>IF(D402&lt;&gt;"",VLOOKUP(D402,Settings!$G$3:$H$6,2,false),"")</f>
        <v/>
      </c>
      <c r="F402" s="15" t="str">
        <f>IFERROR(__xludf.DUMMYFUNCTION("""COMPUTED_VALUE"""),"")</f>
        <v/>
      </c>
      <c r="G402" s="15" t="str">
        <f>IFERROR(__xludf.DUMMYFUNCTION("""COMPUTED_VALUE"""),"")</f>
        <v/>
      </c>
      <c r="H402" s="12" t="str">
        <f>IF(G402&lt;&gt;"",VLOOKUP(G402,Settings!$B$4:$C$35,2,false),"")</f>
        <v/>
      </c>
      <c r="I402" s="12" t="str">
        <f>IFERROR(__xludf.DUMMYFUNCTION("""COMPUTED_VALUE"""),"")</f>
        <v/>
      </c>
      <c r="J402" s="15"/>
      <c r="K402" s="12"/>
      <c r="L402" s="3"/>
    </row>
    <row r="403">
      <c r="A403" s="17" t="str">
        <f t="shared" si="2"/>
        <v/>
      </c>
      <c r="B403" s="12" t="str">
        <f>IFERROR(__xludf.DUMMYFUNCTION("""COMPUTED_VALUE"""),"")</f>
        <v/>
      </c>
      <c r="C403" s="12" t="str">
        <f>IFERROR(__xludf.DUMMYFUNCTION("""COMPUTED_VALUE"""),"")</f>
        <v/>
      </c>
      <c r="D403" s="12" t="str">
        <f>IFERROR(__xludf.DUMMYFUNCTION("""COMPUTED_VALUE"""),"")</f>
        <v/>
      </c>
      <c r="E403" s="13" t="str">
        <f>IF(D403&lt;&gt;"",VLOOKUP(D403,Settings!$G$3:$H$6,2,false),"")</f>
        <v/>
      </c>
      <c r="F403" s="15" t="str">
        <f>IFERROR(__xludf.DUMMYFUNCTION("""COMPUTED_VALUE"""),"")</f>
        <v/>
      </c>
      <c r="G403" s="15" t="str">
        <f>IFERROR(__xludf.DUMMYFUNCTION("""COMPUTED_VALUE"""),"")</f>
        <v/>
      </c>
      <c r="H403" s="12" t="str">
        <f>IF(G403&lt;&gt;"",VLOOKUP(G403,Settings!$B$4:$C$35,2,false),"")</f>
        <v/>
      </c>
      <c r="I403" s="12" t="str">
        <f>IFERROR(__xludf.DUMMYFUNCTION("""COMPUTED_VALUE"""),"")</f>
        <v/>
      </c>
      <c r="J403" s="15"/>
      <c r="K403" s="12"/>
      <c r="L403" s="3"/>
    </row>
    <row r="404">
      <c r="A404" s="17" t="str">
        <f t="shared" si="2"/>
        <v/>
      </c>
      <c r="B404" s="12" t="str">
        <f>IFERROR(__xludf.DUMMYFUNCTION("""COMPUTED_VALUE"""),"")</f>
        <v/>
      </c>
      <c r="C404" s="12" t="str">
        <f>IFERROR(__xludf.DUMMYFUNCTION("""COMPUTED_VALUE"""),"")</f>
        <v/>
      </c>
      <c r="D404" s="12" t="str">
        <f>IFERROR(__xludf.DUMMYFUNCTION("""COMPUTED_VALUE"""),"")</f>
        <v/>
      </c>
      <c r="E404" s="13" t="str">
        <f>IF(D404&lt;&gt;"",VLOOKUP(D404,Settings!$G$3:$H$6,2,false),"")</f>
        <v/>
      </c>
      <c r="F404" s="15" t="str">
        <f>IFERROR(__xludf.DUMMYFUNCTION("""COMPUTED_VALUE"""),"")</f>
        <v/>
      </c>
      <c r="G404" s="15" t="str">
        <f>IFERROR(__xludf.DUMMYFUNCTION("""COMPUTED_VALUE"""),"")</f>
        <v/>
      </c>
      <c r="H404" s="12" t="str">
        <f>IF(G404&lt;&gt;"",VLOOKUP(G404,Settings!$B$4:$C$35,2,false),"")</f>
        <v/>
      </c>
      <c r="I404" s="12" t="str">
        <f>IFERROR(__xludf.DUMMYFUNCTION("""COMPUTED_VALUE"""),"")</f>
        <v/>
      </c>
      <c r="J404" s="15"/>
      <c r="K404" s="12"/>
      <c r="L404" s="3"/>
    </row>
    <row r="405">
      <c r="A405" s="17" t="str">
        <f t="shared" si="2"/>
        <v/>
      </c>
      <c r="B405" s="12" t="str">
        <f>IFERROR(__xludf.DUMMYFUNCTION("""COMPUTED_VALUE"""),"")</f>
        <v/>
      </c>
      <c r="C405" s="12" t="str">
        <f>IFERROR(__xludf.DUMMYFUNCTION("""COMPUTED_VALUE"""),"")</f>
        <v/>
      </c>
      <c r="D405" s="12" t="str">
        <f>IFERROR(__xludf.DUMMYFUNCTION("""COMPUTED_VALUE"""),"")</f>
        <v/>
      </c>
      <c r="E405" s="13" t="str">
        <f>IF(D405&lt;&gt;"",VLOOKUP(D405,Settings!$G$3:$H$6,2,false),"")</f>
        <v/>
      </c>
      <c r="F405" s="15" t="str">
        <f>IFERROR(__xludf.DUMMYFUNCTION("""COMPUTED_VALUE"""),"")</f>
        <v/>
      </c>
      <c r="G405" s="15" t="str">
        <f>IFERROR(__xludf.DUMMYFUNCTION("""COMPUTED_VALUE"""),"")</f>
        <v/>
      </c>
      <c r="H405" s="12" t="str">
        <f>IF(G405&lt;&gt;"",VLOOKUP(G405,Settings!$B$4:$C$35,2,false),"")</f>
        <v/>
      </c>
      <c r="I405" s="12" t="str">
        <f>IFERROR(__xludf.DUMMYFUNCTION("""COMPUTED_VALUE"""),"")</f>
        <v/>
      </c>
      <c r="J405" s="15"/>
      <c r="K405" s="16"/>
      <c r="L405" s="3"/>
    </row>
    <row r="406">
      <c r="A406" s="17" t="str">
        <f t="shared" si="2"/>
        <v/>
      </c>
      <c r="B406" s="12" t="str">
        <f>IFERROR(__xludf.DUMMYFUNCTION("""COMPUTED_VALUE"""),"")</f>
        <v/>
      </c>
      <c r="C406" s="12" t="str">
        <f>IFERROR(__xludf.DUMMYFUNCTION("""COMPUTED_VALUE"""),"")</f>
        <v/>
      </c>
      <c r="D406" s="12" t="str">
        <f>IFERROR(__xludf.DUMMYFUNCTION("""COMPUTED_VALUE"""),"")</f>
        <v/>
      </c>
      <c r="E406" s="13" t="str">
        <f>IF(D406&lt;&gt;"",VLOOKUP(D406,Settings!$G$3:$H$6,2,false),"")</f>
        <v/>
      </c>
      <c r="F406" s="15" t="str">
        <f>IFERROR(__xludf.DUMMYFUNCTION("""COMPUTED_VALUE"""),"")</f>
        <v/>
      </c>
      <c r="G406" s="15" t="str">
        <f>IFERROR(__xludf.DUMMYFUNCTION("""COMPUTED_VALUE"""),"")</f>
        <v/>
      </c>
      <c r="H406" s="12" t="str">
        <f>IF(G406&lt;&gt;"",VLOOKUP(G406,Settings!$B$4:$C$35,2,false),"")</f>
        <v/>
      </c>
      <c r="I406" s="12" t="str">
        <f>IFERROR(__xludf.DUMMYFUNCTION("""COMPUTED_VALUE"""),"")</f>
        <v/>
      </c>
      <c r="J406" s="15"/>
      <c r="K406" s="12"/>
      <c r="L406" s="3"/>
    </row>
    <row r="407">
      <c r="A407" s="17" t="str">
        <f t="shared" si="2"/>
        <v/>
      </c>
      <c r="B407" s="12" t="str">
        <f>IFERROR(__xludf.DUMMYFUNCTION("""COMPUTED_VALUE"""),"")</f>
        <v/>
      </c>
      <c r="C407" s="12" t="str">
        <f>IFERROR(__xludf.DUMMYFUNCTION("""COMPUTED_VALUE"""),"")</f>
        <v/>
      </c>
      <c r="D407" s="12" t="str">
        <f>IFERROR(__xludf.DUMMYFUNCTION("""COMPUTED_VALUE"""),"")</f>
        <v/>
      </c>
      <c r="E407" s="13" t="str">
        <f>IF(D407&lt;&gt;"",VLOOKUP(D407,Settings!$G$3:$H$6,2,false),"")</f>
        <v/>
      </c>
      <c r="F407" s="15" t="str">
        <f>IFERROR(__xludf.DUMMYFUNCTION("""COMPUTED_VALUE"""),"")</f>
        <v/>
      </c>
      <c r="G407" s="15" t="str">
        <f>IFERROR(__xludf.DUMMYFUNCTION("""COMPUTED_VALUE"""),"")</f>
        <v/>
      </c>
      <c r="H407" s="12" t="str">
        <f>IF(G407&lt;&gt;"",VLOOKUP(G407,Settings!$B$4:$C$35,2,false),"")</f>
        <v/>
      </c>
      <c r="I407" s="12" t="str">
        <f>IFERROR(__xludf.DUMMYFUNCTION("""COMPUTED_VALUE"""),"")</f>
        <v/>
      </c>
      <c r="J407" s="15"/>
      <c r="K407" s="16"/>
      <c r="L407" s="3"/>
    </row>
    <row r="408">
      <c r="A408" s="17" t="str">
        <f t="shared" si="2"/>
        <v/>
      </c>
      <c r="B408" s="12" t="str">
        <f>IFERROR(__xludf.DUMMYFUNCTION("""COMPUTED_VALUE"""),"")</f>
        <v/>
      </c>
      <c r="C408" s="12" t="str">
        <f>IFERROR(__xludf.DUMMYFUNCTION("""COMPUTED_VALUE"""),"")</f>
        <v/>
      </c>
      <c r="D408" s="12" t="str">
        <f>IFERROR(__xludf.DUMMYFUNCTION("""COMPUTED_VALUE"""),"")</f>
        <v/>
      </c>
      <c r="E408" s="13" t="str">
        <f>IF(D408&lt;&gt;"",VLOOKUP(D408,Settings!$G$3:$H$6,2,false),"")</f>
        <v/>
      </c>
      <c r="F408" s="15" t="str">
        <f>IFERROR(__xludf.DUMMYFUNCTION("""COMPUTED_VALUE"""),"")</f>
        <v/>
      </c>
      <c r="G408" s="15" t="str">
        <f>IFERROR(__xludf.DUMMYFUNCTION("""COMPUTED_VALUE"""),"")</f>
        <v/>
      </c>
      <c r="H408" s="12" t="str">
        <f>IF(G408&lt;&gt;"",VLOOKUP(G408,Settings!$B$4:$C$35,2,false),"")</f>
        <v/>
      </c>
      <c r="I408" s="12" t="str">
        <f>IFERROR(__xludf.DUMMYFUNCTION("""COMPUTED_VALUE"""),"")</f>
        <v/>
      </c>
      <c r="J408" s="15"/>
      <c r="K408" s="16"/>
      <c r="L408" s="3"/>
    </row>
    <row r="409">
      <c r="A409" s="17" t="str">
        <f t="shared" si="2"/>
        <v/>
      </c>
      <c r="B409" s="12" t="str">
        <f>IFERROR(__xludf.DUMMYFUNCTION("""COMPUTED_VALUE"""),"")</f>
        <v/>
      </c>
      <c r="C409" s="12" t="str">
        <f>IFERROR(__xludf.DUMMYFUNCTION("""COMPUTED_VALUE"""),"")</f>
        <v/>
      </c>
      <c r="D409" s="12" t="str">
        <f>IFERROR(__xludf.DUMMYFUNCTION("""COMPUTED_VALUE"""),"")</f>
        <v/>
      </c>
      <c r="E409" s="13" t="str">
        <f>IF(D409&lt;&gt;"",VLOOKUP(D409,Settings!$G$3:$H$6,2,false),"")</f>
        <v/>
      </c>
      <c r="F409" s="15" t="str">
        <f>IFERROR(__xludf.DUMMYFUNCTION("""COMPUTED_VALUE"""),"")</f>
        <v/>
      </c>
      <c r="G409" s="15" t="str">
        <f>IFERROR(__xludf.DUMMYFUNCTION("""COMPUTED_VALUE"""),"")</f>
        <v/>
      </c>
      <c r="H409" s="12" t="str">
        <f>IF(G409&lt;&gt;"",VLOOKUP(G409,Settings!$B$4:$C$35,2,false),"")</f>
        <v/>
      </c>
      <c r="I409" s="12" t="str">
        <f>IFERROR(__xludf.DUMMYFUNCTION("""COMPUTED_VALUE"""),"")</f>
        <v/>
      </c>
      <c r="J409" s="15"/>
      <c r="K409" s="16"/>
      <c r="L409" s="3"/>
    </row>
    <row r="410">
      <c r="A410" s="17" t="str">
        <f t="shared" si="2"/>
        <v/>
      </c>
      <c r="B410" s="12" t="str">
        <f>IFERROR(__xludf.DUMMYFUNCTION("""COMPUTED_VALUE"""),"")</f>
        <v/>
      </c>
      <c r="C410" s="12" t="str">
        <f>IFERROR(__xludf.DUMMYFUNCTION("""COMPUTED_VALUE"""),"")</f>
        <v/>
      </c>
      <c r="D410" s="12" t="str">
        <f>IFERROR(__xludf.DUMMYFUNCTION("""COMPUTED_VALUE"""),"")</f>
        <v/>
      </c>
      <c r="E410" s="13" t="str">
        <f>IF(D410&lt;&gt;"",VLOOKUP(D410,Settings!$G$3:$H$6,2,false),"")</f>
        <v/>
      </c>
      <c r="F410" s="15" t="str">
        <f>IFERROR(__xludf.DUMMYFUNCTION("""COMPUTED_VALUE"""),"")</f>
        <v/>
      </c>
      <c r="G410" s="15" t="str">
        <f>IFERROR(__xludf.DUMMYFUNCTION("""COMPUTED_VALUE"""),"")</f>
        <v/>
      </c>
      <c r="H410" s="12" t="str">
        <f>IF(G410&lt;&gt;"",VLOOKUP(G410,Settings!$B$4:$C$35,2,false),"")</f>
        <v/>
      </c>
      <c r="I410" s="12" t="str">
        <f>IFERROR(__xludf.DUMMYFUNCTION("""COMPUTED_VALUE"""),"")</f>
        <v/>
      </c>
      <c r="J410" s="15"/>
      <c r="K410" s="16"/>
      <c r="L410" s="3"/>
    </row>
    <row r="411">
      <c r="A411" s="17" t="str">
        <f t="shared" si="2"/>
        <v/>
      </c>
      <c r="B411" s="12" t="str">
        <f>IFERROR(__xludf.DUMMYFUNCTION("""COMPUTED_VALUE"""),"")</f>
        <v/>
      </c>
      <c r="C411" s="12" t="str">
        <f>IFERROR(__xludf.DUMMYFUNCTION("""COMPUTED_VALUE"""),"")</f>
        <v/>
      </c>
      <c r="D411" s="12" t="str">
        <f>IFERROR(__xludf.DUMMYFUNCTION("""COMPUTED_VALUE"""),"")</f>
        <v/>
      </c>
      <c r="E411" s="13" t="str">
        <f>IF(D411&lt;&gt;"",VLOOKUP(D411,Settings!$G$3:$H$6,2,false),"")</f>
        <v/>
      </c>
      <c r="F411" s="15" t="str">
        <f>IFERROR(__xludf.DUMMYFUNCTION("""COMPUTED_VALUE"""),"")</f>
        <v/>
      </c>
      <c r="G411" s="15" t="str">
        <f>IFERROR(__xludf.DUMMYFUNCTION("""COMPUTED_VALUE"""),"")</f>
        <v/>
      </c>
      <c r="H411" s="12" t="str">
        <f>IF(G411&lt;&gt;"",VLOOKUP(G411,Settings!$B$4:$C$35,2,false),"")</f>
        <v/>
      </c>
      <c r="I411" s="12" t="str">
        <f>IFERROR(__xludf.DUMMYFUNCTION("""COMPUTED_VALUE"""),"")</f>
        <v/>
      </c>
      <c r="J411" s="15"/>
      <c r="K411" s="16"/>
      <c r="L411" s="3"/>
    </row>
    <row r="412">
      <c r="A412" s="17" t="str">
        <f t="shared" si="2"/>
        <v/>
      </c>
      <c r="B412" s="12"/>
      <c r="C412" s="12"/>
      <c r="D412" s="12"/>
      <c r="E412" s="13" t="str">
        <f>IF(D412&lt;&gt;"",VLOOKUP(D412,Settings!$G$3:$H$6,2,false),"")</f>
        <v/>
      </c>
      <c r="F412" s="15"/>
      <c r="G412" s="15"/>
      <c r="H412" s="12" t="str">
        <f>IF(G412&lt;&gt;"",VLOOKUP(G412,Settings!$B$4:$C$35,2,false),"")</f>
        <v/>
      </c>
      <c r="I412" s="12"/>
      <c r="J412" s="15"/>
      <c r="K412" s="16"/>
      <c r="L412" s="3"/>
    </row>
    <row r="413">
      <c r="A413" s="17" t="str">
        <f t="shared" si="2"/>
        <v/>
      </c>
      <c r="B413" s="12"/>
      <c r="C413" s="12"/>
      <c r="D413" s="12"/>
      <c r="E413" s="13" t="str">
        <f>IF(D413&lt;&gt;"",VLOOKUP(D413,Settings!$G$3:$H$6,2,false),"")</f>
        <v/>
      </c>
      <c r="F413" s="15"/>
      <c r="G413" s="15"/>
      <c r="H413" s="12" t="str">
        <f>IF(G413&lt;&gt;"",VLOOKUP(G413,Settings!$B$4:$C$35,2,false),"")</f>
        <v/>
      </c>
      <c r="I413" s="12"/>
      <c r="J413" s="15"/>
      <c r="K413" s="16"/>
      <c r="L413" s="3"/>
    </row>
    <row r="414">
      <c r="A414" s="17" t="str">
        <f t="shared" si="2"/>
        <v/>
      </c>
      <c r="B414" s="12"/>
      <c r="C414" s="12"/>
      <c r="D414" s="12"/>
      <c r="E414" s="13" t="str">
        <f>IF(D414&lt;&gt;"",VLOOKUP(D414,Settings!$G$3:$H$6,2,false),"")</f>
        <v/>
      </c>
      <c r="F414" s="15"/>
      <c r="G414" s="15"/>
      <c r="H414" s="12" t="str">
        <f>IF(G414&lt;&gt;"",VLOOKUP(G414,Settings!$B$4:$C$35,2,false),"")</f>
        <v/>
      </c>
      <c r="I414" s="12"/>
      <c r="J414" s="15"/>
      <c r="K414" s="16"/>
      <c r="L414" s="3"/>
    </row>
    <row r="415">
      <c r="A415" s="17" t="str">
        <f t="shared" si="2"/>
        <v/>
      </c>
      <c r="B415" s="12"/>
      <c r="C415" s="12"/>
      <c r="D415" s="12"/>
      <c r="E415" s="13" t="str">
        <f>IF(D415&lt;&gt;"",VLOOKUP(D415,Settings!$G$3:$H$6,2,false),"")</f>
        <v/>
      </c>
      <c r="F415" s="15"/>
      <c r="G415" s="15"/>
      <c r="H415" s="12" t="str">
        <f>IF(G415&lt;&gt;"",VLOOKUP(G415,Settings!$B$4:$C$35,2,false),"")</f>
        <v/>
      </c>
      <c r="I415" s="12"/>
      <c r="J415" s="15"/>
      <c r="K415" s="16"/>
      <c r="L415" s="3"/>
    </row>
    <row r="416">
      <c r="A416" s="17" t="str">
        <f t="shared" si="2"/>
        <v/>
      </c>
      <c r="B416" s="12"/>
      <c r="C416" s="12"/>
      <c r="D416" s="12"/>
      <c r="E416" s="13" t="str">
        <f>IF(D416&lt;&gt;"",VLOOKUP(D416,Settings!$G$3:$H$6,2,false),"")</f>
        <v/>
      </c>
      <c r="F416" s="15"/>
      <c r="G416" s="15"/>
      <c r="H416" s="12" t="str">
        <f>IF(G416&lt;&gt;"",VLOOKUP(G416,Settings!$B$4:$C$35,2,false),"")</f>
        <v/>
      </c>
      <c r="I416" s="12"/>
      <c r="J416" s="15"/>
      <c r="K416" s="12"/>
      <c r="L416" s="3"/>
    </row>
    <row r="417">
      <c r="A417" s="17" t="str">
        <f t="shared" si="2"/>
        <v/>
      </c>
      <c r="B417" s="12"/>
      <c r="C417" s="12"/>
      <c r="D417" s="12"/>
      <c r="E417" s="13" t="str">
        <f>IF(D417&lt;&gt;"",VLOOKUP(D417,Settings!$G$3:$H$6,2,false),"")</f>
        <v/>
      </c>
      <c r="F417" s="15"/>
      <c r="G417" s="15"/>
      <c r="H417" s="12" t="str">
        <f>IF(G417&lt;&gt;"",VLOOKUP(G417,Settings!$B$4:$C$35,2,false),"")</f>
        <v/>
      </c>
      <c r="I417" s="12"/>
      <c r="J417" s="15"/>
      <c r="K417" s="12"/>
      <c r="L417" s="3"/>
    </row>
    <row r="418">
      <c r="A418" s="17" t="str">
        <f t="shared" si="2"/>
        <v/>
      </c>
      <c r="B418" s="12"/>
      <c r="C418" s="12"/>
      <c r="D418" s="12"/>
      <c r="E418" s="13" t="str">
        <f>IF(D418&lt;&gt;"",VLOOKUP(D418,Settings!$G$3:$H$6,2,false),"")</f>
        <v/>
      </c>
      <c r="F418" s="15"/>
      <c r="G418" s="15"/>
      <c r="H418" s="12" t="str">
        <f>IF(G418&lt;&gt;"",VLOOKUP(G418,Settings!$B$4:$C$35,2,false),"")</f>
        <v/>
      </c>
      <c r="I418" s="12"/>
      <c r="J418" s="15"/>
      <c r="K418" s="12"/>
      <c r="L418" s="3"/>
    </row>
    <row r="419">
      <c r="A419" s="17" t="str">
        <f t="shared" si="2"/>
        <v/>
      </c>
      <c r="B419" s="12"/>
      <c r="C419" s="12"/>
      <c r="D419" s="12"/>
      <c r="E419" s="13" t="str">
        <f>IF(D419&lt;&gt;"",VLOOKUP(D419,Settings!$G$3:$H$6,2,false),"")</f>
        <v/>
      </c>
      <c r="F419" s="15"/>
      <c r="G419" s="15"/>
      <c r="H419" s="12" t="str">
        <f>IF(G419&lt;&gt;"",VLOOKUP(G419,Settings!$B$4:$C$35,2,false),"")</f>
        <v/>
      </c>
      <c r="I419" s="12"/>
      <c r="J419" s="15"/>
      <c r="K419" s="16"/>
      <c r="L419" s="3"/>
    </row>
    <row r="420">
      <c r="A420" s="17" t="str">
        <f t="shared" si="2"/>
        <v/>
      </c>
      <c r="B420" s="12"/>
      <c r="C420" s="12"/>
      <c r="D420" s="12"/>
      <c r="E420" s="13" t="str">
        <f>IF(D420&lt;&gt;"",VLOOKUP(D420,Settings!$G$3:$H$6,2,false),"")</f>
        <v/>
      </c>
      <c r="F420" s="15"/>
      <c r="G420" s="15"/>
      <c r="H420" s="12" t="str">
        <f>IF(G420&lt;&gt;"",VLOOKUP(G420,Settings!$B$4:$C$35,2,false),"")</f>
        <v/>
      </c>
      <c r="I420" s="12"/>
      <c r="J420" s="15"/>
      <c r="K420" s="16"/>
      <c r="L420" s="3"/>
    </row>
    <row r="421">
      <c r="A421" s="17" t="str">
        <f t="shared" si="2"/>
        <v/>
      </c>
      <c r="B421" s="12"/>
      <c r="C421" s="12"/>
      <c r="D421" s="12"/>
      <c r="E421" s="13" t="str">
        <f>IF(D421&lt;&gt;"",VLOOKUP(D421,Settings!$G$3:$H$6,2,false),"")</f>
        <v/>
      </c>
      <c r="F421" s="15"/>
      <c r="G421" s="15"/>
      <c r="H421" s="12" t="str">
        <f>IF(G421&lt;&gt;"",VLOOKUP(G421,Settings!$B$4:$C$35,2,false),"")</f>
        <v/>
      </c>
      <c r="I421" s="12"/>
      <c r="J421" s="15"/>
      <c r="K421" s="12"/>
      <c r="L421" s="3"/>
    </row>
    <row r="422">
      <c r="A422" s="17" t="str">
        <f t="shared" si="2"/>
        <v/>
      </c>
      <c r="B422" s="12"/>
      <c r="C422" s="12"/>
      <c r="D422" s="12"/>
      <c r="E422" s="13" t="str">
        <f>IF(D422&lt;&gt;"",VLOOKUP(D422,Settings!$G$3:$H$6,2,false),"")</f>
        <v/>
      </c>
      <c r="F422" s="15"/>
      <c r="G422" s="15"/>
      <c r="H422" s="12" t="str">
        <f>IF(G422&lt;&gt;"",VLOOKUP(G422,Settings!$B$4:$C$35,2,false),"")</f>
        <v/>
      </c>
      <c r="I422" s="12"/>
      <c r="J422" s="15"/>
      <c r="K422" s="16"/>
      <c r="L422" s="3"/>
    </row>
    <row r="423">
      <c r="A423" s="17" t="str">
        <f t="shared" si="2"/>
        <v/>
      </c>
      <c r="B423" s="12"/>
      <c r="C423" s="12"/>
      <c r="D423" s="12"/>
      <c r="E423" s="13" t="str">
        <f>IF(D423&lt;&gt;"",VLOOKUP(D423,Settings!$G$3:$H$6,2,false),"")</f>
        <v/>
      </c>
      <c r="F423" s="15"/>
      <c r="G423" s="15"/>
      <c r="H423" s="12" t="str">
        <f>IF(G423&lt;&gt;"",VLOOKUP(G423,Settings!$B$4:$C$35,2,false),"")</f>
        <v/>
      </c>
      <c r="I423" s="12"/>
      <c r="J423" s="15"/>
      <c r="K423" s="16"/>
      <c r="L423" s="3"/>
    </row>
    <row r="424">
      <c r="A424" s="17" t="str">
        <f t="shared" si="2"/>
        <v/>
      </c>
      <c r="B424" s="12"/>
      <c r="C424" s="12"/>
      <c r="D424" s="12"/>
      <c r="E424" s="13" t="str">
        <f>IF(D424&lt;&gt;"",VLOOKUP(D424,Settings!$G$3:$H$6,2,false),"")</f>
        <v/>
      </c>
      <c r="F424" s="15"/>
      <c r="G424" s="15"/>
      <c r="H424" s="12" t="str">
        <f>IF(G424&lt;&gt;"",VLOOKUP(G424,Settings!$B$4:$C$35,2,false),"")</f>
        <v/>
      </c>
      <c r="I424" s="12"/>
      <c r="J424" s="15"/>
      <c r="K424" s="16"/>
      <c r="L424" s="3"/>
    </row>
    <row r="425">
      <c r="A425" s="17" t="str">
        <f t="shared" si="2"/>
        <v/>
      </c>
      <c r="B425" s="12"/>
      <c r="C425" s="12"/>
      <c r="D425" s="12"/>
      <c r="E425" s="13" t="str">
        <f>IF(D425&lt;&gt;"",VLOOKUP(D425,Settings!$G$3:$H$6,2,false),"")</f>
        <v/>
      </c>
      <c r="F425" s="15"/>
      <c r="G425" s="15"/>
      <c r="H425" s="12" t="str">
        <f>IF(G425&lt;&gt;"",VLOOKUP(G425,Settings!$B$4:$C$35,2,false),"")</f>
        <v/>
      </c>
      <c r="I425" s="12"/>
      <c r="J425" s="15"/>
      <c r="K425" s="16"/>
      <c r="L425" s="3"/>
    </row>
    <row r="426">
      <c r="A426" s="17" t="str">
        <f t="shared" si="2"/>
        <v/>
      </c>
      <c r="B426" s="12"/>
      <c r="C426" s="12"/>
      <c r="D426" s="12"/>
      <c r="E426" s="13" t="str">
        <f>IF(D426&lt;&gt;"",VLOOKUP(D426,Settings!$G$3:$H$6,2,false),"")</f>
        <v/>
      </c>
      <c r="F426" s="15"/>
      <c r="G426" s="15"/>
      <c r="H426" s="12" t="str">
        <f>IF(G426&lt;&gt;"",VLOOKUP(G426,Settings!$B$4:$C$35,2,false),"")</f>
        <v/>
      </c>
      <c r="I426" s="12"/>
      <c r="J426" s="15"/>
      <c r="K426" s="16"/>
      <c r="L426" s="3"/>
    </row>
    <row r="427">
      <c r="A427" s="17" t="str">
        <f t="shared" si="2"/>
        <v/>
      </c>
      <c r="B427" s="12"/>
      <c r="C427" s="12"/>
      <c r="D427" s="12"/>
      <c r="E427" s="13" t="str">
        <f>IF(D427&lt;&gt;"",VLOOKUP(D427,Settings!$G$3:$H$6,2,false),"")</f>
        <v/>
      </c>
      <c r="F427" s="15"/>
      <c r="G427" s="15"/>
      <c r="H427" s="12" t="str">
        <f>IF(G427&lt;&gt;"",VLOOKUP(G427,Settings!$B$4:$C$35,2,false),"")</f>
        <v/>
      </c>
      <c r="I427" s="12"/>
      <c r="J427" s="15"/>
      <c r="K427" s="16"/>
      <c r="L427" s="3"/>
    </row>
    <row r="428">
      <c r="A428" s="17" t="str">
        <f t="shared" si="2"/>
        <v/>
      </c>
      <c r="B428" s="12"/>
      <c r="C428" s="12"/>
      <c r="D428" s="12"/>
      <c r="E428" s="13" t="str">
        <f>IF(D428&lt;&gt;"",VLOOKUP(D428,Settings!$G$3:$H$6,2,false),"")</f>
        <v/>
      </c>
      <c r="F428" s="15"/>
      <c r="G428" s="15"/>
      <c r="H428" s="12" t="str">
        <f>IF(G428&lt;&gt;"",VLOOKUP(G428,Settings!$B$4:$C$35,2,false),"")</f>
        <v/>
      </c>
      <c r="I428" s="12"/>
      <c r="J428" s="15"/>
      <c r="K428" s="16"/>
      <c r="L428" s="3"/>
    </row>
    <row r="429">
      <c r="A429" s="17" t="str">
        <f t="shared" si="2"/>
        <v/>
      </c>
      <c r="B429" s="12"/>
      <c r="C429" s="12"/>
      <c r="D429" s="12"/>
      <c r="E429" s="13" t="str">
        <f>IF(D429&lt;&gt;"",VLOOKUP(D429,Settings!$G$3:$H$6,2,false),"")</f>
        <v/>
      </c>
      <c r="F429" s="15"/>
      <c r="G429" s="15"/>
      <c r="H429" s="12" t="str">
        <f>IF(G429&lt;&gt;"",VLOOKUP(G429,Settings!$B$4:$C$35,2,false),"")</f>
        <v/>
      </c>
      <c r="I429" s="12"/>
      <c r="J429" s="15"/>
      <c r="K429" s="12"/>
      <c r="L429" s="3"/>
    </row>
    <row r="430">
      <c r="A430" s="17" t="str">
        <f t="shared" si="2"/>
        <v/>
      </c>
      <c r="B430" s="12"/>
      <c r="C430" s="12"/>
      <c r="D430" s="12"/>
      <c r="E430" s="13" t="str">
        <f>IF(D430&lt;&gt;"",VLOOKUP(D430,Settings!$G$3:$H$6,2,false),"")</f>
        <v/>
      </c>
      <c r="F430" s="15"/>
      <c r="G430" s="15"/>
      <c r="H430" s="12" t="str">
        <f>IF(G430&lt;&gt;"",VLOOKUP(G430,Settings!$B$4:$C$35,2,false),"")</f>
        <v/>
      </c>
      <c r="I430" s="12"/>
      <c r="J430" s="15"/>
      <c r="K430" s="12"/>
      <c r="L430" s="3"/>
    </row>
    <row r="431">
      <c r="A431" s="17" t="str">
        <f t="shared" si="2"/>
        <v/>
      </c>
      <c r="B431" s="12"/>
      <c r="C431" s="12"/>
      <c r="D431" s="12"/>
      <c r="E431" s="13" t="str">
        <f>IF(D431&lt;&gt;"",VLOOKUP(D431,Settings!$G$3:$H$6,2,false),"")</f>
        <v/>
      </c>
      <c r="F431" s="15"/>
      <c r="G431" s="15"/>
      <c r="H431" s="12" t="str">
        <f>IF(G431&lt;&gt;"",VLOOKUP(G431,Settings!$B$4:$C$35,2,false),"")</f>
        <v/>
      </c>
      <c r="I431" s="12"/>
      <c r="J431" s="15"/>
      <c r="K431" s="12"/>
      <c r="L431" s="3"/>
    </row>
    <row r="432">
      <c r="A432" s="17" t="str">
        <f t="shared" si="2"/>
        <v/>
      </c>
      <c r="B432" s="12"/>
      <c r="C432" s="12"/>
      <c r="D432" s="12"/>
      <c r="E432" s="13" t="str">
        <f>IF(D432&lt;&gt;"",VLOOKUP(D432,Settings!$G$3:$H$6,2,false),"")</f>
        <v/>
      </c>
      <c r="F432" s="15"/>
      <c r="G432" s="15"/>
      <c r="H432" s="12" t="str">
        <f>IF(G432&lt;&gt;"",VLOOKUP(G432,Settings!$B$4:$C$35,2,false),"")</f>
        <v/>
      </c>
      <c r="I432" s="12"/>
      <c r="J432" s="15"/>
      <c r="K432" s="12"/>
      <c r="L432" s="3"/>
    </row>
    <row r="433">
      <c r="A433" s="17" t="str">
        <f t="shared" si="2"/>
        <v/>
      </c>
      <c r="B433" s="12"/>
      <c r="C433" s="12"/>
      <c r="D433" s="12"/>
      <c r="E433" s="13" t="str">
        <f>IF(D433&lt;&gt;"",VLOOKUP(D433,Settings!$G$3:$H$6,2,false),"")</f>
        <v/>
      </c>
      <c r="F433" s="15"/>
      <c r="G433" s="15"/>
      <c r="H433" s="12" t="str">
        <f>IF(G433&lt;&gt;"",VLOOKUP(G433,Settings!$B$4:$C$35,2,false),"")</f>
        <v/>
      </c>
      <c r="I433" s="12"/>
      <c r="J433" s="15"/>
      <c r="K433" s="16"/>
      <c r="L433" s="3"/>
    </row>
    <row r="434">
      <c r="A434" s="17" t="str">
        <f t="shared" si="2"/>
        <v/>
      </c>
      <c r="B434" s="12"/>
      <c r="C434" s="12"/>
      <c r="D434" s="12"/>
      <c r="E434" s="13" t="str">
        <f>IF(D434&lt;&gt;"",VLOOKUP(D434,Settings!$G$3:$H$6,2,false),"")</f>
        <v/>
      </c>
      <c r="F434" s="15"/>
      <c r="G434" s="15"/>
      <c r="H434" s="12" t="str">
        <f>IF(G434&lt;&gt;"",VLOOKUP(G434,Settings!$B$4:$C$35,2,false),"")</f>
        <v/>
      </c>
      <c r="I434" s="12"/>
      <c r="J434" s="15"/>
      <c r="K434" s="103"/>
      <c r="L434" s="3"/>
    </row>
    <row r="435">
      <c r="A435" s="17" t="str">
        <f t="shared" si="2"/>
        <v/>
      </c>
      <c r="B435" s="12"/>
      <c r="C435" s="12"/>
      <c r="D435" s="12"/>
      <c r="E435" s="13" t="str">
        <f>IF(D435&lt;&gt;"",VLOOKUP(D435,Settings!$G$3:$H$6,2,false),"")</f>
        <v/>
      </c>
      <c r="F435" s="15"/>
      <c r="G435" s="15"/>
      <c r="H435" s="12" t="str">
        <f>IF(G435&lt;&gt;"",VLOOKUP(G435,Settings!$B$4:$C$35,2,false),"")</f>
        <v/>
      </c>
      <c r="I435" s="12"/>
      <c r="J435" s="15"/>
      <c r="K435" s="103"/>
      <c r="L435" s="3"/>
    </row>
    <row r="436">
      <c r="A436" s="17" t="str">
        <f t="shared" si="2"/>
        <v/>
      </c>
      <c r="B436" s="12"/>
      <c r="C436" s="12"/>
      <c r="D436" s="15"/>
      <c r="E436" s="13" t="str">
        <f>IF(D436&lt;&gt;"",VLOOKUP(D436,Settings!$G$3:$H$6,2,false),"")</f>
        <v/>
      </c>
      <c r="F436" s="15"/>
      <c r="G436" s="15"/>
      <c r="H436" s="12" t="str">
        <f>IF(G436&lt;&gt;"",VLOOKUP(G436,Settings!$B$4:$C$35,2,false),"")</f>
        <v/>
      </c>
      <c r="I436" s="12"/>
      <c r="J436" s="15"/>
      <c r="K436" s="12"/>
      <c r="L436" s="3"/>
    </row>
    <row r="437">
      <c r="A437" s="17" t="str">
        <f t="shared" si="2"/>
        <v/>
      </c>
      <c r="B437" s="12"/>
      <c r="C437" s="12"/>
      <c r="D437" s="12"/>
      <c r="E437" s="13" t="str">
        <f>IF(D437&lt;&gt;"",VLOOKUP(D437,Settings!$G$3:$H$6,2,false),"")</f>
        <v/>
      </c>
      <c r="F437" s="15"/>
      <c r="G437" s="15"/>
      <c r="H437" s="12" t="str">
        <f>IF(G437&lt;&gt;"",VLOOKUP(G437,Settings!$B$4:$C$35,2,false),"")</f>
        <v/>
      </c>
      <c r="I437" s="12"/>
      <c r="J437" s="15"/>
      <c r="K437" s="12"/>
      <c r="L437" s="3"/>
    </row>
    <row r="438">
      <c r="A438" s="17" t="str">
        <f t="shared" si="2"/>
        <v/>
      </c>
      <c r="B438" s="12"/>
      <c r="C438" s="12"/>
      <c r="D438" s="12"/>
      <c r="E438" s="13" t="str">
        <f>IF(D438&lt;&gt;"",VLOOKUP(D438,Settings!$G$3:$H$6,2,false),"")</f>
        <v/>
      </c>
      <c r="F438" s="15"/>
      <c r="G438" s="15"/>
      <c r="H438" s="12" t="str">
        <f>IF(G438&lt;&gt;"",VLOOKUP(G438,Settings!$B$4:$C$35,2,false),"")</f>
        <v/>
      </c>
      <c r="I438" s="12"/>
      <c r="J438" s="15"/>
      <c r="K438" s="12"/>
      <c r="L438" s="3"/>
    </row>
    <row r="439">
      <c r="A439" s="17" t="str">
        <f t="shared" si="2"/>
        <v/>
      </c>
      <c r="B439" s="12"/>
      <c r="C439" s="12"/>
      <c r="D439" s="12"/>
      <c r="E439" s="13" t="str">
        <f>IF(D439&lt;&gt;"",VLOOKUP(D439,Settings!$G$3:$H$6,2,false),"")</f>
        <v/>
      </c>
      <c r="F439" s="15"/>
      <c r="G439" s="15"/>
      <c r="H439" s="12" t="str">
        <f>IF(G439&lt;&gt;"",VLOOKUP(G439,Settings!$B$4:$C$35,2,false),"")</f>
        <v/>
      </c>
      <c r="I439" s="12"/>
      <c r="J439" s="15"/>
      <c r="K439" s="16"/>
      <c r="L439" s="3"/>
    </row>
    <row r="440">
      <c r="A440" s="17" t="str">
        <f t="shared" si="2"/>
        <v/>
      </c>
      <c r="B440" s="12"/>
      <c r="C440" s="12"/>
      <c r="D440" s="12"/>
      <c r="E440" s="13" t="str">
        <f>IF(D440&lt;&gt;"",VLOOKUP(D440,Settings!$G$3:$H$6,2,false),"")</f>
        <v/>
      </c>
      <c r="F440" s="15"/>
      <c r="G440" s="15"/>
      <c r="H440" s="12" t="str">
        <f>IF(G440&lt;&gt;"",VLOOKUP(G440,Settings!$B$4:$C$35,2,false),"")</f>
        <v/>
      </c>
      <c r="I440" s="12"/>
      <c r="J440" s="15"/>
      <c r="K440" s="16"/>
      <c r="L440" s="3"/>
    </row>
    <row r="441">
      <c r="A441" s="17" t="str">
        <f t="shared" si="2"/>
        <v/>
      </c>
      <c r="B441" s="12"/>
      <c r="C441" s="12"/>
      <c r="D441" s="12"/>
      <c r="E441" s="13" t="str">
        <f>IF(D441&lt;&gt;"",VLOOKUP(D441,Settings!$G$3:$H$6,2,false),"")</f>
        <v/>
      </c>
      <c r="F441" s="15"/>
      <c r="G441" s="15"/>
      <c r="H441" s="12" t="str">
        <f>IF(G441&lt;&gt;"",VLOOKUP(G441,Settings!$B$4:$C$35,2,false),"")</f>
        <v/>
      </c>
      <c r="I441" s="12"/>
      <c r="J441" s="15"/>
      <c r="K441" s="103"/>
      <c r="L441" s="6"/>
    </row>
    <row r="442">
      <c r="A442" s="17" t="str">
        <f t="shared" si="2"/>
        <v/>
      </c>
      <c r="B442" s="12"/>
      <c r="C442" s="12"/>
      <c r="D442" s="12"/>
      <c r="E442" s="13" t="str">
        <f>IF(D442&lt;&gt;"",VLOOKUP(D442,Settings!$G$3:$H$6,2,false),"")</f>
        <v/>
      </c>
      <c r="F442" s="15"/>
      <c r="G442" s="15"/>
      <c r="H442" s="12" t="str">
        <f>IF(G442&lt;&gt;"",VLOOKUP(G442,Settings!$B$4:$C$35,2,false),"")</f>
        <v/>
      </c>
      <c r="I442" s="12"/>
      <c r="J442" s="15"/>
      <c r="K442" s="103"/>
      <c r="L442" s="3"/>
    </row>
    <row r="443">
      <c r="A443" s="17" t="str">
        <f t="shared" si="2"/>
        <v/>
      </c>
      <c r="B443" s="12"/>
      <c r="C443" s="12"/>
      <c r="D443" s="12"/>
      <c r="E443" s="13" t="str">
        <f>IF(D443&lt;&gt;"",VLOOKUP(D443,Settings!$G$3:$H$6,2,false),"")</f>
        <v/>
      </c>
      <c r="F443" s="15"/>
      <c r="G443" s="15"/>
      <c r="H443" s="12" t="str">
        <f>IF(G443&lt;&gt;"",VLOOKUP(G443,Settings!$B$4:$C$35,2,false),"")</f>
        <v/>
      </c>
      <c r="I443" s="12"/>
      <c r="J443" s="15"/>
      <c r="K443" s="103"/>
      <c r="L443" s="3"/>
    </row>
    <row r="444">
      <c r="A444" s="17" t="str">
        <f t="shared" si="2"/>
        <v/>
      </c>
      <c r="B444" s="12"/>
      <c r="C444" s="12"/>
      <c r="D444" s="12"/>
      <c r="E444" s="13" t="str">
        <f>IF(D444&lt;&gt;"",VLOOKUP(D444,Settings!$G$3:$H$6,2,false),"")</f>
        <v/>
      </c>
      <c r="F444" s="15"/>
      <c r="G444" s="15"/>
      <c r="H444" s="12" t="str">
        <f>IF(G444&lt;&gt;"",VLOOKUP(G444,Settings!$B$4:$C$35,2,false),"")</f>
        <v/>
      </c>
      <c r="I444" s="12"/>
      <c r="J444" s="15"/>
      <c r="K444" s="12"/>
      <c r="L444" s="3"/>
    </row>
    <row r="445">
      <c r="A445" s="17" t="str">
        <f t="shared" si="2"/>
        <v/>
      </c>
      <c r="B445" s="12"/>
      <c r="C445" s="12"/>
      <c r="D445" s="12"/>
      <c r="E445" s="13" t="str">
        <f>IF(D445&lt;&gt;"",VLOOKUP(D445,Settings!$G$3:$H$6,2,false),"")</f>
        <v/>
      </c>
      <c r="F445" s="15"/>
      <c r="G445" s="15"/>
      <c r="H445" s="12" t="str">
        <f>IF(G445&lt;&gt;"",VLOOKUP(G445,Settings!$B$4:$C$35,2,false),"")</f>
        <v/>
      </c>
      <c r="I445" s="12"/>
      <c r="J445" s="12"/>
      <c r="K445" s="12"/>
      <c r="L445" s="3"/>
    </row>
    <row r="446">
      <c r="A446" s="17" t="str">
        <f t="shared" si="2"/>
        <v/>
      </c>
      <c r="B446" s="12"/>
      <c r="C446" s="12"/>
      <c r="D446" s="12"/>
      <c r="E446" s="13" t="str">
        <f>IF(D446&lt;&gt;"",VLOOKUP(D446,Settings!$G$3:$H$6,2,false),"")</f>
        <v/>
      </c>
      <c r="F446" s="15"/>
      <c r="G446" s="15"/>
      <c r="H446" s="12" t="str">
        <f>IF(G446&lt;&gt;"",VLOOKUP(G446,Settings!$B$4:$C$35,2,false),"")</f>
        <v/>
      </c>
      <c r="I446" s="12"/>
      <c r="J446" s="12"/>
      <c r="K446" s="12"/>
      <c r="L446" s="3"/>
    </row>
    <row r="447">
      <c r="A447" s="17" t="str">
        <f t="shared" si="2"/>
        <v/>
      </c>
      <c r="B447" s="12"/>
      <c r="C447" s="12"/>
      <c r="D447" s="12"/>
      <c r="E447" s="13" t="str">
        <f>IF(D447&lt;&gt;"",VLOOKUP(D447,Settings!$G$3:$H$6,2,false),"")</f>
        <v/>
      </c>
      <c r="F447" s="15"/>
      <c r="G447" s="15"/>
      <c r="H447" s="12" t="str">
        <f>IF(G447&lt;&gt;"",VLOOKUP(G447,Settings!$B$4:$C$35,2,false),"")</f>
        <v/>
      </c>
      <c r="I447" s="12"/>
      <c r="J447" s="12"/>
      <c r="K447" s="12"/>
      <c r="L447" s="3"/>
    </row>
    <row r="448">
      <c r="A448" s="17" t="str">
        <f t="shared" si="2"/>
        <v/>
      </c>
      <c r="B448" s="12"/>
      <c r="C448" s="12"/>
      <c r="D448" s="12"/>
      <c r="E448" s="13" t="str">
        <f>IF(D448&lt;&gt;"",VLOOKUP(D448,Settings!$G$3:$H$6,2,false),"")</f>
        <v/>
      </c>
      <c r="F448" s="15"/>
      <c r="G448" s="15"/>
      <c r="H448" s="12" t="str">
        <f>IF(G448&lt;&gt;"",VLOOKUP(G448,Settings!$B$4:$C$35,2,false),"")</f>
        <v/>
      </c>
      <c r="I448" s="12"/>
      <c r="J448" s="12"/>
      <c r="K448" s="12"/>
      <c r="L448" s="3"/>
    </row>
    <row r="449">
      <c r="A449" s="17" t="str">
        <f t="shared" si="2"/>
        <v/>
      </c>
      <c r="B449" s="12"/>
      <c r="C449" s="12"/>
      <c r="D449" s="12"/>
      <c r="E449" s="13"/>
      <c r="F449" s="15"/>
      <c r="G449" s="15"/>
      <c r="H449" s="12" t="str">
        <f>IF(G449&lt;&gt;"",VLOOKUP(G449,Settings!$B$4:$C$35,2,false),"")</f>
        <v/>
      </c>
      <c r="I449" s="12"/>
      <c r="J449" s="12"/>
      <c r="K449" s="12"/>
      <c r="L449" s="3"/>
    </row>
    <row r="450">
      <c r="A450" s="17" t="str">
        <f t="shared" si="2"/>
        <v/>
      </c>
      <c r="B450" s="12"/>
      <c r="C450" s="12"/>
      <c r="D450" s="12"/>
      <c r="E450" s="13" t="str">
        <f>IF(D450&lt;&gt;"",VLOOKUP(D450,Settings!$G$3:$H$6,2,false),"")</f>
        <v/>
      </c>
      <c r="F450" s="15"/>
      <c r="G450" s="15"/>
      <c r="H450" s="12" t="str">
        <f>IF(G450&lt;&gt;"",VLOOKUP(G450,Settings!$B$4:$C$35,2,false),"")</f>
        <v/>
      </c>
      <c r="I450" s="12"/>
      <c r="J450" s="12"/>
      <c r="K450" s="12"/>
      <c r="L450" s="3"/>
    </row>
    <row r="451">
      <c r="A451" s="17" t="str">
        <f t="shared" si="2"/>
        <v/>
      </c>
      <c r="B451" s="12"/>
      <c r="C451" s="12"/>
      <c r="D451" s="12"/>
      <c r="E451" s="13" t="str">
        <f>IF(D451&lt;&gt;"",VLOOKUP(D451,Settings!$G$3:$H$6,2,false),"")</f>
        <v/>
      </c>
      <c r="F451" s="15"/>
      <c r="G451" s="15"/>
      <c r="H451" s="12" t="str">
        <f>IF(G451&lt;&gt;"",VLOOKUP(G451,Settings!$B$4:$C$35,2,false),"")</f>
        <v/>
      </c>
      <c r="I451" s="12"/>
      <c r="J451" s="12"/>
      <c r="K451" s="12"/>
      <c r="L451" s="3"/>
    </row>
    <row r="452">
      <c r="A452" s="17" t="str">
        <f t="shared" si="2"/>
        <v/>
      </c>
      <c r="B452" s="12"/>
      <c r="C452" s="12"/>
      <c r="D452" s="12"/>
      <c r="E452" s="13" t="str">
        <f>IF(D452&lt;&gt;"",VLOOKUP(D452,Settings!$G$3:$H$6,2,false),"")</f>
        <v/>
      </c>
      <c r="F452" s="15"/>
      <c r="G452" s="15"/>
      <c r="H452" s="12" t="str">
        <f>IF(G452&lt;&gt;"",VLOOKUP(G452,Settings!$B$4:$C$35,2,false),"")</f>
        <v/>
      </c>
      <c r="I452" s="12"/>
      <c r="J452" s="12"/>
      <c r="K452" s="12"/>
      <c r="L452" s="3"/>
    </row>
    <row r="453">
      <c r="A453" s="17" t="str">
        <f t="shared" si="2"/>
        <v/>
      </c>
      <c r="B453" s="12"/>
      <c r="C453" s="12"/>
      <c r="D453" s="12"/>
      <c r="E453" s="13" t="str">
        <f>IF(D453&lt;&gt;"",VLOOKUP(D453,Settings!$G$3:$H$6,2,false),"")</f>
        <v/>
      </c>
      <c r="F453" s="15"/>
      <c r="G453" s="15"/>
      <c r="H453" s="12" t="str">
        <f>IF(G453&lt;&gt;"",VLOOKUP(G453,Settings!$B$4:$C$35,2,false),"")</f>
        <v/>
      </c>
      <c r="I453" s="12"/>
      <c r="J453" s="12"/>
      <c r="K453" s="12"/>
      <c r="L453" s="3"/>
    </row>
    <row r="454">
      <c r="A454" s="17" t="str">
        <f t="shared" si="2"/>
        <v/>
      </c>
      <c r="B454" s="12"/>
      <c r="C454" s="12"/>
      <c r="D454" s="12"/>
      <c r="E454" s="13" t="str">
        <f>IF(D454&lt;&gt;"",VLOOKUP(D454,Settings!$G$3:$H$6,2,false),"")</f>
        <v/>
      </c>
      <c r="F454" s="15"/>
      <c r="G454" s="15"/>
      <c r="H454" s="12" t="str">
        <f>IF(G454&lt;&gt;"",VLOOKUP(G454,Settings!$B$4:$C$35,2,false),"")</f>
        <v/>
      </c>
      <c r="I454" s="12"/>
      <c r="J454" s="12"/>
      <c r="K454" s="12"/>
      <c r="L454" s="3"/>
    </row>
    <row r="455">
      <c r="A455" s="17" t="str">
        <f t="shared" si="2"/>
        <v/>
      </c>
      <c r="B455" s="12"/>
      <c r="C455" s="12"/>
      <c r="D455" s="12"/>
      <c r="E455" s="13" t="str">
        <f>IF(D455&lt;&gt;"",VLOOKUP(D455,Settings!$G$3:$H$6,2,false),"")</f>
        <v/>
      </c>
      <c r="F455" s="15"/>
      <c r="G455" s="15"/>
      <c r="H455" s="12" t="str">
        <f>IF(G455&lt;&gt;"",VLOOKUP(G455,Settings!$B$4:$C$35,2,false),"")</f>
        <v/>
      </c>
      <c r="I455" s="12"/>
      <c r="J455" s="12"/>
      <c r="K455" s="12"/>
      <c r="L455" s="3"/>
    </row>
    <row r="456">
      <c r="A456" s="17" t="str">
        <f t="shared" si="2"/>
        <v/>
      </c>
      <c r="B456" s="12"/>
      <c r="C456" s="12"/>
      <c r="D456" s="12"/>
      <c r="E456" s="13" t="str">
        <f>IF(D456&lt;&gt;"",VLOOKUP(D456,Settings!$G$3:$H$6,2,false),"")</f>
        <v/>
      </c>
      <c r="F456" s="15"/>
      <c r="G456" s="15"/>
      <c r="H456" s="12" t="str">
        <f>IF(G456&lt;&gt;"",VLOOKUP(G456,Settings!$B$4:$C$35,2,false),"")</f>
        <v/>
      </c>
      <c r="I456" s="12"/>
      <c r="J456" s="12"/>
      <c r="K456" s="12"/>
      <c r="L456" s="3"/>
    </row>
    <row r="457">
      <c r="A457" s="17" t="str">
        <f t="shared" si="2"/>
        <v/>
      </c>
      <c r="B457" s="12"/>
      <c r="C457" s="12"/>
      <c r="D457" s="12"/>
      <c r="E457" s="13" t="str">
        <f>IF(D457&lt;&gt;"",VLOOKUP(D457,Settings!$G$3:$H$6,2,false),"")</f>
        <v/>
      </c>
      <c r="F457" s="15"/>
      <c r="G457" s="15"/>
      <c r="H457" s="12" t="str">
        <f>IF(G457&lt;&gt;"",VLOOKUP(G457,Settings!$B$4:$C$35,2,false),"")</f>
        <v/>
      </c>
      <c r="I457" s="12"/>
      <c r="J457" s="12"/>
      <c r="K457" s="12"/>
      <c r="L457" s="3"/>
    </row>
    <row r="458">
      <c r="A458" s="17" t="str">
        <f t="shared" si="2"/>
        <v/>
      </c>
      <c r="B458" s="12"/>
      <c r="C458" s="12"/>
      <c r="D458" s="12"/>
      <c r="E458" s="13" t="str">
        <f>IF(D458&lt;&gt;"",VLOOKUP(D458,Settings!$G$3:$H$6,2,false),"")</f>
        <v/>
      </c>
      <c r="F458" s="15"/>
      <c r="G458" s="15"/>
      <c r="H458" s="12" t="str">
        <f>IF(G458&lt;&gt;"",VLOOKUP(G458,Settings!$B$4:$C$35,2,false),"")</f>
        <v/>
      </c>
      <c r="I458" s="12"/>
      <c r="J458" s="12"/>
      <c r="K458" s="12"/>
      <c r="L458" s="3"/>
    </row>
    <row r="459">
      <c r="A459" s="17" t="str">
        <f t="shared" si="2"/>
        <v/>
      </c>
      <c r="B459" s="12"/>
      <c r="C459" s="12"/>
      <c r="D459" s="12"/>
      <c r="E459" s="13" t="str">
        <f>IF(D459&lt;&gt;"",VLOOKUP(D459,Settings!$G$3:$H$6,2,false),"")</f>
        <v/>
      </c>
      <c r="F459" s="15"/>
      <c r="G459" s="15"/>
      <c r="H459" s="12" t="str">
        <f>IF(G459&lt;&gt;"",VLOOKUP(G459,Settings!$B$4:$C$35,2,false),"")</f>
        <v/>
      </c>
      <c r="I459" s="12"/>
      <c r="J459" s="12"/>
      <c r="K459" s="12"/>
      <c r="L459" s="3"/>
    </row>
    <row r="460">
      <c r="A460" s="17" t="str">
        <f t="shared" si="2"/>
        <v/>
      </c>
      <c r="B460" s="12"/>
      <c r="C460" s="12"/>
      <c r="D460" s="12"/>
      <c r="E460" s="13" t="str">
        <f>IF(D460&lt;&gt;"",VLOOKUP(D460,Settings!$G$3:$H$6,2,false),"")</f>
        <v/>
      </c>
      <c r="F460" s="15"/>
      <c r="G460" s="15"/>
      <c r="H460" s="12" t="str">
        <f>IF(G460&lt;&gt;"",VLOOKUP(G460,Settings!$B$4:$C$35,2,false),"")</f>
        <v/>
      </c>
      <c r="I460" s="12"/>
      <c r="J460" s="12"/>
      <c r="K460" s="12"/>
      <c r="L460" s="3"/>
    </row>
    <row r="461">
      <c r="A461" s="17" t="str">
        <f t="shared" si="2"/>
        <v/>
      </c>
      <c r="B461" s="12"/>
      <c r="C461" s="12"/>
      <c r="D461" s="12"/>
      <c r="E461" s="13" t="str">
        <f>IF(D461&lt;&gt;"",VLOOKUP(D461,Settings!$G$3:$H$6,2,false),"")</f>
        <v/>
      </c>
      <c r="F461" s="15"/>
      <c r="G461" s="15"/>
      <c r="H461" s="12" t="str">
        <f>IF(G461&lt;&gt;"",VLOOKUP(G461,Settings!$B$4:$C$35,2,false),"")</f>
        <v/>
      </c>
      <c r="I461" s="12"/>
      <c r="J461" s="12"/>
      <c r="K461" s="12"/>
      <c r="L461" s="3"/>
    </row>
    <row r="462">
      <c r="A462" s="17" t="str">
        <f t="shared" si="2"/>
        <v/>
      </c>
      <c r="B462" s="12"/>
      <c r="C462" s="12"/>
      <c r="D462" s="12"/>
      <c r="E462" s="13" t="str">
        <f>IF(D462&lt;&gt;"",VLOOKUP(D462,Settings!$G$3:$H$6,2,false),"")</f>
        <v/>
      </c>
      <c r="F462" s="15"/>
      <c r="G462" s="15"/>
      <c r="H462" s="12" t="str">
        <f>IF(G462&lt;&gt;"",VLOOKUP(G462,Settings!$B$4:$C$35,2,false),"")</f>
        <v/>
      </c>
      <c r="I462" s="12"/>
      <c r="J462" s="12"/>
      <c r="K462" s="12"/>
      <c r="L462" s="3"/>
    </row>
    <row r="463">
      <c r="A463" s="17" t="str">
        <f t="shared" si="2"/>
        <v/>
      </c>
      <c r="B463" s="12"/>
      <c r="C463" s="12"/>
      <c r="D463" s="12"/>
      <c r="E463" s="13" t="str">
        <f>IF(D463&lt;&gt;"",VLOOKUP(D463,Settings!$G$3:$H$6,2,false),"")</f>
        <v/>
      </c>
      <c r="F463" s="15"/>
      <c r="G463" s="15"/>
      <c r="H463" s="12" t="str">
        <f>IF(G463&lt;&gt;"",VLOOKUP(G463,Settings!$B$4:$C$35,2,false),"")</f>
        <v/>
      </c>
      <c r="I463" s="12"/>
      <c r="J463" s="12"/>
      <c r="K463" s="12"/>
      <c r="L463" s="3"/>
    </row>
    <row r="464">
      <c r="A464" s="17" t="str">
        <f t="shared" si="2"/>
        <v/>
      </c>
      <c r="B464" s="12"/>
      <c r="C464" s="12"/>
      <c r="D464" s="12"/>
      <c r="E464" s="13" t="str">
        <f>IF(D464&lt;&gt;"",VLOOKUP(D464,Settings!$G$3:$H$6,2,false),"")</f>
        <v/>
      </c>
      <c r="F464" s="15"/>
      <c r="G464" s="15"/>
      <c r="H464" s="12" t="str">
        <f>IF(G464&lt;&gt;"",VLOOKUP(G464,Settings!$B$4:$C$35,2,false),"")</f>
        <v/>
      </c>
      <c r="I464" s="12"/>
      <c r="J464" s="12"/>
      <c r="K464" s="12"/>
      <c r="L464" s="3"/>
    </row>
    <row r="465">
      <c r="A465" s="17" t="str">
        <f t="shared" si="2"/>
        <v/>
      </c>
      <c r="B465" s="12"/>
      <c r="C465" s="12"/>
      <c r="D465" s="12"/>
      <c r="E465" s="13" t="str">
        <f>IF(D465&lt;&gt;"",VLOOKUP(D465,Settings!$G$3:$H$6,2,false),"")</f>
        <v/>
      </c>
      <c r="F465" s="15"/>
      <c r="G465" s="15"/>
      <c r="H465" s="12" t="str">
        <f>IF(G465&lt;&gt;"",VLOOKUP(G465,Settings!$B$4:$C$35,2,false),"")</f>
        <v/>
      </c>
      <c r="I465" s="12"/>
      <c r="J465" s="12"/>
      <c r="K465" s="12"/>
      <c r="L465" s="3"/>
    </row>
    <row r="466">
      <c r="A466" s="17" t="str">
        <f t="shared" si="2"/>
        <v/>
      </c>
      <c r="B466" s="12"/>
      <c r="C466" s="12"/>
      <c r="D466" s="12"/>
      <c r="E466" s="13" t="str">
        <f>IF(D466&lt;&gt;"",VLOOKUP(D466,Settings!$G$3:$H$6,2,false),"")</f>
        <v/>
      </c>
      <c r="F466" s="15"/>
      <c r="G466" s="15"/>
      <c r="H466" s="12" t="str">
        <f>IF(G466&lt;&gt;"",VLOOKUP(G466,Settings!$B$4:$C$35,2,false),"")</f>
        <v/>
      </c>
      <c r="I466" s="12"/>
      <c r="J466" s="12"/>
      <c r="K466" s="12"/>
      <c r="L466" s="3"/>
    </row>
    <row r="467">
      <c r="A467" s="17" t="str">
        <f t="shared" si="2"/>
        <v/>
      </c>
      <c r="B467" s="12"/>
      <c r="C467" s="12"/>
      <c r="D467" s="12"/>
      <c r="E467" s="13" t="str">
        <f>IF(D467&lt;&gt;"",VLOOKUP(D467,Settings!$G$3:$H$6,2,false),"")</f>
        <v/>
      </c>
      <c r="F467" s="15"/>
      <c r="G467" s="15"/>
      <c r="H467" s="12" t="str">
        <f>IF(G467&lt;&gt;"",VLOOKUP(G467,Settings!$B$4:$C$35,2,false),"")</f>
        <v/>
      </c>
      <c r="I467" s="12"/>
      <c r="J467" s="12"/>
      <c r="K467" s="12"/>
      <c r="L467" s="3"/>
    </row>
    <row r="468">
      <c r="A468" s="17" t="str">
        <f t="shared" si="2"/>
        <v/>
      </c>
      <c r="B468" s="12"/>
      <c r="C468" s="12"/>
      <c r="D468" s="12"/>
      <c r="E468" s="13" t="str">
        <f>IF(D468&lt;&gt;"",VLOOKUP(D468,Settings!$G$3:$H$6,2,false),"")</f>
        <v/>
      </c>
      <c r="F468" s="15"/>
      <c r="G468" s="15"/>
      <c r="H468" s="12" t="str">
        <f>IF(G468&lt;&gt;"",VLOOKUP(G468,Settings!$B$4:$C$35,2,false),"")</f>
        <v/>
      </c>
      <c r="I468" s="12"/>
      <c r="J468" s="12"/>
      <c r="K468" s="12"/>
      <c r="L468" s="3"/>
    </row>
    <row r="469">
      <c r="A469" s="17" t="str">
        <f t="shared" si="2"/>
        <v/>
      </c>
      <c r="B469" s="12"/>
      <c r="C469" s="12"/>
      <c r="D469" s="12"/>
      <c r="E469" s="13" t="str">
        <f>IF(D469&lt;&gt;"",VLOOKUP(D469,Settings!$G$3:$H$6,2,false),"")</f>
        <v/>
      </c>
      <c r="F469" s="15"/>
      <c r="G469" s="15"/>
      <c r="H469" s="12" t="str">
        <f>IF(G469&lt;&gt;"",VLOOKUP(G469,Settings!$B$4:$C$35,2,false),"")</f>
        <v/>
      </c>
      <c r="I469" s="12"/>
      <c r="J469" s="12"/>
      <c r="K469" s="12"/>
      <c r="L469" s="3"/>
    </row>
    <row r="470">
      <c r="A470" s="17" t="str">
        <f t="shared" si="2"/>
        <v/>
      </c>
      <c r="B470" s="12"/>
      <c r="C470" s="12"/>
      <c r="D470" s="12"/>
      <c r="E470" s="13" t="str">
        <f>IF(D470&lt;&gt;"",VLOOKUP(D470,Settings!$G$3:$H$6,2,false),"")</f>
        <v/>
      </c>
      <c r="F470" s="15"/>
      <c r="G470" s="15"/>
      <c r="H470" s="12" t="str">
        <f>IF(G470&lt;&gt;"",VLOOKUP(G470,Settings!$B$4:$C$35,2,false),"")</f>
        <v/>
      </c>
      <c r="I470" s="12"/>
      <c r="J470" s="12"/>
      <c r="K470" s="12"/>
      <c r="L470" s="3"/>
    </row>
    <row r="471">
      <c r="A471" s="17" t="str">
        <f t="shared" si="2"/>
        <v/>
      </c>
      <c r="B471" s="12"/>
      <c r="C471" s="12"/>
      <c r="D471" s="12"/>
      <c r="E471" s="13" t="str">
        <f>IF(D471&lt;&gt;"",VLOOKUP(D471,Settings!$G$3:$H$6,2,false),"")</f>
        <v/>
      </c>
      <c r="F471" s="15"/>
      <c r="G471" s="15"/>
      <c r="H471" s="12" t="str">
        <f>IF(G471&lt;&gt;"",VLOOKUP(G471,Settings!$B$4:$C$35,2,false),"")</f>
        <v/>
      </c>
      <c r="I471" s="12"/>
      <c r="J471" s="12"/>
      <c r="K471" s="12"/>
      <c r="L471" s="3"/>
    </row>
    <row r="472">
      <c r="A472" s="17" t="str">
        <f t="shared" si="2"/>
        <v/>
      </c>
      <c r="B472" s="12"/>
      <c r="C472" s="12"/>
      <c r="D472" s="12"/>
      <c r="E472" s="13" t="str">
        <f>IF(D472&lt;&gt;"",VLOOKUP(D472,Settings!$G$3:$H$6,2,false),"")</f>
        <v/>
      </c>
      <c r="F472" s="15"/>
      <c r="G472" s="15"/>
      <c r="H472" s="12" t="str">
        <f>IF(G472&lt;&gt;"",VLOOKUP(G472,Settings!$B$4:$C$35,2,false),"")</f>
        <v/>
      </c>
      <c r="I472" s="12"/>
      <c r="J472" s="12"/>
      <c r="K472" s="12"/>
      <c r="L472" s="3"/>
    </row>
    <row r="473">
      <c r="A473" s="17" t="str">
        <f t="shared" si="2"/>
        <v/>
      </c>
      <c r="B473" s="12"/>
      <c r="C473" s="12"/>
      <c r="D473" s="12"/>
      <c r="E473" s="13" t="str">
        <f>IF(D473&lt;&gt;"",VLOOKUP(D473,Settings!$G$3:$H$6,2,false),"")</f>
        <v/>
      </c>
      <c r="F473" s="15"/>
      <c r="G473" s="15"/>
      <c r="H473" s="12" t="str">
        <f>IF(G473&lt;&gt;"",VLOOKUP(G473,Settings!$B$4:$C$35,2,false),"")</f>
        <v/>
      </c>
      <c r="I473" s="12"/>
      <c r="J473" s="12"/>
      <c r="K473" s="12"/>
      <c r="L473" s="3"/>
    </row>
    <row r="474">
      <c r="A474" s="17" t="str">
        <f t="shared" si="2"/>
        <v/>
      </c>
      <c r="B474" s="12"/>
      <c r="C474" s="12"/>
      <c r="D474" s="12"/>
      <c r="E474" s="13" t="str">
        <f>IF(D474&lt;&gt;"",VLOOKUP(D474,Settings!$G$3:$H$6,2,false),"")</f>
        <v/>
      </c>
      <c r="F474" s="15"/>
      <c r="G474" s="15"/>
      <c r="H474" s="12" t="str">
        <f>IF(G474&lt;&gt;"",VLOOKUP(G474,Settings!$B$4:$C$35,2,false),"")</f>
        <v/>
      </c>
      <c r="I474" s="12"/>
      <c r="J474" s="12"/>
      <c r="K474" s="12"/>
      <c r="L474" s="3"/>
    </row>
    <row r="475">
      <c r="A475" s="17" t="str">
        <f t="shared" si="2"/>
        <v/>
      </c>
      <c r="B475" s="12"/>
      <c r="C475" s="12"/>
      <c r="D475" s="12"/>
      <c r="E475" s="13" t="str">
        <f>IF(D475&lt;&gt;"",VLOOKUP(D475,Settings!$G$3:$H$6,2,false),"")</f>
        <v/>
      </c>
      <c r="F475" s="15"/>
      <c r="G475" s="15"/>
      <c r="H475" s="12" t="str">
        <f>IF(G475&lt;&gt;"",VLOOKUP(G475,Settings!$B$4:$C$35,2,false),"")</f>
        <v/>
      </c>
      <c r="I475" s="12"/>
      <c r="J475" s="12"/>
      <c r="K475" s="12"/>
      <c r="L475" s="3"/>
    </row>
    <row r="476">
      <c r="A476" s="17" t="str">
        <f t="shared" si="2"/>
        <v/>
      </c>
      <c r="B476" s="12"/>
      <c r="C476" s="12"/>
      <c r="D476" s="12"/>
      <c r="E476" s="13" t="str">
        <f>IF(D476&lt;&gt;"",VLOOKUP(D476,Settings!$G$3:$H$6,2,false),"")</f>
        <v/>
      </c>
      <c r="F476" s="15"/>
      <c r="G476" s="15"/>
      <c r="H476" s="12" t="str">
        <f>IF(G476&lt;&gt;"",VLOOKUP(G476,Settings!$B$4:$C$35,2,false),"")</f>
        <v/>
      </c>
      <c r="I476" s="12"/>
      <c r="J476" s="12"/>
      <c r="K476" s="12"/>
      <c r="L476" s="3"/>
    </row>
    <row r="477">
      <c r="A477" s="17" t="str">
        <f t="shared" si="2"/>
        <v/>
      </c>
      <c r="B477" s="12"/>
      <c r="C477" s="12"/>
      <c r="D477" s="12"/>
      <c r="E477" s="13" t="str">
        <f>IF(D477&lt;&gt;"",VLOOKUP(D477,Settings!$G$3:$H$6,2,false),"")</f>
        <v/>
      </c>
      <c r="F477" s="15"/>
      <c r="G477" s="15"/>
      <c r="H477" s="12" t="str">
        <f>IF(G477&lt;&gt;"",VLOOKUP(G477,Settings!$B$4:$C$35,2,false),"")</f>
        <v/>
      </c>
      <c r="I477" s="12"/>
      <c r="J477" s="12"/>
      <c r="K477" s="12"/>
      <c r="L477" s="3"/>
    </row>
    <row r="478">
      <c r="A478" s="17" t="str">
        <f t="shared" si="2"/>
        <v/>
      </c>
      <c r="B478" s="12"/>
      <c r="C478" s="12"/>
      <c r="D478" s="12"/>
      <c r="E478" s="13" t="str">
        <f>IF(D478&lt;&gt;"",VLOOKUP(D478,Settings!$G$3:$H$6,2,false),"")</f>
        <v/>
      </c>
      <c r="F478" s="15"/>
      <c r="G478" s="15"/>
      <c r="H478" s="12" t="str">
        <f>IF(G478&lt;&gt;"",VLOOKUP(G478,Settings!$B$4:$C$35,2,false),"")</f>
        <v/>
      </c>
      <c r="I478" s="12"/>
      <c r="J478" s="12"/>
      <c r="K478" s="12"/>
      <c r="L478" s="3"/>
    </row>
    <row r="479">
      <c r="A479" s="17" t="str">
        <f t="shared" si="2"/>
        <v/>
      </c>
      <c r="B479" s="12"/>
      <c r="C479" s="12"/>
      <c r="D479" s="12"/>
      <c r="E479" s="13" t="str">
        <f>IF(D479&lt;&gt;"",VLOOKUP(D479,Settings!$G$3:$H$6,2,false),"")</f>
        <v/>
      </c>
      <c r="F479" s="15"/>
      <c r="G479" s="15"/>
      <c r="H479" s="12" t="str">
        <f>IF(G479&lt;&gt;"",VLOOKUP(G479,Settings!$B$4:$C$35,2,false),"")</f>
        <v/>
      </c>
      <c r="I479" s="12"/>
      <c r="J479" s="12"/>
      <c r="K479" s="12"/>
      <c r="L479" s="3"/>
    </row>
    <row r="480">
      <c r="A480" s="17" t="str">
        <f t="shared" si="2"/>
        <v/>
      </c>
      <c r="B480" s="12"/>
      <c r="C480" s="12"/>
      <c r="D480" s="12"/>
      <c r="E480" s="13" t="str">
        <f>IF(D480&lt;&gt;"",VLOOKUP(D480,Settings!$G$3:$H$6,2,false),"")</f>
        <v/>
      </c>
      <c r="F480" s="15"/>
      <c r="G480" s="15"/>
      <c r="H480" s="12" t="str">
        <f>IF(G480&lt;&gt;"",VLOOKUP(G480,Settings!$B$4:$C$35,2,false),"")</f>
        <v/>
      </c>
      <c r="I480" s="12"/>
      <c r="J480" s="12"/>
      <c r="K480" s="12"/>
      <c r="L480" s="3"/>
    </row>
    <row r="481">
      <c r="A481" s="17" t="str">
        <f t="shared" si="2"/>
        <v/>
      </c>
      <c r="B481" s="12"/>
      <c r="C481" s="12"/>
      <c r="D481" s="12"/>
      <c r="E481" s="13" t="str">
        <f>IF(D481&lt;&gt;"",VLOOKUP(D481,Settings!$G$3:$H$6,2,false),"")</f>
        <v/>
      </c>
      <c r="F481" s="15"/>
      <c r="G481" s="15"/>
      <c r="H481" s="12" t="str">
        <f>IF(G481&lt;&gt;"",VLOOKUP(G481,Settings!$B$4:$C$35,2,false),"")</f>
        <v/>
      </c>
      <c r="I481" s="12"/>
      <c r="J481" s="12"/>
      <c r="K481" s="12"/>
      <c r="L481" s="3"/>
    </row>
    <row r="482">
      <c r="A482" s="17" t="str">
        <f t="shared" si="2"/>
        <v/>
      </c>
      <c r="B482" s="12"/>
      <c r="C482" s="12"/>
      <c r="D482" s="12"/>
      <c r="E482" s="13" t="str">
        <f>IF(D482&lt;&gt;"",VLOOKUP(D482,Settings!$G$3:$H$6,2,false),"")</f>
        <v/>
      </c>
      <c r="F482" s="15"/>
      <c r="G482" s="15"/>
      <c r="H482" s="12" t="str">
        <f>IF(G482&lt;&gt;"",VLOOKUP(G482,Settings!$B$4:$C$35,2,false),"")</f>
        <v/>
      </c>
      <c r="I482" s="12"/>
      <c r="J482" s="12"/>
      <c r="K482" s="12"/>
      <c r="L482" s="3"/>
    </row>
    <row r="483">
      <c r="A483" s="17" t="str">
        <f t="shared" si="2"/>
        <v/>
      </c>
      <c r="B483" s="12"/>
      <c r="C483" s="12"/>
      <c r="D483" s="12"/>
      <c r="E483" s="13" t="str">
        <f>IF(D483&lt;&gt;"",VLOOKUP(D483,Settings!$G$3:$H$6,2,false),"")</f>
        <v/>
      </c>
      <c r="F483" s="15"/>
      <c r="G483" s="15"/>
      <c r="H483" s="12" t="str">
        <f>IF(G483&lt;&gt;"",VLOOKUP(G483,Settings!$B$4:$C$35,2,false),"")</f>
        <v/>
      </c>
      <c r="I483" s="12"/>
      <c r="J483" s="12"/>
      <c r="K483" s="12"/>
      <c r="L483" s="3"/>
    </row>
    <row r="484">
      <c r="A484" s="17" t="str">
        <f t="shared" si="2"/>
        <v/>
      </c>
      <c r="B484" s="12"/>
      <c r="C484" s="12"/>
      <c r="D484" s="12"/>
      <c r="E484" s="13" t="str">
        <f>IF(D484&lt;&gt;"",VLOOKUP(D484,Settings!$G$3:$H$6,2,false),"")</f>
        <v/>
      </c>
      <c r="F484" s="15"/>
      <c r="G484" s="15"/>
      <c r="H484" s="12" t="str">
        <f>IF(G484&lt;&gt;"",VLOOKUP(G484,Settings!$B$4:$C$35,2,false),"")</f>
        <v/>
      </c>
      <c r="I484" s="12"/>
      <c r="J484" s="12"/>
      <c r="K484" s="12"/>
      <c r="L484" s="3"/>
    </row>
    <row r="485">
      <c r="A485" s="17" t="str">
        <f t="shared" si="2"/>
        <v/>
      </c>
      <c r="B485" s="12"/>
      <c r="C485" s="12"/>
      <c r="D485" s="12"/>
      <c r="E485" s="13" t="str">
        <f>IF(D485&lt;&gt;"",VLOOKUP(D485,Settings!$G$3:$H$6,2,false),"")</f>
        <v/>
      </c>
      <c r="F485" s="15"/>
      <c r="G485" s="15"/>
      <c r="H485" s="12" t="str">
        <f>IF(G485&lt;&gt;"",VLOOKUP(G485,Settings!$B$4:$C$35,2,false),"")</f>
        <v/>
      </c>
      <c r="I485" s="12"/>
      <c r="J485" s="12"/>
      <c r="K485" s="12"/>
      <c r="L485" s="3"/>
    </row>
    <row r="486">
      <c r="A486" s="17" t="str">
        <f t="shared" si="2"/>
        <v/>
      </c>
      <c r="B486" s="12"/>
      <c r="C486" s="12"/>
      <c r="D486" s="12"/>
      <c r="E486" s="13" t="str">
        <f>IF(D486&lt;&gt;"",VLOOKUP(D486,Settings!$G$3:$H$6,2,false),"")</f>
        <v/>
      </c>
      <c r="F486" s="15"/>
      <c r="G486" s="15"/>
      <c r="H486" s="12" t="str">
        <f>IF(G486&lt;&gt;"",VLOOKUP(G486,Settings!$B$4:$C$35,2,false),"")</f>
        <v/>
      </c>
      <c r="I486" s="12"/>
      <c r="J486" s="12"/>
      <c r="K486" s="12"/>
      <c r="L486" s="3"/>
    </row>
    <row r="487">
      <c r="A487" s="17" t="str">
        <f t="shared" si="2"/>
        <v/>
      </c>
      <c r="B487" s="12"/>
      <c r="C487" s="12"/>
      <c r="D487" s="12"/>
      <c r="E487" s="13" t="str">
        <f>IF(D487&lt;&gt;"",VLOOKUP(D487,Settings!$G$3:$H$6,2,false),"")</f>
        <v/>
      </c>
      <c r="F487" s="15"/>
      <c r="G487" s="15"/>
      <c r="H487" s="12" t="str">
        <f>IF(G487&lt;&gt;"",VLOOKUP(G487,Settings!$B$4:$C$35,2,false),"")</f>
        <v/>
      </c>
      <c r="I487" s="12"/>
      <c r="J487" s="12"/>
      <c r="K487" s="12"/>
      <c r="L487" s="3"/>
    </row>
    <row r="488">
      <c r="A488" s="17" t="str">
        <f t="shared" si="2"/>
        <v/>
      </c>
      <c r="B488" s="12"/>
      <c r="C488" s="12"/>
      <c r="D488" s="12"/>
      <c r="E488" s="13" t="str">
        <f>IF(D488&lt;&gt;"",VLOOKUP(D488,Settings!$G$3:$H$6,2,false),"")</f>
        <v/>
      </c>
      <c r="F488" s="15"/>
      <c r="G488" s="15"/>
      <c r="H488" s="12" t="str">
        <f>IF(G488&lt;&gt;"",VLOOKUP(G488,Settings!$B$4:$C$35,2,false),"")</f>
        <v/>
      </c>
      <c r="I488" s="12"/>
      <c r="J488" s="12"/>
      <c r="K488" s="12"/>
      <c r="L488" s="3"/>
    </row>
    <row r="489">
      <c r="A489" s="17" t="str">
        <f t="shared" si="2"/>
        <v/>
      </c>
      <c r="B489" s="12"/>
      <c r="C489" s="12"/>
      <c r="D489" s="12"/>
      <c r="E489" s="13" t="str">
        <f>IF(D489&lt;&gt;"",VLOOKUP(D489,Settings!$G$3:$H$6,2,false),"")</f>
        <v/>
      </c>
      <c r="F489" s="15"/>
      <c r="G489" s="15"/>
      <c r="H489" s="12" t="str">
        <f>IF(G489&lt;&gt;"",VLOOKUP(G489,Settings!$B$4:$C$35,2,false),"")</f>
        <v/>
      </c>
      <c r="I489" s="12"/>
      <c r="J489" s="12"/>
      <c r="K489" s="12"/>
      <c r="L489" s="3"/>
    </row>
    <row r="490">
      <c r="A490" s="17" t="str">
        <f t="shared" si="2"/>
        <v/>
      </c>
      <c r="B490" s="12"/>
      <c r="C490" s="12"/>
      <c r="D490" s="12"/>
      <c r="E490" s="13" t="str">
        <f>IF(D490&lt;&gt;"",VLOOKUP(D490,Settings!$G$3:$H$6,2,false),"")</f>
        <v/>
      </c>
      <c r="F490" s="15"/>
      <c r="G490" s="15"/>
      <c r="H490" s="12" t="str">
        <f>IF(G490&lt;&gt;"",VLOOKUP(G490,Settings!$B$4:$C$35,2,false),"")</f>
        <v/>
      </c>
      <c r="I490" s="12"/>
      <c r="J490" s="12"/>
      <c r="K490" s="12"/>
      <c r="L490" s="3"/>
    </row>
    <row r="491">
      <c r="A491" s="17" t="str">
        <f t="shared" si="2"/>
        <v/>
      </c>
      <c r="B491" s="12"/>
      <c r="C491" s="12"/>
      <c r="D491" s="12"/>
      <c r="E491" s="13" t="str">
        <f>IF(D491&lt;&gt;"",VLOOKUP(D491,Settings!$G$3:$H$6,2,false),"")</f>
        <v/>
      </c>
      <c r="F491" s="15"/>
      <c r="G491" s="15"/>
      <c r="H491" s="12" t="str">
        <f>IF(G491&lt;&gt;"",VLOOKUP(G491,Settings!$B$4:$C$35,2,false),"")</f>
        <v/>
      </c>
      <c r="I491" s="12"/>
      <c r="J491" s="12"/>
      <c r="K491" s="12"/>
      <c r="L491" s="3"/>
    </row>
    <row r="492">
      <c r="A492" s="17" t="str">
        <f t="shared" si="2"/>
        <v/>
      </c>
      <c r="B492" s="12"/>
      <c r="C492" s="12"/>
      <c r="D492" s="12"/>
      <c r="E492" s="13" t="str">
        <f>IF(D492&lt;&gt;"",VLOOKUP(D492,Settings!$G$3:$H$6,2,false),"")</f>
        <v/>
      </c>
      <c r="F492" s="15"/>
      <c r="G492" s="15"/>
      <c r="H492" s="12" t="str">
        <f>IF(G492&lt;&gt;"",VLOOKUP(G492,Settings!$B$4:$C$35,2,false),"")</f>
        <v/>
      </c>
      <c r="I492" s="12"/>
      <c r="J492" s="12"/>
      <c r="K492" s="12"/>
      <c r="L492" s="3"/>
    </row>
    <row r="493">
      <c r="A493" s="17" t="str">
        <f t="shared" si="2"/>
        <v/>
      </c>
      <c r="B493" s="12"/>
      <c r="C493" s="12"/>
      <c r="D493" s="12"/>
      <c r="E493" s="13" t="str">
        <f>IF(D493&lt;&gt;"",VLOOKUP(D493,Settings!$G$3:$H$6,2,false),"")</f>
        <v/>
      </c>
      <c r="F493" s="15"/>
      <c r="G493" s="15"/>
      <c r="H493" s="12" t="str">
        <f>IF(G493&lt;&gt;"",VLOOKUP(G493,Settings!$B$4:$C$35,2,false),"")</f>
        <v/>
      </c>
      <c r="I493" s="12"/>
      <c r="J493" s="12"/>
      <c r="K493" s="12"/>
      <c r="L493" s="3"/>
    </row>
    <row r="494">
      <c r="A494" s="17" t="str">
        <f t="shared" si="2"/>
        <v/>
      </c>
      <c r="B494" s="12"/>
      <c r="C494" s="12"/>
      <c r="D494" s="12"/>
      <c r="E494" s="13" t="str">
        <f>IF(D494&lt;&gt;"",VLOOKUP(D494,Settings!$G$3:$H$6,2,false),"")</f>
        <v/>
      </c>
      <c r="F494" s="15"/>
      <c r="G494" s="15"/>
      <c r="H494" s="12" t="str">
        <f>IF(G494&lt;&gt;"",VLOOKUP(G494,Settings!$B$4:$C$35,2,false),"")</f>
        <v/>
      </c>
      <c r="I494" s="12"/>
      <c r="J494" s="12"/>
      <c r="K494" s="12"/>
      <c r="L494" s="3"/>
    </row>
    <row r="495">
      <c r="A495" s="17" t="str">
        <f t="shared" si="2"/>
        <v/>
      </c>
      <c r="B495" s="12"/>
      <c r="C495" s="12"/>
      <c r="D495" s="12"/>
      <c r="E495" s="13" t="str">
        <f>IF(D495&lt;&gt;"",VLOOKUP(D495,Settings!$G$3:$H$6,2,false),"")</f>
        <v/>
      </c>
      <c r="F495" s="15"/>
      <c r="G495" s="15"/>
      <c r="H495" s="12" t="str">
        <f>IF(G495&lt;&gt;"",VLOOKUP(G495,Settings!$B$4:$C$35,2,false),"")</f>
        <v/>
      </c>
      <c r="I495" s="12"/>
      <c r="J495" s="12"/>
      <c r="K495" s="12"/>
      <c r="L495" s="3"/>
    </row>
    <row r="496">
      <c r="A496" s="17" t="str">
        <f t="shared" si="2"/>
        <v/>
      </c>
      <c r="B496" s="12"/>
      <c r="C496" s="12"/>
      <c r="D496" s="12"/>
      <c r="E496" s="13" t="str">
        <f>IF(D496&lt;&gt;"",VLOOKUP(D496,Settings!$G$3:$H$6,2,false),"")</f>
        <v/>
      </c>
      <c r="F496" s="15"/>
      <c r="G496" s="15"/>
      <c r="H496" s="12" t="str">
        <f>IF(G496&lt;&gt;"",VLOOKUP(G496,Settings!$B$4:$C$35,2,false),"")</f>
        <v/>
      </c>
      <c r="I496" s="12"/>
      <c r="J496" s="12"/>
      <c r="K496" s="12"/>
      <c r="L496" s="3"/>
    </row>
    <row r="497">
      <c r="A497" s="17" t="str">
        <f t="shared" si="2"/>
        <v/>
      </c>
      <c r="B497" s="12"/>
      <c r="C497" s="12"/>
      <c r="D497" s="12"/>
      <c r="E497" s="13" t="str">
        <f>IF(D497&lt;&gt;"",VLOOKUP(D497,Settings!$G$3:$H$6,2,false),"")</f>
        <v/>
      </c>
      <c r="F497" s="15"/>
      <c r="G497" s="15"/>
      <c r="H497" s="12" t="str">
        <f>IF(G497&lt;&gt;"",VLOOKUP(G497,Settings!$B$4:$C$35,2,false),"")</f>
        <v/>
      </c>
      <c r="I497" s="12"/>
      <c r="J497" s="12"/>
      <c r="K497" s="12"/>
      <c r="L497" s="3"/>
    </row>
    <row r="498">
      <c r="A498" s="17" t="str">
        <f t="shared" si="2"/>
        <v/>
      </c>
      <c r="B498" s="12"/>
      <c r="C498" s="12"/>
      <c r="D498" s="12"/>
      <c r="E498" s="13" t="str">
        <f>IF(D498&lt;&gt;"",VLOOKUP(D498,Settings!$G$3:$H$6,2,false),"")</f>
        <v/>
      </c>
      <c r="F498" s="15"/>
      <c r="G498" s="15"/>
      <c r="H498" s="12" t="str">
        <f>IF(G498&lt;&gt;"",VLOOKUP(G498,Settings!$B$4:$C$35,2,false),"")</f>
        <v/>
      </c>
      <c r="I498" s="12"/>
      <c r="J498" s="12"/>
      <c r="K498" s="12"/>
      <c r="L498" s="3"/>
    </row>
    <row r="499">
      <c r="A499" s="17" t="str">
        <f t="shared" si="2"/>
        <v/>
      </c>
      <c r="B499" s="12"/>
      <c r="C499" s="12"/>
      <c r="D499" s="12"/>
      <c r="E499" s="13" t="str">
        <f>IF(D499&lt;&gt;"",VLOOKUP(D499,Settings!$G$3:$H$6,2,false),"")</f>
        <v/>
      </c>
      <c r="F499" s="15"/>
      <c r="G499" s="15"/>
      <c r="H499" s="12" t="str">
        <f>IF(G499&lt;&gt;"",VLOOKUP(G499,Settings!$B$4:$C$35,2,false),"")</f>
        <v/>
      </c>
      <c r="I499" s="12"/>
      <c r="J499" s="12"/>
      <c r="K499" s="12"/>
      <c r="L499" s="3"/>
    </row>
    <row r="500">
      <c r="A500" s="17" t="str">
        <f t="shared" si="2"/>
        <v/>
      </c>
      <c r="B500" s="12"/>
      <c r="C500" s="12"/>
      <c r="D500" s="12"/>
      <c r="E500" s="13" t="str">
        <f>IF(D500&lt;&gt;"",VLOOKUP(D500,Settings!$G$3:$H$6,2,false),"")</f>
        <v/>
      </c>
      <c r="F500" s="15"/>
      <c r="G500" s="15"/>
      <c r="H500" s="12" t="str">
        <f>IF(G500&lt;&gt;"",VLOOKUP(G500,Settings!$B$4:$C$35,2,false),"")</f>
        <v/>
      </c>
      <c r="I500" s="12"/>
      <c r="J500" s="12"/>
      <c r="K500" s="12"/>
      <c r="L500" s="3"/>
    </row>
    <row r="501">
      <c r="A501" s="17" t="str">
        <f t="shared" si="2"/>
        <v/>
      </c>
      <c r="B501" s="12"/>
      <c r="C501" s="12"/>
      <c r="D501" s="12"/>
      <c r="E501" s="13" t="str">
        <f>IF(D501&lt;&gt;"",VLOOKUP(D501,Settings!$G$3:$H$6,2,false),"")</f>
        <v/>
      </c>
      <c r="F501" s="15"/>
      <c r="G501" s="15"/>
      <c r="H501" s="12" t="str">
        <f>IF(G501&lt;&gt;"",VLOOKUP(G501,Settings!$B$4:$C$35,2,false),"")</f>
        <v/>
      </c>
      <c r="I501" s="12"/>
      <c r="J501" s="12"/>
      <c r="K501" s="12"/>
      <c r="L501" s="3"/>
    </row>
    <row r="502">
      <c r="A502" s="17" t="str">
        <f t="shared" si="2"/>
        <v/>
      </c>
      <c r="B502" s="12"/>
      <c r="C502" s="12"/>
      <c r="D502" s="12"/>
      <c r="E502" s="13" t="str">
        <f>IF(D502&lt;&gt;"",VLOOKUP(D502,Settings!$G$3:$H$6,2,false),"")</f>
        <v/>
      </c>
      <c r="F502" s="15"/>
      <c r="G502" s="15"/>
      <c r="H502" s="12" t="str">
        <f>IF(G502&lt;&gt;"",VLOOKUP(G502,Settings!$B$4:$C$35,2,false),"")</f>
        <v/>
      </c>
      <c r="I502" s="12"/>
      <c r="J502" s="12"/>
      <c r="K502" s="12"/>
      <c r="L502" s="3"/>
    </row>
    <row r="503">
      <c r="A503" s="17" t="str">
        <f t="shared" si="2"/>
        <v/>
      </c>
      <c r="B503" s="12"/>
      <c r="C503" s="12"/>
      <c r="D503" s="12"/>
      <c r="E503" s="13" t="str">
        <f>IF(D503&lt;&gt;"",VLOOKUP(D503,Settings!$G$3:$H$6,2,false),"")</f>
        <v/>
      </c>
      <c r="F503" s="15"/>
      <c r="G503" s="15"/>
      <c r="H503" s="12" t="str">
        <f>IF(G503&lt;&gt;"",VLOOKUP(G503,Settings!$B$4:$C$35,2,false),"")</f>
        <v/>
      </c>
      <c r="I503" s="12"/>
      <c r="J503" s="12"/>
      <c r="K503" s="12"/>
      <c r="L503" s="3"/>
    </row>
    <row r="504">
      <c r="A504" s="17" t="str">
        <f t="shared" si="2"/>
        <v/>
      </c>
      <c r="B504" s="12"/>
      <c r="C504" s="12"/>
      <c r="D504" s="12"/>
      <c r="E504" s="13" t="str">
        <f>IF(D504&lt;&gt;"",VLOOKUP(D504,Settings!$G$3:$H$6,2,false),"")</f>
        <v/>
      </c>
      <c r="F504" s="15"/>
      <c r="G504" s="15"/>
      <c r="H504" s="12" t="str">
        <f>IF(G504&lt;&gt;"",VLOOKUP(G504,Settings!$B$4:$C$35,2,false),"")</f>
        <v/>
      </c>
      <c r="I504" s="12"/>
      <c r="J504" s="12"/>
      <c r="K504" s="12"/>
      <c r="L504" s="3"/>
    </row>
    <row r="505">
      <c r="A505" s="17" t="str">
        <f t="shared" si="2"/>
        <v/>
      </c>
      <c r="B505" s="12"/>
      <c r="C505" s="12"/>
      <c r="D505" s="12"/>
      <c r="E505" s="13" t="str">
        <f>IF(D505&lt;&gt;"",VLOOKUP(D505,Settings!$G$3:$H$6,2,false),"")</f>
        <v/>
      </c>
      <c r="F505" s="15"/>
      <c r="G505" s="15"/>
      <c r="H505" s="12" t="str">
        <f>IF(G505&lt;&gt;"",VLOOKUP(G505,Settings!$B$4:$C$35,2,false),"")</f>
        <v/>
      </c>
      <c r="I505" s="12"/>
      <c r="J505" s="12"/>
      <c r="K505" s="12"/>
      <c r="L505" s="3"/>
    </row>
    <row r="506">
      <c r="A506" s="17" t="str">
        <f t="shared" si="2"/>
        <v/>
      </c>
      <c r="B506" s="12"/>
      <c r="C506" s="12"/>
      <c r="D506" s="12"/>
      <c r="E506" s="13" t="str">
        <f>IF(D506&lt;&gt;"",VLOOKUP(D506,Settings!$G$3:$H$6,2,false),"")</f>
        <v/>
      </c>
      <c r="F506" s="15"/>
      <c r="G506" s="15"/>
      <c r="H506" s="12" t="str">
        <f>IF(G506&lt;&gt;"",VLOOKUP(G506,Settings!$B$4:$C$35,2,false),"")</f>
        <v/>
      </c>
      <c r="I506" s="12"/>
      <c r="J506" s="12"/>
      <c r="K506" s="12"/>
      <c r="L506" s="3"/>
    </row>
    <row r="507">
      <c r="A507" s="17" t="str">
        <f t="shared" si="2"/>
        <v/>
      </c>
      <c r="B507" s="12"/>
      <c r="C507" s="12"/>
      <c r="D507" s="12"/>
      <c r="E507" s="13" t="str">
        <f>IF(D507&lt;&gt;"",VLOOKUP(D507,Settings!$G$3:$H$6,2,false),"")</f>
        <v/>
      </c>
      <c r="F507" s="15"/>
      <c r="G507" s="15"/>
      <c r="H507" s="12" t="str">
        <f>IF(G507&lt;&gt;"",VLOOKUP(G507,Settings!$B$4:$C$35,2,false),"")</f>
        <v/>
      </c>
      <c r="I507" s="12"/>
      <c r="J507" s="12"/>
      <c r="K507" s="12"/>
      <c r="L507" s="3"/>
    </row>
    <row r="508">
      <c r="A508" s="17" t="str">
        <f t="shared" si="2"/>
        <v/>
      </c>
      <c r="B508" s="12"/>
      <c r="C508" s="12"/>
      <c r="D508" s="12"/>
      <c r="E508" s="13" t="str">
        <f>IF(D508&lt;&gt;"",VLOOKUP(D508,Settings!$G$3:$H$6,2,false),"")</f>
        <v/>
      </c>
      <c r="F508" s="15"/>
      <c r="G508" s="15"/>
      <c r="H508" s="12" t="str">
        <f>IF(G508&lt;&gt;"",VLOOKUP(G508,Settings!$B$4:$C$35,2,false),"")</f>
        <v/>
      </c>
      <c r="I508" s="12"/>
      <c r="J508" s="12"/>
      <c r="K508" s="12"/>
      <c r="L508" s="3"/>
    </row>
    <row r="509">
      <c r="A509" s="17" t="str">
        <f t="shared" si="2"/>
        <v/>
      </c>
      <c r="B509" s="12"/>
      <c r="C509" s="12"/>
      <c r="D509" s="12"/>
      <c r="E509" s="13" t="str">
        <f>IF(D509&lt;&gt;"",VLOOKUP(D509,Settings!$G$3:$H$6,2,false),"")</f>
        <v/>
      </c>
      <c r="F509" s="15"/>
      <c r="G509" s="15"/>
      <c r="H509" s="12" t="str">
        <f>IF(G509&lt;&gt;"",VLOOKUP(G509,Settings!$B$4:$C$35,2,false),"")</f>
        <v/>
      </c>
      <c r="I509" s="12"/>
      <c r="J509" s="12"/>
      <c r="K509" s="12"/>
      <c r="L509" s="3"/>
    </row>
    <row r="510">
      <c r="A510" s="17" t="str">
        <f t="shared" si="2"/>
        <v/>
      </c>
      <c r="B510" s="12"/>
      <c r="C510" s="12"/>
      <c r="D510" s="12"/>
      <c r="E510" s="13" t="str">
        <f>IF(D510&lt;&gt;"",VLOOKUP(D510,Settings!$G$3:$H$6,2,false),"")</f>
        <v/>
      </c>
      <c r="F510" s="15"/>
      <c r="G510" s="15"/>
      <c r="H510" s="12" t="str">
        <f>IF(G510&lt;&gt;"",VLOOKUP(G510,Settings!$B$4:$C$35,2,false),"")</f>
        <v/>
      </c>
      <c r="I510" s="12"/>
      <c r="J510" s="12"/>
      <c r="K510" s="12"/>
      <c r="L510" s="3"/>
    </row>
    <row r="511">
      <c r="A511" s="17" t="str">
        <f t="shared" si="2"/>
        <v/>
      </c>
      <c r="B511" s="12"/>
      <c r="C511" s="12"/>
      <c r="D511" s="12"/>
      <c r="E511" s="13" t="str">
        <f>IF(D511&lt;&gt;"",VLOOKUP(D511,Settings!$G$3:$H$6,2,false),"")</f>
        <v/>
      </c>
      <c r="F511" s="15"/>
      <c r="G511" s="15"/>
      <c r="H511" s="12" t="str">
        <f>IF(G511&lt;&gt;"",VLOOKUP(G511,Settings!$B$4:$C$35,2,false),"")</f>
        <v/>
      </c>
      <c r="I511" s="12"/>
      <c r="J511" s="12"/>
      <c r="K511" s="12"/>
      <c r="L511" s="3"/>
    </row>
    <row r="512">
      <c r="A512" s="17" t="str">
        <f t="shared" si="2"/>
        <v/>
      </c>
      <c r="B512" s="12"/>
      <c r="C512" s="12"/>
      <c r="D512" s="12"/>
      <c r="E512" s="13" t="str">
        <f>IF(D512&lt;&gt;"",VLOOKUP(D512,Settings!$G$3:$H$6,2,false),"")</f>
        <v/>
      </c>
      <c r="F512" s="15"/>
      <c r="G512" s="15"/>
      <c r="H512" s="12" t="str">
        <f>IF(G512&lt;&gt;"",VLOOKUP(G512,Settings!$B$4:$C$35,2,false),"")</f>
        <v/>
      </c>
      <c r="I512" s="12"/>
      <c r="J512" s="12"/>
      <c r="K512" s="12"/>
      <c r="L512" s="3"/>
    </row>
    <row r="513">
      <c r="A513" s="17" t="str">
        <f t="shared" si="2"/>
        <v/>
      </c>
      <c r="B513" s="12"/>
      <c r="C513" s="12"/>
      <c r="D513" s="12"/>
      <c r="E513" s="13" t="str">
        <f>IF(D513&lt;&gt;"",VLOOKUP(D513,Settings!$G$3:$H$6,2,false),"")</f>
        <v/>
      </c>
      <c r="F513" s="15"/>
      <c r="G513" s="15"/>
      <c r="H513" s="12" t="str">
        <f>IF(G513&lt;&gt;"",VLOOKUP(G513,Settings!$B$4:$C$35,2,false),"")</f>
        <v/>
      </c>
      <c r="I513" s="12"/>
      <c r="J513" s="12"/>
      <c r="K513" s="12"/>
      <c r="L513" s="3"/>
    </row>
    <row r="514">
      <c r="A514" s="17" t="str">
        <f t="shared" si="2"/>
        <v/>
      </c>
      <c r="B514" s="12"/>
      <c r="C514" s="12"/>
      <c r="D514" s="12"/>
      <c r="E514" s="13" t="str">
        <f>IF(D514&lt;&gt;"",VLOOKUP(D514,Settings!$G$3:$H$6,2,false),"")</f>
        <v/>
      </c>
      <c r="F514" s="15"/>
      <c r="G514" s="15"/>
      <c r="H514" s="12" t="str">
        <f>IF(G514&lt;&gt;"",VLOOKUP(G514,Settings!$B$4:$C$35,2,false),"")</f>
        <v/>
      </c>
      <c r="I514" s="12"/>
      <c r="J514" s="12"/>
      <c r="K514" s="12"/>
      <c r="L514" s="3"/>
    </row>
    <row r="515">
      <c r="A515" s="17" t="str">
        <f t="shared" si="2"/>
        <v/>
      </c>
      <c r="B515" s="12"/>
      <c r="C515" s="12"/>
      <c r="D515" s="12"/>
      <c r="E515" s="13" t="str">
        <f>IF(D515&lt;&gt;"",VLOOKUP(D515,Settings!$G$3:$H$6,2,false),"")</f>
        <v/>
      </c>
      <c r="F515" s="15"/>
      <c r="G515" s="15"/>
      <c r="H515" s="12" t="str">
        <f>IF(G515&lt;&gt;"",VLOOKUP(G515,Settings!$B$4:$C$35,2,false),"")</f>
        <v/>
      </c>
      <c r="I515" s="12"/>
      <c r="J515" s="12"/>
      <c r="K515" s="12"/>
      <c r="L515" s="3"/>
    </row>
    <row r="516">
      <c r="A516" s="17" t="str">
        <f t="shared" si="2"/>
        <v/>
      </c>
      <c r="B516" s="12"/>
      <c r="C516" s="12"/>
      <c r="D516" s="12"/>
      <c r="E516" s="13" t="str">
        <f>IF(D516&lt;&gt;"",VLOOKUP(D516,Settings!$G$3:$H$6,2,false),"")</f>
        <v/>
      </c>
      <c r="F516" s="15"/>
      <c r="G516" s="15"/>
      <c r="H516" s="12" t="str">
        <f>IF(G516&lt;&gt;"",VLOOKUP(G516,Settings!$B$4:$C$35,2,false),"")</f>
        <v/>
      </c>
      <c r="I516" s="12"/>
      <c r="J516" s="12"/>
      <c r="K516" s="12"/>
      <c r="L516" s="3"/>
    </row>
    <row r="517">
      <c r="A517" s="17" t="str">
        <f t="shared" si="2"/>
        <v/>
      </c>
      <c r="B517" s="12"/>
      <c r="C517" s="12"/>
      <c r="D517" s="12"/>
      <c r="E517" s="13" t="str">
        <f>IF(D517&lt;&gt;"",VLOOKUP(D517,Settings!$G$3:$H$6,2,false),"")</f>
        <v/>
      </c>
      <c r="F517" s="15"/>
      <c r="G517" s="15"/>
      <c r="H517" s="12" t="str">
        <f>IF(G517&lt;&gt;"",VLOOKUP(G517,Settings!$B$4:$C$35,2,false),"")</f>
        <v/>
      </c>
      <c r="I517" s="12"/>
      <c r="J517" s="12"/>
      <c r="K517" s="12"/>
      <c r="L517" s="3"/>
    </row>
    <row r="518">
      <c r="A518" s="17" t="str">
        <f t="shared" si="2"/>
        <v/>
      </c>
      <c r="B518" s="12"/>
      <c r="C518" s="12"/>
      <c r="D518" s="12"/>
      <c r="E518" s="13" t="str">
        <f>IF(D518&lt;&gt;"",VLOOKUP(D518,Settings!$G$3:$H$6,2,false),"")</f>
        <v/>
      </c>
      <c r="F518" s="15"/>
      <c r="G518" s="15"/>
      <c r="H518" s="12" t="str">
        <f>IF(G518&lt;&gt;"",VLOOKUP(G518,Settings!$B$4:$C$35,2,false),"")</f>
        <v/>
      </c>
      <c r="I518" s="12"/>
      <c r="J518" s="12"/>
      <c r="K518" s="12"/>
      <c r="L518" s="3"/>
    </row>
    <row r="519">
      <c r="A519" s="17" t="str">
        <f t="shared" si="2"/>
        <v/>
      </c>
      <c r="B519" s="12"/>
      <c r="C519" s="12"/>
      <c r="D519" s="12"/>
      <c r="E519" s="13" t="str">
        <f>IF(D519&lt;&gt;"",VLOOKUP(D519,Settings!$G$3:$H$6,2,false),"")</f>
        <v/>
      </c>
      <c r="F519" s="15"/>
      <c r="G519" s="15"/>
      <c r="H519" s="12" t="str">
        <f>IF(G519&lt;&gt;"",VLOOKUP(G519,Settings!$B$4:$C$35,2,false),"")</f>
        <v/>
      </c>
      <c r="I519" s="12"/>
      <c r="J519" s="12"/>
      <c r="K519" s="12"/>
      <c r="L519" s="3"/>
    </row>
    <row r="520">
      <c r="A520" s="17" t="str">
        <f t="shared" si="2"/>
        <v/>
      </c>
      <c r="B520" s="12"/>
      <c r="C520" s="12"/>
      <c r="D520" s="12"/>
      <c r="E520" s="13" t="str">
        <f>IF(D520&lt;&gt;"",VLOOKUP(D520,Settings!$G$3:$H$6,2,false),"")</f>
        <v/>
      </c>
      <c r="F520" s="15"/>
      <c r="G520" s="15"/>
      <c r="H520" s="12" t="str">
        <f>IF(G520&lt;&gt;"",VLOOKUP(G520,Settings!$B$4:$C$35,2,false),"")</f>
        <v/>
      </c>
      <c r="I520" s="12"/>
      <c r="J520" s="12"/>
      <c r="K520" s="12"/>
      <c r="L520" s="3"/>
    </row>
    <row r="521">
      <c r="A521" s="17" t="str">
        <f t="shared" si="2"/>
        <v/>
      </c>
      <c r="B521" s="12"/>
      <c r="C521" s="12"/>
      <c r="D521" s="12"/>
      <c r="E521" s="13" t="str">
        <f>IF(D521&lt;&gt;"",VLOOKUP(D521,Settings!$G$3:$H$6,2,false),"")</f>
        <v/>
      </c>
      <c r="F521" s="15"/>
      <c r="G521" s="15"/>
      <c r="H521" s="12" t="str">
        <f>IF(G521&lt;&gt;"",VLOOKUP(G521,Settings!$B$4:$C$35,2,false),"")</f>
        <v/>
      </c>
      <c r="I521" s="12"/>
      <c r="J521" s="12"/>
      <c r="K521" s="12"/>
      <c r="L521" s="3"/>
    </row>
    <row r="522">
      <c r="A522" s="17" t="str">
        <f t="shared" si="2"/>
        <v/>
      </c>
      <c r="B522" s="12"/>
      <c r="C522" s="12"/>
      <c r="D522" s="12"/>
      <c r="E522" s="13" t="str">
        <f>IF(D522&lt;&gt;"",VLOOKUP(D522,Settings!$G$3:$H$6,2,false),"")</f>
        <v/>
      </c>
      <c r="F522" s="15"/>
      <c r="G522" s="15"/>
      <c r="H522" s="12" t="str">
        <f>IF(G522&lt;&gt;"",VLOOKUP(G522,Settings!$B$4:$C$35,2,false),"")</f>
        <v/>
      </c>
      <c r="I522" s="12"/>
      <c r="J522" s="12"/>
      <c r="K522" s="12"/>
      <c r="L522" s="3"/>
    </row>
    <row r="523">
      <c r="A523" s="17" t="str">
        <f t="shared" si="2"/>
        <v/>
      </c>
      <c r="B523" s="12"/>
      <c r="C523" s="12"/>
      <c r="D523" s="12"/>
      <c r="E523" s="13" t="str">
        <f>IF(D523&lt;&gt;"",VLOOKUP(D523,Settings!$G$3:$H$6,2,false),"")</f>
        <v/>
      </c>
      <c r="F523" s="15"/>
      <c r="G523" s="15"/>
      <c r="H523" s="12" t="str">
        <f>IF(G523&lt;&gt;"",VLOOKUP(G523,Settings!$B$4:$C$35,2,false),"")</f>
        <v/>
      </c>
      <c r="I523" s="12"/>
      <c r="J523" s="12"/>
      <c r="K523" s="12"/>
      <c r="L523" s="3"/>
    </row>
    <row r="524">
      <c r="A524" s="17" t="str">
        <f t="shared" si="2"/>
        <v/>
      </c>
      <c r="B524" s="12"/>
      <c r="C524" s="12"/>
      <c r="D524" s="12"/>
      <c r="E524" s="13" t="str">
        <f>IF(D524&lt;&gt;"",VLOOKUP(D524,Settings!$G$3:$H$6,2,false),"")</f>
        <v/>
      </c>
      <c r="F524" s="15"/>
      <c r="G524" s="15"/>
      <c r="H524" s="12" t="str">
        <f>IF(G524&lt;&gt;"",VLOOKUP(G524,Settings!$B$4:$C$35,2,false),"")</f>
        <v/>
      </c>
      <c r="I524" s="12"/>
      <c r="J524" s="12"/>
      <c r="K524" s="12"/>
      <c r="L524" s="3"/>
    </row>
    <row r="525">
      <c r="A525" s="17" t="str">
        <f t="shared" si="2"/>
        <v/>
      </c>
      <c r="B525" s="12"/>
      <c r="C525" s="12"/>
      <c r="D525" s="12"/>
      <c r="E525" s="13" t="str">
        <f>IF(D525&lt;&gt;"",VLOOKUP(D525,Settings!$G$3:$H$6,2,false),"")</f>
        <v/>
      </c>
      <c r="F525" s="15"/>
      <c r="G525" s="15"/>
      <c r="H525" s="12" t="str">
        <f>IF(G525&lt;&gt;"",VLOOKUP(G525,Settings!$B$4:$C$35,2,false),"")</f>
        <v/>
      </c>
      <c r="I525" s="12"/>
      <c r="J525" s="12"/>
      <c r="K525" s="12"/>
      <c r="L525" s="3"/>
    </row>
    <row r="526">
      <c r="A526" s="17" t="str">
        <f t="shared" si="2"/>
        <v/>
      </c>
      <c r="B526" s="12"/>
      <c r="C526" s="12"/>
      <c r="D526" s="12"/>
      <c r="E526" s="13" t="str">
        <f>IF(D526&lt;&gt;"",VLOOKUP(D526,Settings!$G$3:$H$6,2,false),"")</f>
        <v/>
      </c>
      <c r="F526" s="15"/>
      <c r="G526" s="15"/>
      <c r="H526" s="12" t="str">
        <f>IF(G526&lt;&gt;"",VLOOKUP(G526,Settings!$B$4:$C$35,2,false),"")</f>
        <v/>
      </c>
      <c r="I526" s="12"/>
      <c r="J526" s="12"/>
      <c r="K526" s="12"/>
      <c r="L526" s="3"/>
    </row>
    <row r="527">
      <c r="A527" s="17" t="str">
        <f t="shared" si="2"/>
        <v/>
      </c>
      <c r="B527" s="12"/>
      <c r="C527" s="12"/>
      <c r="D527" s="12"/>
      <c r="E527" s="13" t="str">
        <f>IF(D527&lt;&gt;"",VLOOKUP(D527,Settings!$G$3:$H$6,2,false),"")</f>
        <v/>
      </c>
      <c r="F527" s="15"/>
      <c r="G527" s="15"/>
      <c r="H527" s="12" t="str">
        <f>IF(G527&lt;&gt;"",VLOOKUP(G527,Settings!$B$4:$C$35,2,false),"")</f>
        <v/>
      </c>
      <c r="I527" s="12"/>
      <c r="J527" s="12"/>
      <c r="K527" s="12"/>
      <c r="L527" s="3"/>
    </row>
    <row r="528">
      <c r="A528" s="17" t="str">
        <f t="shared" si="2"/>
        <v/>
      </c>
      <c r="B528" s="12"/>
      <c r="C528" s="12"/>
      <c r="D528" s="12"/>
      <c r="E528" s="13" t="str">
        <f>IF(D528&lt;&gt;"",VLOOKUP(D528,Settings!$G$3:$H$6,2,false),"")</f>
        <v/>
      </c>
      <c r="F528" s="15"/>
      <c r="G528" s="15"/>
      <c r="H528" s="12" t="str">
        <f>IF(G528&lt;&gt;"",VLOOKUP(G528,Settings!$B$4:$C$35,2,false),"")</f>
        <v/>
      </c>
      <c r="I528" s="12"/>
      <c r="J528" s="12"/>
      <c r="K528" s="12"/>
      <c r="L528" s="3"/>
    </row>
    <row r="529">
      <c r="A529" s="17" t="str">
        <f t="shared" si="2"/>
        <v/>
      </c>
      <c r="B529" s="12"/>
      <c r="C529" s="12"/>
      <c r="D529" s="12"/>
      <c r="E529" s="13" t="str">
        <f>IF(D529&lt;&gt;"",VLOOKUP(D529,Settings!$G$3:$H$6,2,false),"")</f>
        <v/>
      </c>
      <c r="F529" s="15"/>
      <c r="G529" s="15"/>
      <c r="H529" s="12" t="str">
        <f>IF(G529&lt;&gt;"",VLOOKUP(G529,Settings!$B$4:$C$35,2,false),"")</f>
        <v/>
      </c>
      <c r="I529" s="12"/>
      <c r="J529" s="12"/>
      <c r="K529" s="12"/>
      <c r="L529" s="3"/>
    </row>
    <row r="530">
      <c r="A530" s="17" t="str">
        <f t="shared" si="2"/>
        <v/>
      </c>
      <c r="B530" s="12"/>
      <c r="C530" s="12"/>
      <c r="D530" s="12"/>
      <c r="E530" s="13" t="str">
        <f>IF(D530&lt;&gt;"",VLOOKUP(D530,Settings!$G$3:$H$6,2,false),"")</f>
        <v/>
      </c>
      <c r="F530" s="15"/>
      <c r="G530" s="15"/>
      <c r="H530" s="12" t="str">
        <f>IF(G530&lt;&gt;"",VLOOKUP(G530,Settings!$B$4:$C$35,2,false),"")</f>
        <v/>
      </c>
      <c r="I530" s="12"/>
      <c r="J530" s="12"/>
      <c r="K530" s="12"/>
      <c r="L530" s="3"/>
    </row>
    <row r="531">
      <c r="A531" s="17" t="str">
        <f t="shared" si="2"/>
        <v/>
      </c>
      <c r="B531" s="12"/>
      <c r="C531" s="12"/>
      <c r="D531" s="12"/>
      <c r="E531" s="13" t="str">
        <f>IF(D531&lt;&gt;"",VLOOKUP(D531,Settings!$G$3:$H$6,2,false),"")</f>
        <v/>
      </c>
      <c r="F531" s="15"/>
      <c r="G531" s="15"/>
      <c r="H531" s="12" t="str">
        <f>IF(G531&lt;&gt;"",VLOOKUP(G531,Settings!$B$4:$C$35,2,false),"")</f>
        <v/>
      </c>
      <c r="I531" s="12"/>
      <c r="J531" s="12"/>
      <c r="K531" s="12"/>
      <c r="L531" s="3"/>
    </row>
    <row r="532">
      <c r="A532" s="17" t="str">
        <f t="shared" si="2"/>
        <v/>
      </c>
      <c r="B532" s="12"/>
      <c r="C532" s="12"/>
      <c r="D532" s="12"/>
      <c r="E532" s="13" t="str">
        <f>IF(D532&lt;&gt;"",VLOOKUP(D532,Settings!$G$3:$H$6,2,false),"")</f>
        <v/>
      </c>
      <c r="F532" s="15"/>
      <c r="G532" s="15"/>
      <c r="H532" s="12" t="str">
        <f>IF(G532&lt;&gt;"",VLOOKUP(G532,Settings!$B$4:$C$35,2,false),"")</f>
        <v/>
      </c>
      <c r="I532" s="12"/>
      <c r="J532" s="12"/>
      <c r="K532" s="12"/>
      <c r="L532" s="3"/>
    </row>
    <row r="533">
      <c r="A533" s="17" t="str">
        <f t="shared" si="2"/>
        <v/>
      </c>
      <c r="B533" s="12"/>
      <c r="C533" s="12"/>
      <c r="D533" s="12"/>
      <c r="E533" s="13" t="str">
        <f>IF(D533&lt;&gt;"",VLOOKUP(D533,Settings!$G$3:$H$6,2,false),"")</f>
        <v/>
      </c>
      <c r="F533" s="15"/>
      <c r="G533" s="15"/>
      <c r="H533" s="12" t="str">
        <f>IF(G533&lt;&gt;"",VLOOKUP(G533,Settings!$B$4:$C$35,2,false),"")</f>
        <v/>
      </c>
      <c r="I533" s="12"/>
      <c r="J533" s="12"/>
      <c r="K533" s="12"/>
      <c r="L533" s="3"/>
    </row>
    <row r="534">
      <c r="A534" s="17" t="str">
        <f t="shared" si="2"/>
        <v/>
      </c>
      <c r="B534" s="12"/>
      <c r="C534" s="12"/>
      <c r="D534" s="12"/>
      <c r="E534" s="13" t="str">
        <f>IF(D534&lt;&gt;"",VLOOKUP(D534,Settings!$G$3:$H$6,2,false),"")</f>
        <v/>
      </c>
      <c r="F534" s="15"/>
      <c r="G534" s="15"/>
      <c r="H534" s="12" t="str">
        <f>IF(G534&lt;&gt;"",VLOOKUP(G534,Settings!$B$4:$C$35,2,false),"")</f>
        <v/>
      </c>
      <c r="I534" s="12"/>
      <c r="J534" s="12"/>
      <c r="K534" s="12"/>
      <c r="L534" s="3"/>
    </row>
    <row r="535">
      <c r="A535" s="17" t="str">
        <f t="shared" si="2"/>
        <v/>
      </c>
      <c r="B535" s="12"/>
      <c r="C535" s="12"/>
      <c r="D535" s="12"/>
      <c r="E535" s="13" t="str">
        <f>IF(D535&lt;&gt;"",VLOOKUP(D535,Settings!$G$3:$H$6,2,false),"")</f>
        <v/>
      </c>
      <c r="F535" s="15"/>
      <c r="G535" s="15"/>
      <c r="H535" s="12" t="str">
        <f>IF(G535&lt;&gt;"",VLOOKUP(G535,Settings!$B$4:$C$35,2,false),"")</f>
        <v/>
      </c>
      <c r="I535" s="12"/>
      <c r="J535" s="12"/>
      <c r="K535" s="12"/>
      <c r="L535" s="3"/>
    </row>
    <row r="536">
      <c r="A536" s="17" t="str">
        <f t="shared" si="2"/>
        <v/>
      </c>
      <c r="B536" s="12"/>
      <c r="C536" s="12"/>
      <c r="D536" s="12"/>
      <c r="E536" s="13" t="str">
        <f>IF(D536&lt;&gt;"",VLOOKUP(D536,Settings!$G$3:$H$6,2,false),"")</f>
        <v/>
      </c>
      <c r="F536" s="15"/>
      <c r="G536" s="15"/>
      <c r="H536" s="12" t="str">
        <f>IF(G536&lt;&gt;"",VLOOKUP(G536,Settings!$B$4:$C$35,2,false),"")</f>
        <v/>
      </c>
      <c r="I536" s="12"/>
      <c r="J536" s="12"/>
      <c r="K536" s="12"/>
      <c r="L536" s="3"/>
    </row>
    <row r="537">
      <c r="A537" s="17" t="str">
        <f t="shared" si="2"/>
        <v/>
      </c>
      <c r="B537" s="12"/>
      <c r="C537" s="12"/>
      <c r="D537" s="12"/>
      <c r="E537" s="13" t="str">
        <f>IF(D537&lt;&gt;"",VLOOKUP(D537,Settings!$G$3:$H$6,2,false),"")</f>
        <v/>
      </c>
      <c r="F537" s="15"/>
      <c r="G537" s="15"/>
      <c r="H537" s="12" t="str">
        <f>IF(G537&lt;&gt;"",VLOOKUP(G537,Settings!$B$4:$C$35,2,false),"")</f>
        <v/>
      </c>
      <c r="I537" s="12"/>
      <c r="J537" s="12"/>
      <c r="K537" s="12"/>
      <c r="L537" s="3"/>
    </row>
    <row r="538">
      <c r="A538" s="17" t="str">
        <f t="shared" si="2"/>
        <v/>
      </c>
      <c r="B538" s="12"/>
      <c r="C538" s="12"/>
      <c r="D538" s="12"/>
      <c r="E538" s="13" t="str">
        <f>IF(D538&lt;&gt;"",VLOOKUP(D538,Settings!$G$3:$H$6,2,false),"")</f>
        <v/>
      </c>
      <c r="F538" s="15"/>
      <c r="G538" s="15"/>
      <c r="H538" s="12" t="str">
        <f>IF(G538&lt;&gt;"",VLOOKUP(G538,Settings!$B$4:$C$35,2,false),"")</f>
        <v/>
      </c>
      <c r="I538" s="12"/>
      <c r="J538" s="12"/>
      <c r="K538" s="12"/>
      <c r="L538" s="3"/>
    </row>
    <row r="539">
      <c r="A539" s="17" t="str">
        <f t="shared" si="2"/>
        <v/>
      </c>
      <c r="B539" s="12"/>
      <c r="C539" s="12"/>
      <c r="D539" s="12"/>
      <c r="E539" s="13" t="str">
        <f>IF(D539&lt;&gt;"",VLOOKUP(D539,Settings!$G$3:$H$6,2,false),"")</f>
        <v/>
      </c>
      <c r="F539" s="15"/>
      <c r="G539" s="15"/>
      <c r="H539" s="12" t="str">
        <f>IF(G539&lt;&gt;"",VLOOKUP(G539,Settings!$B$4:$C$35,2,false),"")</f>
        <v/>
      </c>
      <c r="I539" s="12"/>
      <c r="J539" s="12"/>
      <c r="K539" s="12"/>
      <c r="L539" s="3"/>
    </row>
    <row r="540">
      <c r="A540" s="17" t="str">
        <f t="shared" si="2"/>
        <v/>
      </c>
      <c r="B540" s="12"/>
      <c r="C540" s="12"/>
      <c r="D540" s="12"/>
      <c r="E540" s="13" t="str">
        <f>IF(D540&lt;&gt;"",VLOOKUP(D540,Settings!$G$3:$H$6,2,false),"")</f>
        <v/>
      </c>
      <c r="F540" s="15"/>
      <c r="G540" s="15"/>
      <c r="H540" s="12" t="str">
        <f>IF(G540&lt;&gt;"",VLOOKUP(G540,Settings!$B$4:$C$35,2,false),"")</f>
        <v/>
      </c>
      <c r="I540" s="12"/>
      <c r="J540" s="12"/>
      <c r="K540" s="12"/>
      <c r="L540" s="3"/>
    </row>
    <row r="541">
      <c r="A541" s="17" t="str">
        <f t="shared" si="2"/>
        <v/>
      </c>
      <c r="B541" s="12"/>
      <c r="C541" s="12"/>
      <c r="D541" s="12"/>
      <c r="E541" s="13" t="str">
        <f>IF(D541&lt;&gt;"",VLOOKUP(D541,Settings!$G$3:$H$6,2,false),"")</f>
        <v/>
      </c>
      <c r="F541" s="15"/>
      <c r="G541" s="15"/>
      <c r="H541" s="12" t="str">
        <f>IF(G541&lt;&gt;"",VLOOKUP(G541,Settings!$B$4:$C$35,2,false),"")</f>
        <v/>
      </c>
      <c r="I541" s="12"/>
      <c r="J541" s="12"/>
      <c r="K541" s="12"/>
      <c r="L541" s="3"/>
    </row>
    <row r="542">
      <c r="A542" s="17" t="str">
        <f t="shared" si="2"/>
        <v/>
      </c>
      <c r="B542" s="12"/>
      <c r="C542" s="12"/>
      <c r="D542" s="12"/>
      <c r="E542" s="13" t="str">
        <f>IF(D542&lt;&gt;"",VLOOKUP(D542,Settings!$G$3:$H$6,2,false),"")</f>
        <v/>
      </c>
      <c r="F542" s="15"/>
      <c r="G542" s="15"/>
      <c r="H542" s="12" t="str">
        <f>IF(G542&lt;&gt;"",VLOOKUP(G542,Settings!$B$4:$C$35,2,false),"")</f>
        <v/>
      </c>
      <c r="I542" s="12"/>
      <c r="J542" s="12"/>
      <c r="K542" s="12"/>
      <c r="L542" s="3"/>
    </row>
    <row r="543">
      <c r="A543" s="17" t="str">
        <f t="shared" si="2"/>
        <v/>
      </c>
      <c r="B543" s="12"/>
      <c r="C543" s="12"/>
      <c r="D543" s="12"/>
      <c r="E543" s="13" t="str">
        <f>IF(D543&lt;&gt;"",VLOOKUP(D543,Settings!$G$3:$H$6,2,false),"")</f>
        <v/>
      </c>
      <c r="F543" s="15"/>
      <c r="G543" s="15"/>
      <c r="H543" s="12" t="str">
        <f>IF(G543&lt;&gt;"",VLOOKUP(G543,Settings!$B$4:$C$35,2,false),"")</f>
        <v/>
      </c>
      <c r="I543" s="12"/>
      <c r="J543" s="12"/>
      <c r="K543" s="12"/>
      <c r="L543" s="3"/>
    </row>
    <row r="544">
      <c r="A544" s="17" t="str">
        <f t="shared" si="2"/>
        <v/>
      </c>
      <c r="B544" s="12"/>
      <c r="C544" s="12"/>
      <c r="D544" s="12"/>
      <c r="E544" s="13" t="str">
        <f>IF(D544&lt;&gt;"",VLOOKUP(D544,Settings!$G$3:$H$6,2,false),"")</f>
        <v/>
      </c>
      <c r="F544" s="15"/>
      <c r="G544" s="15"/>
      <c r="H544" s="12" t="str">
        <f>IF(G544&lt;&gt;"",VLOOKUP(G544,Settings!$B$4:$C$35,2,false),"")</f>
        <v/>
      </c>
      <c r="I544" s="12"/>
      <c r="J544" s="12"/>
      <c r="K544" s="12"/>
      <c r="L544" s="3"/>
    </row>
    <row r="545">
      <c r="A545" s="17" t="str">
        <f t="shared" si="2"/>
        <v/>
      </c>
      <c r="B545" s="12"/>
      <c r="C545" s="12"/>
      <c r="D545" s="12"/>
      <c r="E545" s="13" t="str">
        <f>IF(D545&lt;&gt;"",VLOOKUP(D545,Settings!$G$3:$H$6,2,false),"")</f>
        <v/>
      </c>
      <c r="F545" s="15"/>
      <c r="G545" s="15"/>
      <c r="H545" s="12" t="str">
        <f>IF(G545&lt;&gt;"",VLOOKUP(G545,Settings!$B$4:$C$35,2,false),"")</f>
        <v/>
      </c>
      <c r="I545" s="12"/>
      <c r="J545" s="12"/>
      <c r="K545" s="12"/>
      <c r="L545" s="3"/>
    </row>
    <row r="546">
      <c r="A546" s="17" t="str">
        <f t="shared" si="2"/>
        <v/>
      </c>
      <c r="B546" s="12"/>
      <c r="C546" s="12"/>
      <c r="D546" s="12"/>
      <c r="E546" s="13" t="str">
        <f>IF(D546&lt;&gt;"",VLOOKUP(D546,Settings!$G$3:$H$6,2,false),"")</f>
        <v/>
      </c>
      <c r="F546" s="15"/>
      <c r="G546" s="15"/>
      <c r="H546" s="12" t="str">
        <f>IF(G546&lt;&gt;"",VLOOKUP(G546,Settings!$B$4:$C$35,2,false),"")</f>
        <v/>
      </c>
      <c r="I546" s="12"/>
      <c r="J546" s="12"/>
      <c r="K546" s="12"/>
      <c r="L546" s="3"/>
    </row>
    <row r="547">
      <c r="A547" s="17" t="str">
        <f t="shared" si="2"/>
        <v/>
      </c>
      <c r="B547" s="12"/>
      <c r="C547" s="12"/>
      <c r="D547" s="12"/>
      <c r="E547" s="13" t="str">
        <f>IF(D547&lt;&gt;"",VLOOKUP(D547,Settings!$G$3:$H$6,2,false),"")</f>
        <v/>
      </c>
      <c r="F547" s="15"/>
      <c r="G547" s="15"/>
      <c r="H547" s="12" t="str">
        <f>IF(G547&lt;&gt;"",VLOOKUP(G547,Settings!$B$4:$C$35,2,false),"")</f>
        <v/>
      </c>
      <c r="I547" s="12"/>
      <c r="J547" s="12"/>
      <c r="K547" s="12"/>
      <c r="L547" s="3"/>
    </row>
    <row r="548">
      <c r="A548" s="17" t="str">
        <f t="shared" si="2"/>
        <v/>
      </c>
      <c r="B548" s="12"/>
      <c r="C548" s="12"/>
      <c r="D548" s="12"/>
      <c r="E548" s="13" t="str">
        <f>IF(D548&lt;&gt;"",VLOOKUP(D548,Settings!$G$3:$H$6,2,false),"")</f>
        <v/>
      </c>
      <c r="F548" s="15"/>
      <c r="G548" s="15"/>
      <c r="H548" s="12" t="str">
        <f>IF(G548&lt;&gt;"",VLOOKUP(G548,Settings!$B$4:$C$35,2,false),"")</f>
        <v/>
      </c>
      <c r="I548" s="12"/>
      <c r="J548" s="12"/>
      <c r="K548" s="12"/>
      <c r="L548" s="3"/>
    </row>
    <row r="549">
      <c r="A549" s="17" t="str">
        <f t="shared" si="2"/>
        <v/>
      </c>
      <c r="B549" s="12"/>
      <c r="C549" s="12"/>
      <c r="D549" s="12"/>
      <c r="E549" s="13" t="str">
        <f>IF(D549&lt;&gt;"",VLOOKUP(D549,Settings!$G$3:$H$6,2,false),"")</f>
        <v/>
      </c>
      <c r="F549" s="15"/>
      <c r="G549" s="15"/>
      <c r="H549" s="12" t="str">
        <f>IF(G549&lt;&gt;"",VLOOKUP(G549,Settings!$B$4:$C$35,2,false),"")</f>
        <v/>
      </c>
      <c r="I549" s="12"/>
      <c r="J549" s="12"/>
      <c r="K549" s="12"/>
      <c r="L549" s="3"/>
    </row>
    <row r="550">
      <c r="A550" s="17" t="str">
        <f t="shared" si="2"/>
        <v/>
      </c>
      <c r="B550" s="12"/>
      <c r="C550" s="12"/>
      <c r="D550" s="12"/>
      <c r="E550" s="13" t="str">
        <f>IF(D550&lt;&gt;"",VLOOKUP(D550,Settings!$G$3:$H$6,2,false),"")</f>
        <v/>
      </c>
      <c r="F550" s="15"/>
      <c r="G550" s="15"/>
      <c r="H550" s="12" t="str">
        <f>IF(G550&lt;&gt;"",VLOOKUP(G550,Settings!$B$4:$C$35,2,false),"")</f>
        <v/>
      </c>
      <c r="I550" s="12"/>
      <c r="J550" s="12"/>
      <c r="K550" s="12"/>
      <c r="L550" s="3"/>
    </row>
    <row r="551">
      <c r="A551" s="17" t="str">
        <f t="shared" si="2"/>
        <v/>
      </c>
      <c r="B551" s="12"/>
      <c r="C551" s="12"/>
      <c r="D551" s="12"/>
      <c r="E551" s="13" t="str">
        <f>IF(D551&lt;&gt;"",VLOOKUP(D551,Settings!$G$3:$H$6,2,false),"")</f>
        <v/>
      </c>
      <c r="F551" s="15"/>
      <c r="G551" s="15"/>
      <c r="H551" s="12" t="str">
        <f>IF(G551&lt;&gt;"",VLOOKUP(G551,Settings!$B$4:$C$35,2,false),"")</f>
        <v/>
      </c>
      <c r="I551" s="12"/>
      <c r="J551" s="12"/>
      <c r="K551" s="12"/>
      <c r="L551" s="3"/>
    </row>
    <row r="552">
      <c r="A552" s="17" t="str">
        <f t="shared" si="2"/>
        <v/>
      </c>
      <c r="B552" s="12"/>
      <c r="C552" s="12"/>
      <c r="D552" s="12"/>
      <c r="E552" s="13" t="str">
        <f>IF(D552&lt;&gt;"",VLOOKUP(D552,Settings!$G$3:$H$6,2,false),"")</f>
        <v/>
      </c>
      <c r="F552" s="15"/>
      <c r="G552" s="15"/>
      <c r="H552" s="12" t="str">
        <f>IF(G552&lt;&gt;"",VLOOKUP(G552,Settings!$B$4:$C$35,2,false),"")</f>
        <v/>
      </c>
      <c r="I552" s="12"/>
      <c r="J552" s="12"/>
      <c r="K552" s="12"/>
      <c r="L552" s="3"/>
    </row>
  </sheetData>
  <autoFilter ref="$A$2:$L$311">
    <filterColumn colId="11">
      <filters blank="1"/>
    </filterColumn>
  </autoFilter>
  <conditionalFormatting sqref="J192:K192">
    <cfRule type="expression" dxfId="9" priority="1">
      <formula>$F191="Performer"</formula>
    </cfRule>
  </conditionalFormatting>
  <conditionalFormatting sqref="J192:K192">
    <cfRule type="expression" dxfId="10" priority="2">
      <formula>$F191="Relative"</formula>
    </cfRule>
  </conditionalFormatting>
  <conditionalFormatting sqref="J192:K192">
    <cfRule type="expression" dxfId="11" priority="3">
      <formula>$F191="Coordinator"</formula>
    </cfRule>
  </conditionalFormatting>
  <conditionalFormatting sqref="J192:K192">
    <cfRule type="expression" dxfId="12" priority="4">
      <formula>$F191="Performer / Coordinator"</formula>
    </cfRule>
  </conditionalFormatting>
  <conditionalFormatting sqref="J192:K192">
    <cfRule type="expression" dxfId="14" priority="5">
      <formula>$L191="Yes"</formula>
    </cfRule>
  </conditionalFormatting>
  <conditionalFormatting sqref="A3:I1000 J3:K190 L3:L1000 M191 J193:K1000 M217 M236">
    <cfRule type="expression" dxfId="14" priority="6">
      <formula>$L3="Yes"</formula>
    </cfRule>
  </conditionalFormatting>
  <conditionalFormatting sqref="A3:I552 J3:K190 L3:L552 M191 J193:K552 M217 M236">
    <cfRule type="expression" dxfId="9" priority="7">
      <formula>$F3="Performer"</formula>
    </cfRule>
  </conditionalFormatting>
  <conditionalFormatting sqref="A3:I552 J3:K190 L3:L552 M191 J193:K552 M217 M236">
    <cfRule type="expression" dxfId="10" priority="8">
      <formula>$F3="Relative"</formula>
    </cfRule>
  </conditionalFormatting>
  <conditionalFormatting sqref="A3:I552 J3:K190 L3:L552 M191 J193:K552 M217 M236">
    <cfRule type="expression" dxfId="11" priority="9">
      <formula>$F3="Coordinator"</formula>
    </cfRule>
  </conditionalFormatting>
  <conditionalFormatting sqref="A3:I552 J3:K190 L3:L552 M191 J193:K552 M217 M236">
    <cfRule type="expression" dxfId="12" priority="10">
      <formula>$F3="Performer / Coordinator"</formula>
    </cfRule>
  </conditionalFormatting>
  <conditionalFormatting sqref="B1:B1000">
    <cfRule type="expression" dxfId="15" priority="11">
      <formula>countif(B:B,B1)&gt;1</formula>
    </cfRule>
  </conditionalFormatting>
  <dataValidations>
    <dataValidation type="list" allowBlank="1" sqref="G3:G552">
      <formula1>Settings!$B$4:$B$30</formula1>
    </dataValidation>
    <dataValidation type="list" allowBlank="1" showErrorMessage="1" sqref="J3:J190 J192:J264 J266:J552">
      <formula1>Payment!$B$4:$B$26</formula1>
    </dataValidation>
    <dataValidation type="list" allowBlank="1" showInputMessage="1" prompt="If Coordinator performing too, please select &quot;Performer / Coordinator&quot;" sqref="F3:F552">
      <formula1>Settings!$E$3:$E$8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16.71"/>
    <col customWidth="1" min="3" max="3" width="21.57"/>
    <col customWidth="1" min="4" max="4" width="8.43"/>
    <col customWidth="1" min="5" max="5" width="12.14"/>
    <col customWidth="1" min="6" max="13" width="21.57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s="2"/>
      <c r="B2" s="1"/>
      <c r="C2" s="1"/>
      <c r="D2" s="1"/>
      <c r="E2" s="1"/>
      <c r="F2" s="1"/>
    </row>
    <row r="3">
      <c r="A3" s="2"/>
      <c r="B3" s="1"/>
      <c r="C3" s="1"/>
      <c r="D3" s="1"/>
      <c r="E3" s="1"/>
      <c r="F3" s="1"/>
      <c r="G3" s="1"/>
    </row>
    <row r="4">
      <c r="A4" s="2"/>
      <c r="B4" s="1"/>
      <c r="C4" s="1"/>
      <c r="D4" s="1"/>
      <c r="E4" s="1"/>
      <c r="F4" s="1"/>
      <c r="H4" s="1"/>
      <c r="I4" s="1"/>
      <c r="J4" s="1"/>
    </row>
    <row r="5">
      <c r="A5" s="2"/>
      <c r="H5" t="str">
        <f t="shared" ref="H5:H84" si="1">PROPER(B5)</f>
        <v/>
      </c>
      <c r="I5" t="str">
        <f t="shared" ref="I5:I533" si="2">IF(B5&lt;&gt;"",REPLACE(B5,1,FIND(LEFT(TRIM(B5),1),B5)-1,""),"")</f>
        <v/>
      </c>
      <c r="J5" t="str">
        <f t="array" ref="J5">IFERROR(REPLACE(B5,MAX(INDEX((MID(B5,ROW(B5:INDEX(B:B,LEN(B5))),1)
&lt;&gt;" ")*ROW(B5:INDEX(B:B,LEN(B5))),,))+1,LEN(B5),""),"")</f>
        <v/>
      </c>
    </row>
    <row r="6">
      <c r="A6" s="2"/>
      <c r="H6" t="str">
        <f t="shared" si="1"/>
        <v/>
      </c>
      <c r="I6" t="str">
        <f t="shared" si="2"/>
        <v/>
      </c>
    </row>
    <row r="7">
      <c r="A7" s="2"/>
      <c r="H7" t="str">
        <f t="shared" si="1"/>
        <v/>
      </c>
      <c r="I7" t="str">
        <f t="shared" si="2"/>
        <v/>
      </c>
    </row>
    <row r="8">
      <c r="A8" s="2"/>
      <c r="H8" t="str">
        <f t="shared" si="1"/>
        <v/>
      </c>
      <c r="I8" t="str">
        <f t="shared" si="2"/>
        <v/>
      </c>
    </row>
    <row r="9">
      <c r="A9" s="2"/>
      <c r="H9" t="str">
        <f t="shared" si="1"/>
        <v/>
      </c>
      <c r="I9" t="str">
        <f t="shared" si="2"/>
        <v/>
      </c>
    </row>
    <row r="10">
      <c r="A10" s="2"/>
      <c r="H10" t="str">
        <f t="shared" si="1"/>
        <v/>
      </c>
      <c r="I10" t="str">
        <f t="shared" si="2"/>
        <v/>
      </c>
    </row>
    <row r="11">
      <c r="A11" s="2"/>
      <c r="H11" t="str">
        <f t="shared" si="1"/>
        <v/>
      </c>
      <c r="I11" t="str">
        <f t="shared" si="2"/>
        <v/>
      </c>
    </row>
    <row r="12">
      <c r="A12" s="2"/>
      <c r="H12" t="str">
        <f t="shared" si="1"/>
        <v/>
      </c>
      <c r="I12" t="str">
        <f t="shared" si="2"/>
        <v/>
      </c>
    </row>
    <row r="13">
      <c r="A13" s="2"/>
      <c r="H13" t="str">
        <f t="shared" si="1"/>
        <v/>
      </c>
      <c r="I13" t="str">
        <f t="shared" si="2"/>
        <v/>
      </c>
    </row>
    <row r="14">
      <c r="A14" s="2"/>
      <c r="H14" t="str">
        <f t="shared" si="1"/>
        <v/>
      </c>
      <c r="I14" t="str">
        <f t="shared" si="2"/>
        <v/>
      </c>
    </row>
    <row r="15">
      <c r="A15" s="2"/>
      <c r="H15" t="str">
        <f t="shared" si="1"/>
        <v/>
      </c>
      <c r="I15" t="str">
        <f t="shared" si="2"/>
        <v/>
      </c>
    </row>
    <row r="16">
      <c r="A16" s="2"/>
      <c r="H16" t="str">
        <f t="shared" si="1"/>
        <v/>
      </c>
      <c r="I16" t="str">
        <f t="shared" si="2"/>
        <v/>
      </c>
    </row>
    <row r="17">
      <c r="A17" s="2"/>
      <c r="H17" t="str">
        <f t="shared" si="1"/>
        <v/>
      </c>
      <c r="I17" t="str">
        <f t="shared" si="2"/>
        <v/>
      </c>
    </row>
    <row r="18">
      <c r="A18" s="2"/>
      <c r="H18" t="str">
        <f t="shared" si="1"/>
        <v/>
      </c>
      <c r="I18" t="str">
        <f t="shared" si="2"/>
        <v/>
      </c>
    </row>
    <row r="19">
      <c r="A19" s="2"/>
      <c r="H19" t="str">
        <f t="shared" si="1"/>
        <v/>
      </c>
      <c r="I19" t="str">
        <f t="shared" si="2"/>
        <v/>
      </c>
    </row>
    <row r="20">
      <c r="A20" s="2"/>
      <c r="H20" t="str">
        <f t="shared" si="1"/>
        <v/>
      </c>
      <c r="I20" t="str">
        <f t="shared" si="2"/>
        <v/>
      </c>
    </row>
    <row r="21">
      <c r="A21" s="2"/>
      <c r="H21" t="str">
        <f t="shared" si="1"/>
        <v/>
      </c>
      <c r="I21" t="str">
        <f t="shared" si="2"/>
        <v/>
      </c>
    </row>
    <row r="22">
      <c r="A22" s="2"/>
      <c r="H22" t="str">
        <f t="shared" si="1"/>
        <v/>
      </c>
      <c r="I22" t="str">
        <f t="shared" si="2"/>
        <v/>
      </c>
    </row>
    <row r="23">
      <c r="A23" s="2"/>
      <c r="H23" t="str">
        <f t="shared" si="1"/>
        <v/>
      </c>
      <c r="I23" t="str">
        <f t="shared" si="2"/>
        <v/>
      </c>
    </row>
    <row r="24">
      <c r="A24" s="2"/>
      <c r="H24" t="str">
        <f t="shared" si="1"/>
        <v/>
      </c>
      <c r="I24" t="str">
        <f t="shared" si="2"/>
        <v/>
      </c>
    </row>
    <row r="25">
      <c r="A25" s="2"/>
      <c r="H25" t="str">
        <f t="shared" si="1"/>
        <v/>
      </c>
      <c r="I25" t="str">
        <f t="shared" si="2"/>
        <v/>
      </c>
    </row>
    <row r="26">
      <c r="A26" s="2"/>
      <c r="H26" t="str">
        <f t="shared" si="1"/>
        <v/>
      </c>
      <c r="I26" t="str">
        <f t="shared" si="2"/>
        <v/>
      </c>
    </row>
    <row r="27">
      <c r="A27" s="2"/>
      <c r="H27" t="str">
        <f t="shared" si="1"/>
        <v/>
      </c>
      <c r="I27" t="str">
        <f t="shared" si="2"/>
        <v/>
      </c>
    </row>
    <row r="28">
      <c r="A28" s="2"/>
      <c r="H28" t="str">
        <f t="shared" si="1"/>
        <v/>
      </c>
      <c r="I28" t="str">
        <f t="shared" si="2"/>
        <v/>
      </c>
    </row>
    <row r="29">
      <c r="A29" s="2"/>
      <c r="H29" t="str">
        <f t="shared" si="1"/>
        <v/>
      </c>
      <c r="I29" t="str">
        <f t="shared" si="2"/>
        <v/>
      </c>
    </row>
    <row r="30">
      <c r="A30" s="2"/>
      <c r="H30" t="str">
        <f t="shared" si="1"/>
        <v/>
      </c>
      <c r="I30" t="str">
        <f t="shared" si="2"/>
        <v/>
      </c>
    </row>
    <row r="31">
      <c r="A31" s="2"/>
      <c r="H31" t="str">
        <f t="shared" si="1"/>
        <v/>
      </c>
      <c r="I31" t="str">
        <f t="shared" si="2"/>
        <v/>
      </c>
    </row>
    <row r="32">
      <c r="A32" s="2"/>
      <c r="H32" t="str">
        <f t="shared" si="1"/>
        <v/>
      </c>
      <c r="I32" t="str">
        <f t="shared" si="2"/>
        <v/>
      </c>
    </row>
    <row r="33">
      <c r="A33" s="2"/>
      <c r="H33" t="str">
        <f t="shared" si="1"/>
        <v/>
      </c>
      <c r="I33" t="str">
        <f t="shared" si="2"/>
        <v/>
      </c>
    </row>
    <row r="34">
      <c r="A34" s="2"/>
      <c r="H34" t="str">
        <f t="shared" si="1"/>
        <v/>
      </c>
      <c r="I34" t="str">
        <f t="shared" si="2"/>
        <v/>
      </c>
    </row>
    <row r="35">
      <c r="A35" s="2"/>
      <c r="H35" t="str">
        <f t="shared" si="1"/>
        <v/>
      </c>
      <c r="I35" t="str">
        <f t="shared" si="2"/>
        <v/>
      </c>
    </row>
    <row r="36">
      <c r="A36" s="2"/>
      <c r="H36" t="str">
        <f t="shared" si="1"/>
        <v/>
      </c>
      <c r="I36" t="str">
        <f t="shared" si="2"/>
        <v/>
      </c>
    </row>
    <row r="37">
      <c r="A37" s="2"/>
      <c r="H37" t="str">
        <f t="shared" si="1"/>
        <v/>
      </c>
      <c r="I37" t="str">
        <f t="shared" si="2"/>
        <v/>
      </c>
    </row>
    <row r="38">
      <c r="A38" s="2"/>
      <c r="H38" t="str">
        <f t="shared" si="1"/>
        <v/>
      </c>
      <c r="I38" t="str">
        <f t="shared" si="2"/>
        <v/>
      </c>
    </row>
    <row r="39">
      <c r="A39" s="2"/>
      <c r="H39" t="str">
        <f t="shared" si="1"/>
        <v/>
      </c>
      <c r="I39" t="str">
        <f t="shared" si="2"/>
        <v/>
      </c>
    </row>
    <row r="40">
      <c r="A40" s="2"/>
      <c r="H40" t="str">
        <f t="shared" si="1"/>
        <v/>
      </c>
      <c r="I40" t="str">
        <f t="shared" si="2"/>
        <v/>
      </c>
    </row>
    <row r="41">
      <c r="A41" s="2"/>
      <c r="H41" t="str">
        <f t="shared" si="1"/>
        <v/>
      </c>
      <c r="I41" t="str">
        <f t="shared" si="2"/>
        <v/>
      </c>
    </row>
    <row r="42">
      <c r="A42" s="2"/>
      <c r="H42" t="str">
        <f t="shared" si="1"/>
        <v/>
      </c>
      <c r="I42" t="str">
        <f t="shared" si="2"/>
        <v/>
      </c>
    </row>
    <row r="43">
      <c r="A43" s="2"/>
      <c r="H43" t="str">
        <f t="shared" si="1"/>
        <v/>
      </c>
      <c r="I43" t="str">
        <f t="shared" si="2"/>
        <v/>
      </c>
    </row>
    <row r="44">
      <c r="A44" s="2"/>
      <c r="H44" t="str">
        <f t="shared" si="1"/>
        <v/>
      </c>
      <c r="I44" t="str">
        <f t="shared" si="2"/>
        <v/>
      </c>
    </row>
    <row r="45">
      <c r="A45" s="2"/>
      <c r="H45" t="str">
        <f t="shared" si="1"/>
        <v/>
      </c>
      <c r="I45" t="str">
        <f t="shared" si="2"/>
        <v/>
      </c>
    </row>
    <row r="46">
      <c r="A46" s="2"/>
      <c r="H46" t="str">
        <f t="shared" si="1"/>
        <v/>
      </c>
      <c r="I46" t="str">
        <f t="shared" si="2"/>
        <v/>
      </c>
    </row>
    <row r="47">
      <c r="A47" s="2"/>
      <c r="H47" t="str">
        <f t="shared" si="1"/>
        <v/>
      </c>
      <c r="I47" t="str">
        <f t="shared" si="2"/>
        <v/>
      </c>
    </row>
    <row r="48">
      <c r="A48" s="2"/>
      <c r="H48" t="str">
        <f t="shared" si="1"/>
        <v/>
      </c>
      <c r="I48" t="str">
        <f t="shared" si="2"/>
        <v/>
      </c>
    </row>
    <row r="49">
      <c r="A49" s="2"/>
      <c r="H49" t="str">
        <f t="shared" si="1"/>
        <v/>
      </c>
      <c r="I49" t="str">
        <f t="shared" si="2"/>
        <v/>
      </c>
    </row>
    <row r="50">
      <c r="A50" s="2"/>
      <c r="H50" t="str">
        <f t="shared" si="1"/>
        <v/>
      </c>
      <c r="I50" t="str">
        <f t="shared" si="2"/>
        <v/>
      </c>
    </row>
    <row r="51">
      <c r="A51" s="2"/>
      <c r="H51" t="str">
        <f t="shared" si="1"/>
        <v/>
      </c>
      <c r="I51" t="str">
        <f t="shared" si="2"/>
        <v/>
      </c>
    </row>
    <row r="52">
      <c r="A52" s="2"/>
      <c r="H52" t="str">
        <f t="shared" si="1"/>
        <v/>
      </c>
      <c r="I52" t="str">
        <f t="shared" si="2"/>
        <v/>
      </c>
    </row>
    <row r="53">
      <c r="A53" s="2"/>
      <c r="H53" t="str">
        <f t="shared" si="1"/>
        <v/>
      </c>
      <c r="I53" t="str">
        <f t="shared" si="2"/>
        <v/>
      </c>
    </row>
    <row r="54">
      <c r="A54" s="2"/>
      <c r="H54" t="str">
        <f t="shared" si="1"/>
        <v/>
      </c>
      <c r="I54" t="str">
        <f t="shared" si="2"/>
        <v/>
      </c>
    </row>
    <row r="55">
      <c r="A55" s="2"/>
      <c r="H55" t="str">
        <f t="shared" si="1"/>
        <v/>
      </c>
      <c r="I55" t="str">
        <f t="shared" si="2"/>
        <v/>
      </c>
    </row>
    <row r="56">
      <c r="A56" s="2"/>
      <c r="H56" t="str">
        <f t="shared" si="1"/>
        <v/>
      </c>
      <c r="I56" t="str">
        <f t="shared" si="2"/>
        <v/>
      </c>
    </row>
    <row r="57">
      <c r="A57" s="2"/>
      <c r="H57" t="str">
        <f t="shared" si="1"/>
        <v/>
      </c>
      <c r="I57" t="str">
        <f t="shared" si="2"/>
        <v/>
      </c>
    </row>
    <row r="58">
      <c r="A58" s="2"/>
      <c r="H58" t="str">
        <f t="shared" si="1"/>
        <v/>
      </c>
      <c r="I58" t="str">
        <f t="shared" si="2"/>
        <v/>
      </c>
    </row>
    <row r="59">
      <c r="A59" s="2"/>
      <c r="H59" t="str">
        <f t="shared" si="1"/>
        <v/>
      </c>
      <c r="I59" t="str">
        <f t="shared" si="2"/>
        <v/>
      </c>
    </row>
    <row r="60">
      <c r="A60" s="2"/>
      <c r="H60" t="str">
        <f t="shared" si="1"/>
        <v/>
      </c>
      <c r="I60" t="str">
        <f t="shared" si="2"/>
        <v/>
      </c>
    </row>
    <row r="61">
      <c r="A61" s="2"/>
      <c r="H61" t="str">
        <f t="shared" si="1"/>
        <v/>
      </c>
      <c r="I61" t="str">
        <f t="shared" si="2"/>
        <v/>
      </c>
    </row>
    <row r="62">
      <c r="A62" s="2"/>
      <c r="H62" t="str">
        <f t="shared" si="1"/>
        <v/>
      </c>
      <c r="I62" t="str">
        <f t="shared" si="2"/>
        <v/>
      </c>
    </row>
    <row r="63">
      <c r="A63" s="2"/>
      <c r="H63" t="str">
        <f t="shared" si="1"/>
        <v/>
      </c>
      <c r="I63" t="str">
        <f t="shared" si="2"/>
        <v/>
      </c>
    </row>
    <row r="64">
      <c r="A64" s="2"/>
      <c r="H64" t="str">
        <f t="shared" si="1"/>
        <v/>
      </c>
      <c r="I64" t="str">
        <f t="shared" si="2"/>
        <v/>
      </c>
    </row>
    <row r="65">
      <c r="A65" s="2"/>
      <c r="H65" t="str">
        <f t="shared" si="1"/>
        <v/>
      </c>
      <c r="I65" t="str">
        <f t="shared" si="2"/>
        <v/>
      </c>
    </row>
    <row r="66">
      <c r="A66" s="2"/>
      <c r="H66" t="str">
        <f t="shared" si="1"/>
        <v/>
      </c>
      <c r="I66" t="str">
        <f t="shared" si="2"/>
        <v/>
      </c>
    </row>
    <row r="67">
      <c r="A67" s="2"/>
      <c r="H67" t="str">
        <f t="shared" si="1"/>
        <v/>
      </c>
      <c r="I67" t="str">
        <f t="shared" si="2"/>
        <v/>
      </c>
    </row>
    <row r="68">
      <c r="A68" s="2"/>
      <c r="H68" t="str">
        <f t="shared" si="1"/>
        <v/>
      </c>
      <c r="I68" t="str">
        <f t="shared" si="2"/>
        <v/>
      </c>
    </row>
    <row r="69">
      <c r="A69" s="2"/>
      <c r="H69" t="str">
        <f t="shared" si="1"/>
        <v/>
      </c>
      <c r="I69" t="str">
        <f t="shared" si="2"/>
        <v/>
      </c>
    </row>
    <row r="70">
      <c r="A70" s="2"/>
      <c r="H70" t="str">
        <f t="shared" si="1"/>
        <v/>
      </c>
      <c r="I70" t="str">
        <f t="shared" si="2"/>
        <v/>
      </c>
    </row>
    <row r="71">
      <c r="A71" s="2"/>
      <c r="H71" t="str">
        <f t="shared" si="1"/>
        <v/>
      </c>
      <c r="I71" t="str">
        <f t="shared" si="2"/>
        <v/>
      </c>
    </row>
    <row r="72">
      <c r="A72" s="2"/>
      <c r="H72" t="str">
        <f t="shared" si="1"/>
        <v/>
      </c>
      <c r="I72" t="str">
        <f t="shared" si="2"/>
        <v/>
      </c>
    </row>
    <row r="73">
      <c r="A73" s="2"/>
      <c r="H73" t="str">
        <f t="shared" si="1"/>
        <v/>
      </c>
      <c r="I73" t="str">
        <f t="shared" si="2"/>
        <v/>
      </c>
    </row>
    <row r="74">
      <c r="A74" s="2"/>
      <c r="H74" t="str">
        <f t="shared" si="1"/>
        <v/>
      </c>
      <c r="I74" t="str">
        <f t="shared" si="2"/>
        <v/>
      </c>
    </row>
    <row r="75">
      <c r="A75" s="2"/>
      <c r="H75" t="str">
        <f t="shared" si="1"/>
        <v/>
      </c>
      <c r="I75" t="str">
        <f t="shared" si="2"/>
        <v/>
      </c>
    </row>
    <row r="76">
      <c r="A76" s="2"/>
      <c r="H76" t="str">
        <f t="shared" si="1"/>
        <v/>
      </c>
      <c r="I76" t="str">
        <f t="shared" si="2"/>
        <v/>
      </c>
    </row>
    <row r="77">
      <c r="A77" s="2"/>
      <c r="H77" t="str">
        <f t="shared" si="1"/>
        <v/>
      </c>
      <c r="I77" t="str">
        <f t="shared" si="2"/>
        <v/>
      </c>
    </row>
    <row r="78">
      <c r="A78" s="2"/>
      <c r="H78" t="str">
        <f t="shared" si="1"/>
        <v/>
      </c>
      <c r="I78" t="str">
        <f t="shared" si="2"/>
        <v/>
      </c>
    </row>
    <row r="79">
      <c r="A79" s="2"/>
      <c r="H79" t="str">
        <f t="shared" si="1"/>
        <v/>
      </c>
      <c r="I79" t="str">
        <f t="shared" si="2"/>
        <v/>
      </c>
    </row>
    <row r="80">
      <c r="A80" s="2"/>
      <c r="H80" t="str">
        <f t="shared" si="1"/>
        <v/>
      </c>
      <c r="I80" t="str">
        <f t="shared" si="2"/>
        <v/>
      </c>
    </row>
    <row r="81">
      <c r="A81" s="2"/>
      <c r="H81" t="str">
        <f t="shared" si="1"/>
        <v/>
      </c>
      <c r="I81" t="str">
        <f t="shared" si="2"/>
        <v/>
      </c>
    </row>
    <row r="82">
      <c r="A82" s="2"/>
      <c r="H82" t="str">
        <f t="shared" si="1"/>
        <v/>
      </c>
      <c r="I82" t="str">
        <f t="shared" si="2"/>
        <v/>
      </c>
    </row>
    <row r="83">
      <c r="A83" s="2"/>
      <c r="H83" t="str">
        <f t="shared" si="1"/>
        <v/>
      </c>
      <c r="I83" t="str">
        <f t="shared" si="2"/>
        <v/>
      </c>
    </row>
    <row r="84">
      <c r="A84" s="2"/>
      <c r="H84" t="str">
        <f t="shared" si="1"/>
        <v/>
      </c>
      <c r="I84" t="str">
        <f t="shared" si="2"/>
        <v/>
      </c>
    </row>
    <row r="85">
      <c r="A85" s="2"/>
      <c r="I85" t="str">
        <f t="shared" si="2"/>
        <v/>
      </c>
    </row>
    <row r="86">
      <c r="A86" s="2"/>
      <c r="H86" t="str">
        <f t="shared" ref="H86:H444" si="3">PROPER(B86)</f>
        <v/>
      </c>
      <c r="I86" t="str">
        <f t="shared" si="2"/>
        <v/>
      </c>
    </row>
    <row r="87">
      <c r="A87" s="2"/>
      <c r="H87" t="str">
        <f t="shared" si="3"/>
        <v/>
      </c>
      <c r="I87" t="str">
        <f t="shared" si="2"/>
        <v/>
      </c>
    </row>
    <row r="88">
      <c r="A88" s="2"/>
      <c r="H88" t="str">
        <f t="shared" si="3"/>
        <v/>
      </c>
      <c r="I88" t="str">
        <f t="shared" si="2"/>
        <v/>
      </c>
    </row>
    <row r="89">
      <c r="A89" s="2"/>
      <c r="H89" t="str">
        <f t="shared" si="3"/>
        <v/>
      </c>
      <c r="I89" t="str">
        <f t="shared" si="2"/>
        <v/>
      </c>
    </row>
    <row r="90">
      <c r="A90" s="2"/>
      <c r="H90" t="str">
        <f t="shared" si="3"/>
        <v/>
      </c>
      <c r="I90" t="str">
        <f t="shared" si="2"/>
        <v/>
      </c>
    </row>
    <row r="91">
      <c r="A91" s="2"/>
      <c r="H91" t="str">
        <f t="shared" si="3"/>
        <v/>
      </c>
      <c r="I91" t="str">
        <f t="shared" si="2"/>
        <v/>
      </c>
    </row>
    <row r="92">
      <c r="A92" s="2"/>
      <c r="H92" t="str">
        <f t="shared" si="3"/>
        <v/>
      </c>
      <c r="I92" t="str">
        <f t="shared" si="2"/>
        <v/>
      </c>
    </row>
    <row r="93">
      <c r="A93" s="2"/>
      <c r="H93" t="str">
        <f t="shared" si="3"/>
        <v/>
      </c>
      <c r="I93" t="str">
        <f t="shared" si="2"/>
        <v/>
      </c>
    </row>
    <row r="94">
      <c r="A94" s="2"/>
      <c r="H94" t="str">
        <f t="shared" si="3"/>
        <v/>
      </c>
      <c r="I94" t="str">
        <f t="shared" si="2"/>
        <v/>
      </c>
    </row>
    <row r="95">
      <c r="A95" s="2"/>
      <c r="H95" t="str">
        <f t="shared" si="3"/>
        <v/>
      </c>
      <c r="I95" t="str">
        <f t="shared" si="2"/>
        <v/>
      </c>
    </row>
    <row r="96">
      <c r="A96" s="2"/>
      <c r="H96" t="str">
        <f t="shared" si="3"/>
        <v/>
      </c>
      <c r="I96" t="str">
        <f t="shared" si="2"/>
        <v/>
      </c>
    </row>
    <row r="97">
      <c r="A97" s="2"/>
      <c r="H97" t="str">
        <f t="shared" si="3"/>
        <v/>
      </c>
      <c r="I97" t="str">
        <f t="shared" si="2"/>
        <v/>
      </c>
    </row>
    <row r="98">
      <c r="A98" s="2"/>
      <c r="H98" t="str">
        <f t="shared" si="3"/>
        <v/>
      </c>
      <c r="I98" t="str">
        <f t="shared" si="2"/>
        <v/>
      </c>
    </row>
    <row r="99">
      <c r="A99" s="2"/>
      <c r="H99" t="str">
        <f t="shared" si="3"/>
        <v/>
      </c>
      <c r="I99" t="str">
        <f t="shared" si="2"/>
        <v/>
      </c>
    </row>
    <row r="100">
      <c r="A100" s="2"/>
      <c r="H100" t="str">
        <f t="shared" si="3"/>
        <v/>
      </c>
      <c r="I100" t="str">
        <f t="shared" si="2"/>
        <v/>
      </c>
    </row>
    <row r="101">
      <c r="A101" s="2"/>
      <c r="H101" t="str">
        <f t="shared" si="3"/>
        <v/>
      </c>
      <c r="I101" t="str">
        <f t="shared" si="2"/>
        <v/>
      </c>
    </row>
    <row r="102">
      <c r="A102" s="2"/>
      <c r="H102" t="str">
        <f t="shared" si="3"/>
        <v/>
      </c>
      <c r="I102" t="str">
        <f t="shared" si="2"/>
        <v/>
      </c>
    </row>
    <row r="103">
      <c r="A103" s="2"/>
      <c r="H103" t="str">
        <f t="shared" si="3"/>
        <v/>
      </c>
      <c r="I103" t="str">
        <f t="shared" si="2"/>
        <v/>
      </c>
    </row>
    <row r="104">
      <c r="A104" s="2"/>
      <c r="H104" t="str">
        <f t="shared" si="3"/>
        <v/>
      </c>
      <c r="I104" t="str">
        <f t="shared" si="2"/>
        <v/>
      </c>
    </row>
    <row r="105">
      <c r="A105" s="2"/>
      <c r="H105" t="str">
        <f t="shared" si="3"/>
        <v/>
      </c>
      <c r="I105" t="str">
        <f t="shared" si="2"/>
        <v/>
      </c>
    </row>
    <row r="106">
      <c r="A106" s="2"/>
      <c r="H106" t="str">
        <f t="shared" si="3"/>
        <v/>
      </c>
      <c r="I106" t="str">
        <f t="shared" si="2"/>
        <v/>
      </c>
    </row>
    <row r="107">
      <c r="A107" s="2"/>
      <c r="H107" t="str">
        <f t="shared" si="3"/>
        <v/>
      </c>
      <c r="I107" t="str">
        <f t="shared" si="2"/>
        <v/>
      </c>
    </row>
    <row r="108">
      <c r="A108" s="2"/>
      <c r="H108" t="str">
        <f t="shared" si="3"/>
        <v/>
      </c>
      <c r="I108" t="str">
        <f t="shared" si="2"/>
        <v/>
      </c>
    </row>
    <row r="109">
      <c r="A109" s="2"/>
      <c r="H109" t="str">
        <f t="shared" si="3"/>
        <v/>
      </c>
      <c r="I109" t="str">
        <f t="shared" si="2"/>
        <v/>
      </c>
    </row>
    <row r="110">
      <c r="A110" s="2"/>
      <c r="H110" t="str">
        <f t="shared" si="3"/>
        <v/>
      </c>
      <c r="I110" t="str">
        <f t="shared" si="2"/>
        <v/>
      </c>
    </row>
    <row r="111">
      <c r="A111" s="2"/>
      <c r="H111" t="str">
        <f t="shared" si="3"/>
        <v/>
      </c>
      <c r="I111" t="str">
        <f t="shared" si="2"/>
        <v/>
      </c>
    </row>
    <row r="112">
      <c r="A112" s="2"/>
      <c r="H112" t="str">
        <f t="shared" si="3"/>
        <v/>
      </c>
      <c r="I112" t="str">
        <f t="shared" si="2"/>
        <v/>
      </c>
    </row>
    <row r="113">
      <c r="A113" s="2"/>
      <c r="H113" t="str">
        <f t="shared" si="3"/>
        <v/>
      </c>
      <c r="I113" t="str">
        <f t="shared" si="2"/>
        <v/>
      </c>
    </row>
    <row r="114">
      <c r="A114" s="2"/>
      <c r="H114" t="str">
        <f t="shared" si="3"/>
        <v/>
      </c>
      <c r="I114" t="str">
        <f t="shared" si="2"/>
        <v/>
      </c>
    </row>
    <row r="115">
      <c r="A115" s="2"/>
      <c r="H115" t="str">
        <f t="shared" si="3"/>
        <v/>
      </c>
      <c r="I115" t="str">
        <f t="shared" si="2"/>
        <v/>
      </c>
    </row>
    <row r="116">
      <c r="A116" s="2"/>
      <c r="H116" t="str">
        <f t="shared" si="3"/>
        <v/>
      </c>
      <c r="I116" t="str">
        <f t="shared" si="2"/>
        <v/>
      </c>
    </row>
    <row r="117">
      <c r="A117" s="2"/>
      <c r="H117" t="str">
        <f t="shared" si="3"/>
        <v/>
      </c>
      <c r="I117" t="str">
        <f t="shared" si="2"/>
        <v/>
      </c>
    </row>
    <row r="118">
      <c r="A118" s="2"/>
      <c r="H118" t="str">
        <f t="shared" si="3"/>
        <v/>
      </c>
      <c r="I118" t="str">
        <f t="shared" si="2"/>
        <v/>
      </c>
    </row>
    <row r="119">
      <c r="A119" s="2"/>
      <c r="H119" t="str">
        <f t="shared" si="3"/>
        <v/>
      </c>
      <c r="I119" t="str">
        <f t="shared" si="2"/>
        <v/>
      </c>
    </row>
    <row r="120">
      <c r="A120" s="2"/>
      <c r="H120" t="str">
        <f t="shared" si="3"/>
        <v/>
      </c>
      <c r="I120" t="str">
        <f t="shared" si="2"/>
        <v/>
      </c>
    </row>
    <row r="121">
      <c r="A121" s="2"/>
      <c r="H121" t="str">
        <f t="shared" si="3"/>
        <v/>
      </c>
      <c r="I121" t="str">
        <f t="shared" si="2"/>
        <v/>
      </c>
    </row>
    <row r="122">
      <c r="A122" s="2"/>
      <c r="H122" t="str">
        <f t="shared" si="3"/>
        <v/>
      </c>
      <c r="I122" t="str">
        <f t="shared" si="2"/>
        <v/>
      </c>
    </row>
    <row r="123">
      <c r="A123" s="2"/>
      <c r="H123" t="str">
        <f t="shared" si="3"/>
        <v/>
      </c>
      <c r="I123" t="str">
        <f t="shared" si="2"/>
        <v/>
      </c>
    </row>
    <row r="124">
      <c r="A124" s="2"/>
      <c r="H124" t="str">
        <f t="shared" si="3"/>
        <v/>
      </c>
      <c r="I124" t="str">
        <f t="shared" si="2"/>
        <v/>
      </c>
    </row>
    <row r="125">
      <c r="A125" s="2"/>
      <c r="H125" t="str">
        <f t="shared" si="3"/>
        <v/>
      </c>
      <c r="I125" t="str">
        <f t="shared" si="2"/>
        <v/>
      </c>
    </row>
    <row r="126">
      <c r="A126" s="2"/>
      <c r="H126" t="str">
        <f t="shared" si="3"/>
        <v/>
      </c>
      <c r="I126" t="str">
        <f t="shared" si="2"/>
        <v/>
      </c>
    </row>
    <row r="127">
      <c r="A127" s="2"/>
      <c r="H127" t="str">
        <f t="shared" si="3"/>
        <v/>
      </c>
      <c r="I127" t="str">
        <f t="shared" si="2"/>
        <v/>
      </c>
    </row>
    <row r="128">
      <c r="A128" s="2"/>
      <c r="H128" t="str">
        <f t="shared" si="3"/>
        <v/>
      </c>
      <c r="I128" t="str">
        <f t="shared" si="2"/>
        <v/>
      </c>
    </row>
    <row r="129">
      <c r="A129" s="2"/>
      <c r="H129" t="str">
        <f t="shared" si="3"/>
        <v/>
      </c>
      <c r="I129" t="str">
        <f t="shared" si="2"/>
        <v/>
      </c>
    </row>
    <row r="130">
      <c r="A130" s="2"/>
      <c r="H130" t="str">
        <f t="shared" si="3"/>
        <v/>
      </c>
      <c r="I130" t="str">
        <f t="shared" si="2"/>
        <v/>
      </c>
    </row>
    <row r="131">
      <c r="A131" s="2"/>
      <c r="H131" t="str">
        <f t="shared" si="3"/>
        <v/>
      </c>
      <c r="I131" t="str">
        <f t="shared" si="2"/>
        <v/>
      </c>
    </row>
    <row r="132">
      <c r="A132" s="2"/>
      <c r="H132" t="str">
        <f t="shared" si="3"/>
        <v/>
      </c>
      <c r="I132" t="str">
        <f t="shared" si="2"/>
        <v/>
      </c>
    </row>
    <row r="133">
      <c r="A133" s="2"/>
      <c r="H133" t="str">
        <f t="shared" si="3"/>
        <v/>
      </c>
      <c r="I133" t="str">
        <f t="shared" si="2"/>
        <v/>
      </c>
    </row>
    <row r="134">
      <c r="A134" s="2"/>
      <c r="H134" t="str">
        <f t="shared" si="3"/>
        <v/>
      </c>
      <c r="I134" t="str">
        <f t="shared" si="2"/>
        <v/>
      </c>
    </row>
    <row r="135">
      <c r="A135" s="2"/>
      <c r="H135" t="str">
        <f t="shared" si="3"/>
        <v/>
      </c>
      <c r="I135" t="str">
        <f t="shared" si="2"/>
        <v/>
      </c>
    </row>
    <row r="136">
      <c r="A136" s="2"/>
      <c r="H136" t="str">
        <f t="shared" si="3"/>
        <v/>
      </c>
      <c r="I136" t="str">
        <f t="shared" si="2"/>
        <v/>
      </c>
    </row>
    <row r="137">
      <c r="A137" s="2"/>
      <c r="H137" t="str">
        <f t="shared" si="3"/>
        <v/>
      </c>
      <c r="I137" t="str">
        <f t="shared" si="2"/>
        <v/>
      </c>
    </row>
    <row r="138">
      <c r="A138" s="2"/>
      <c r="H138" t="str">
        <f t="shared" si="3"/>
        <v/>
      </c>
      <c r="I138" t="str">
        <f t="shared" si="2"/>
        <v/>
      </c>
    </row>
    <row r="139">
      <c r="A139" s="2"/>
      <c r="H139" t="str">
        <f t="shared" si="3"/>
        <v/>
      </c>
      <c r="I139" t="str">
        <f t="shared" si="2"/>
        <v/>
      </c>
    </row>
    <row r="140">
      <c r="A140" s="2"/>
      <c r="H140" t="str">
        <f t="shared" si="3"/>
        <v/>
      </c>
      <c r="I140" t="str">
        <f t="shared" si="2"/>
        <v/>
      </c>
    </row>
    <row r="141">
      <c r="A141" s="2"/>
      <c r="H141" t="str">
        <f t="shared" si="3"/>
        <v/>
      </c>
      <c r="I141" t="str">
        <f t="shared" si="2"/>
        <v/>
      </c>
    </row>
    <row r="142">
      <c r="A142" s="2"/>
      <c r="H142" t="str">
        <f t="shared" si="3"/>
        <v/>
      </c>
      <c r="I142" t="str">
        <f t="shared" si="2"/>
        <v/>
      </c>
    </row>
    <row r="143">
      <c r="A143" s="2"/>
      <c r="H143" t="str">
        <f t="shared" si="3"/>
        <v/>
      </c>
      <c r="I143" t="str">
        <f t="shared" si="2"/>
        <v/>
      </c>
    </row>
    <row r="144">
      <c r="A144" s="2"/>
      <c r="H144" t="str">
        <f t="shared" si="3"/>
        <v/>
      </c>
      <c r="I144" t="str">
        <f t="shared" si="2"/>
        <v/>
      </c>
    </row>
    <row r="145">
      <c r="A145" s="2"/>
      <c r="H145" t="str">
        <f t="shared" si="3"/>
        <v/>
      </c>
      <c r="I145" t="str">
        <f t="shared" si="2"/>
        <v/>
      </c>
    </row>
    <row r="146">
      <c r="A146" s="2"/>
      <c r="H146" t="str">
        <f t="shared" si="3"/>
        <v/>
      </c>
      <c r="I146" t="str">
        <f t="shared" si="2"/>
        <v/>
      </c>
    </row>
    <row r="147">
      <c r="A147" s="2"/>
      <c r="H147" t="str">
        <f t="shared" si="3"/>
        <v/>
      </c>
      <c r="I147" t="str">
        <f t="shared" si="2"/>
        <v/>
      </c>
    </row>
    <row r="148">
      <c r="A148" s="2"/>
      <c r="H148" t="str">
        <f t="shared" si="3"/>
        <v/>
      </c>
      <c r="I148" t="str">
        <f t="shared" si="2"/>
        <v/>
      </c>
    </row>
    <row r="149">
      <c r="A149" s="2"/>
      <c r="H149" t="str">
        <f t="shared" si="3"/>
        <v/>
      </c>
      <c r="I149" t="str">
        <f t="shared" si="2"/>
        <v/>
      </c>
    </row>
    <row r="150">
      <c r="A150" s="2"/>
      <c r="H150" t="str">
        <f t="shared" si="3"/>
        <v/>
      </c>
      <c r="I150" t="str">
        <f t="shared" si="2"/>
        <v/>
      </c>
    </row>
    <row r="151">
      <c r="A151" s="2"/>
      <c r="H151" t="str">
        <f t="shared" si="3"/>
        <v/>
      </c>
      <c r="I151" t="str">
        <f t="shared" si="2"/>
        <v/>
      </c>
    </row>
    <row r="152">
      <c r="A152" s="2"/>
      <c r="H152" t="str">
        <f t="shared" si="3"/>
        <v/>
      </c>
      <c r="I152" t="str">
        <f t="shared" si="2"/>
        <v/>
      </c>
    </row>
    <row r="153">
      <c r="A153" s="2"/>
      <c r="H153" t="str">
        <f t="shared" si="3"/>
        <v/>
      </c>
      <c r="I153" t="str">
        <f t="shared" si="2"/>
        <v/>
      </c>
    </row>
    <row r="154">
      <c r="A154" s="2"/>
      <c r="H154" t="str">
        <f t="shared" si="3"/>
        <v/>
      </c>
      <c r="I154" t="str">
        <f t="shared" si="2"/>
        <v/>
      </c>
    </row>
    <row r="155">
      <c r="A155" s="2"/>
      <c r="H155" t="str">
        <f t="shared" si="3"/>
        <v/>
      </c>
      <c r="I155" t="str">
        <f t="shared" si="2"/>
        <v/>
      </c>
    </row>
    <row r="156">
      <c r="A156" s="2"/>
      <c r="H156" t="str">
        <f t="shared" si="3"/>
        <v/>
      </c>
      <c r="I156" t="str">
        <f t="shared" si="2"/>
        <v/>
      </c>
    </row>
    <row r="157">
      <c r="A157" s="2"/>
      <c r="H157" t="str">
        <f t="shared" si="3"/>
        <v/>
      </c>
      <c r="I157" t="str">
        <f t="shared" si="2"/>
        <v/>
      </c>
    </row>
    <row r="158">
      <c r="A158" s="2"/>
      <c r="H158" t="str">
        <f t="shared" si="3"/>
        <v/>
      </c>
      <c r="I158" t="str">
        <f t="shared" si="2"/>
        <v/>
      </c>
    </row>
    <row r="159">
      <c r="A159" s="2"/>
      <c r="H159" t="str">
        <f t="shared" si="3"/>
        <v/>
      </c>
      <c r="I159" t="str">
        <f t="shared" si="2"/>
        <v/>
      </c>
    </row>
    <row r="160">
      <c r="A160" s="2"/>
      <c r="H160" t="str">
        <f t="shared" si="3"/>
        <v/>
      </c>
      <c r="I160" t="str">
        <f t="shared" si="2"/>
        <v/>
      </c>
    </row>
    <row r="161">
      <c r="A161" s="2"/>
      <c r="H161" t="str">
        <f t="shared" si="3"/>
        <v/>
      </c>
      <c r="I161" t="str">
        <f t="shared" si="2"/>
        <v/>
      </c>
    </row>
    <row r="162">
      <c r="A162" s="2"/>
      <c r="H162" t="str">
        <f t="shared" si="3"/>
        <v/>
      </c>
      <c r="I162" t="str">
        <f t="shared" si="2"/>
        <v/>
      </c>
    </row>
    <row r="163">
      <c r="A163" s="2"/>
      <c r="H163" t="str">
        <f t="shared" si="3"/>
        <v/>
      </c>
      <c r="I163" t="str">
        <f t="shared" si="2"/>
        <v/>
      </c>
    </row>
    <row r="164">
      <c r="A164" s="2"/>
      <c r="H164" t="str">
        <f t="shared" si="3"/>
        <v/>
      </c>
      <c r="I164" t="str">
        <f t="shared" si="2"/>
        <v/>
      </c>
    </row>
    <row r="165">
      <c r="A165" s="2"/>
      <c r="H165" t="str">
        <f t="shared" si="3"/>
        <v/>
      </c>
      <c r="I165" t="str">
        <f t="shared" si="2"/>
        <v/>
      </c>
    </row>
    <row r="166">
      <c r="A166" s="2"/>
      <c r="H166" t="str">
        <f t="shared" si="3"/>
        <v/>
      </c>
      <c r="I166" t="str">
        <f t="shared" si="2"/>
        <v/>
      </c>
    </row>
    <row r="167">
      <c r="A167" s="2"/>
      <c r="H167" t="str">
        <f t="shared" si="3"/>
        <v/>
      </c>
      <c r="I167" t="str">
        <f t="shared" si="2"/>
        <v/>
      </c>
    </row>
    <row r="168">
      <c r="A168" s="2"/>
      <c r="H168" t="str">
        <f t="shared" si="3"/>
        <v/>
      </c>
      <c r="I168" t="str">
        <f t="shared" si="2"/>
        <v/>
      </c>
    </row>
    <row r="169">
      <c r="A169" s="2"/>
      <c r="H169" t="str">
        <f t="shared" si="3"/>
        <v/>
      </c>
      <c r="I169" t="str">
        <f t="shared" si="2"/>
        <v/>
      </c>
    </row>
    <row r="170">
      <c r="A170" s="2"/>
      <c r="H170" t="str">
        <f t="shared" si="3"/>
        <v/>
      </c>
      <c r="I170" t="str">
        <f t="shared" si="2"/>
        <v/>
      </c>
    </row>
    <row r="171">
      <c r="A171" s="2"/>
      <c r="H171" t="str">
        <f t="shared" si="3"/>
        <v/>
      </c>
      <c r="I171" t="str">
        <f t="shared" si="2"/>
        <v/>
      </c>
    </row>
    <row r="172">
      <c r="A172" s="2"/>
      <c r="H172" t="str">
        <f t="shared" si="3"/>
        <v/>
      </c>
      <c r="I172" t="str">
        <f t="shared" si="2"/>
        <v/>
      </c>
    </row>
    <row r="173">
      <c r="A173" s="2"/>
      <c r="H173" t="str">
        <f t="shared" si="3"/>
        <v/>
      </c>
      <c r="I173" t="str">
        <f t="shared" si="2"/>
        <v/>
      </c>
    </row>
    <row r="174">
      <c r="A174" s="2"/>
      <c r="H174" t="str">
        <f t="shared" si="3"/>
        <v/>
      </c>
      <c r="I174" t="str">
        <f t="shared" si="2"/>
        <v/>
      </c>
    </row>
    <row r="175">
      <c r="A175" s="2"/>
      <c r="H175" t="str">
        <f t="shared" si="3"/>
        <v/>
      </c>
      <c r="I175" t="str">
        <f t="shared" si="2"/>
        <v/>
      </c>
    </row>
    <row r="176">
      <c r="A176" s="2"/>
      <c r="H176" t="str">
        <f t="shared" si="3"/>
        <v/>
      </c>
      <c r="I176" t="str">
        <f t="shared" si="2"/>
        <v/>
      </c>
    </row>
    <row r="177">
      <c r="A177" s="2"/>
      <c r="H177" t="str">
        <f t="shared" si="3"/>
        <v/>
      </c>
      <c r="I177" t="str">
        <f t="shared" si="2"/>
        <v/>
      </c>
    </row>
    <row r="178">
      <c r="A178" s="2"/>
      <c r="H178" t="str">
        <f t="shared" si="3"/>
        <v/>
      </c>
      <c r="I178" t="str">
        <f t="shared" si="2"/>
        <v/>
      </c>
    </row>
    <row r="179">
      <c r="A179" s="2"/>
      <c r="H179" t="str">
        <f t="shared" si="3"/>
        <v/>
      </c>
      <c r="I179" t="str">
        <f t="shared" si="2"/>
        <v/>
      </c>
    </row>
    <row r="180">
      <c r="A180" s="2"/>
      <c r="H180" t="str">
        <f t="shared" si="3"/>
        <v/>
      </c>
      <c r="I180" t="str">
        <f t="shared" si="2"/>
        <v/>
      </c>
    </row>
    <row r="181">
      <c r="A181" s="2"/>
      <c r="H181" t="str">
        <f t="shared" si="3"/>
        <v/>
      </c>
      <c r="I181" t="str">
        <f t="shared" si="2"/>
        <v/>
      </c>
    </row>
    <row r="182">
      <c r="A182" s="2"/>
      <c r="H182" t="str">
        <f t="shared" si="3"/>
        <v/>
      </c>
      <c r="I182" t="str">
        <f t="shared" si="2"/>
        <v/>
      </c>
    </row>
    <row r="183">
      <c r="A183" s="2"/>
      <c r="H183" t="str">
        <f t="shared" si="3"/>
        <v/>
      </c>
      <c r="I183" t="str">
        <f t="shared" si="2"/>
        <v/>
      </c>
    </row>
    <row r="184">
      <c r="A184" s="2"/>
      <c r="H184" t="str">
        <f t="shared" si="3"/>
        <v/>
      </c>
      <c r="I184" t="str">
        <f t="shared" si="2"/>
        <v/>
      </c>
    </row>
    <row r="185">
      <c r="A185" s="2"/>
      <c r="H185" t="str">
        <f t="shared" si="3"/>
        <v/>
      </c>
      <c r="I185" t="str">
        <f t="shared" si="2"/>
        <v/>
      </c>
    </row>
    <row r="186">
      <c r="A186" s="2"/>
      <c r="H186" t="str">
        <f t="shared" si="3"/>
        <v/>
      </c>
      <c r="I186" t="str">
        <f t="shared" si="2"/>
        <v/>
      </c>
    </row>
    <row r="187">
      <c r="A187" s="2"/>
      <c r="H187" t="str">
        <f t="shared" si="3"/>
        <v/>
      </c>
      <c r="I187" t="str">
        <f t="shared" si="2"/>
        <v/>
      </c>
    </row>
    <row r="188">
      <c r="A188" s="2"/>
      <c r="H188" t="str">
        <f t="shared" si="3"/>
        <v/>
      </c>
      <c r="I188" t="str">
        <f t="shared" si="2"/>
        <v/>
      </c>
    </row>
    <row r="189">
      <c r="A189" s="2"/>
      <c r="H189" t="str">
        <f t="shared" si="3"/>
        <v/>
      </c>
      <c r="I189" t="str">
        <f t="shared" si="2"/>
        <v/>
      </c>
    </row>
    <row r="190">
      <c r="A190" s="2"/>
      <c r="H190" t="str">
        <f t="shared" si="3"/>
        <v/>
      </c>
      <c r="I190" t="str">
        <f t="shared" si="2"/>
        <v/>
      </c>
    </row>
    <row r="191">
      <c r="A191" s="2"/>
      <c r="H191" t="str">
        <f t="shared" si="3"/>
        <v/>
      </c>
      <c r="I191" t="str">
        <f t="shared" si="2"/>
        <v/>
      </c>
    </row>
    <row r="192">
      <c r="A192" s="2"/>
      <c r="H192" t="str">
        <f t="shared" si="3"/>
        <v/>
      </c>
      <c r="I192" t="str">
        <f t="shared" si="2"/>
        <v/>
      </c>
    </row>
    <row r="193">
      <c r="A193" s="2"/>
      <c r="H193" t="str">
        <f t="shared" si="3"/>
        <v/>
      </c>
      <c r="I193" t="str">
        <f t="shared" si="2"/>
        <v/>
      </c>
    </row>
    <row r="194">
      <c r="A194" s="2"/>
      <c r="H194" t="str">
        <f t="shared" si="3"/>
        <v/>
      </c>
      <c r="I194" t="str">
        <f t="shared" si="2"/>
        <v/>
      </c>
    </row>
    <row r="195">
      <c r="A195" s="2"/>
      <c r="H195" t="str">
        <f t="shared" si="3"/>
        <v/>
      </c>
      <c r="I195" t="str">
        <f t="shared" si="2"/>
        <v/>
      </c>
    </row>
    <row r="196">
      <c r="A196" s="2"/>
      <c r="H196" t="str">
        <f t="shared" si="3"/>
        <v/>
      </c>
      <c r="I196" t="str">
        <f t="shared" si="2"/>
        <v/>
      </c>
    </row>
    <row r="197">
      <c r="A197" s="2"/>
      <c r="H197" t="str">
        <f t="shared" si="3"/>
        <v/>
      </c>
      <c r="I197" t="str">
        <f t="shared" si="2"/>
        <v/>
      </c>
    </row>
    <row r="198">
      <c r="A198" s="2"/>
      <c r="H198" t="str">
        <f t="shared" si="3"/>
        <v/>
      </c>
      <c r="I198" t="str">
        <f t="shared" si="2"/>
        <v/>
      </c>
    </row>
    <row r="199">
      <c r="A199" s="2"/>
      <c r="H199" t="str">
        <f t="shared" si="3"/>
        <v/>
      </c>
      <c r="I199" t="str">
        <f t="shared" si="2"/>
        <v/>
      </c>
    </row>
    <row r="200">
      <c r="A200" s="2"/>
      <c r="H200" t="str">
        <f t="shared" si="3"/>
        <v/>
      </c>
      <c r="I200" t="str">
        <f t="shared" si="2"/>
        <v/>
      </c>
    </row>
    <row r="201">
      <c r="A201" s="2"/>
      <c r="H201" t="str">
        <f t="shared" si="3"/>
        <v/>
      </c>
      <c r="I201" t="str">
        <f t="shared" si="2"/>
        <v/>
      </c>
    </row>
    <row r="202">
      <c r="A202" s="2"/>
      <c r="H202" t="str">
        <f t="shared" si="3"/>
        <v/>
      </c>
      <c r="I202" t="str">
        <f t="shared" si="2"/>
        <v/>
      </c>
    </row>
    <row r="203">
      <c r="A203" s="2"/>
      <c r="H203" t="str">
        <f t="shared" si="3"/>
        <v/>
      </c>
      <c r="I203" t="str">
        <f t="shared" si="2"/>
        <v/>
      </c>
    </row>
    <row r="204">
      <c r="A204" s="2"/>
      <c r="H204" t="str">
        <f t="shared" si="3"/>
        <v/>
      </c>
      <c r="I204" t="str">
        <f t="shared" si="2"/>
        <v/>
      </c>
    </row>
    <row r="205">
      <c r="A205" s="2"/>
      <c r="H205" t="str">
        <f t="shared" si="3"/>
        <v/>
      </c>
      <c r="I205" t="str">
        <f t="shared" si="2"/>
        <v/>
      </c>
    </row>
    <row r="206">
      <c r="A206" s="2"/>
      <c r="H206" t="str">
        <f t="shared" si="3"/>
        <v/>
      </c>
      <c r="I206" t="str">
        <f t="shared" si="2"/>
        <v/>
      </c>
    </row>
    <row r="207">
      <c r="A207" s="2"/>
      <c r="H207" t="str">
        <f t="shared" si="3"/>
        <v/>
      </c>
      <c r="I207" t="str">
        <f t="shared" si="2"/>
        <v/>
      </c>
    </row>
    <row r="208">
      <c r="A208" s="2"/>
      <c r="H208" t="str">
        <f t="shared" si="3"/>
        <v/>
      </c>
      <c r="I208" t="str">
        <f t="shared" si="2"/>
        <v/>
      </c>
    </row>
    <row r="209">
      <c r="A209" s="2"/>
      <c r="H209" t="str">
        <f t="shared" si="3"/>
        <v/>
      </c>
      <c r="I209" t="str">
        <f t="shared" si="2"/>
        <v/>
      </c>
    </row>
    <row r="210">
      <c r="A210" s="2"/>
      <c r="H210" t="str">
        <f t="shared" si="3"/>
        <v/>
      </c>
      <c r="I210" t="str">
        <f t="shared" si="2"/>
        <v/>
      </c>
    </row>
    <row r="211">
      <c r="A211" s="2"/>
      <c r="H211" t="str">
        <f t="shared" si="3"/>
        <v/>
      </c>
      <c r="I211" t="str">
        <f t="shared" si="2"/>
        <v/>
      </c>
    </row>
    <row r="212">
      <c r="A212" s="2"/>
      <c r="H212" t="str">
        <f t="shared" si="3"/>
        <v/>
      </c>
      <c r="I212" t="str">
        <f t="shared" si="2"/>
        <v/>
      </c>
    </row>
    <row r="213">
      <c r="A213" s="2"/>
      <c r="H213" t="str">
        <f t="shared" si="3"/>
        <v/>
      </c>
      <c r="I213" t="str">
        <f t="shared" si="2"/>
        <v/>
      </c>
    </row>
    <row r="214">
      <c r="A214" s="2"/>
      <c r="H214" t="str">
        <f t="shared" si="3"/>
        <v/>
      </c>
      <c r="I214" t="str">
        <f t="shared" si="2"/>
        <v/>
      </c>
    </row>
    <row r="215">
      <c r="A215" s="2"/>
      <c r="H215" t="str">
        <f t="shared" si="3"/>
        <v/>
      </c>
      <c r="I215" t="str">
        <f t="shared" si="2"/>
        <v/>
      </c>
    </row>
    <row r="216">
      <c r="A216" s="2"/>
      <c r="H216" t="str">
        <f t="shared" si="3"/>
        <v/>
      </c>
      <c r="I216" t="str">
        <f t="shared" si="2"/>
        <v/>
      </c>
    </row>
    <row r="217">
      <c r="A217" s="2"/>
      <c r="H217" t="str">
        <f t="shared" si="3"/>
        <v/>
      </c>
      <c r="I217" t="str">
        <f t="shared" si="2"/>
        <v/>
      </c>
    </row>
    <row r="218">
      <c r="A218" s="2"/>
      <c r="H218" t="str">
        <f t="shared" si="3"/>
        <v/>
      </c>
      <c r="I218" t="str">
        <f t="shared" si="2"/>
        <v/>
      </c>
    </row>
    <row r="219">
      <c r="A219" s="2"/>
      <c r="H219" t="str">
        <f t="shared" si="3"/>
        <v/>
      </c>
      <c r="I219" t="str">
        <f t="shared" si="2"/>
        <v/>
      </c>
    </row>
    <row r="220">
      <c r="A220" s="2"/>
      <c r="H220" t="str">
        <f t="shared" si="3"/>
        <v/>
      </c>
      <c r="I220" t="str">
        <f t="shared" si="2"/>
        <v/>
      </c>
    </row>
    <row r="221">
      <c r="A221" s="2"/>
      <c r="H221" t="str">
        <f t="shared" si="3"/>
        <v/>
      </c>
      <c r="I221" t="str">
        <f t="shared" si="2"/>
        <v/>
      </c>
    </row>
    <row r="222">
      <c r="A222" s="2"/>
      <c r="H222" t="str">
        <f t="shared" si="3"/>
        <v/>
      </c>
      <c r="I222" t="str">
        <f t="shared" si="2"/>
        <v/>
      </c>
    </row>
    <row r="223">
      <c r="A223" s="2"/>
      <c r="H223" t="str">
        <f t="shared" si="3"/>
        <v/>
      </c>
      <c r="I223" t="str">
        <f t="shared" si="2"/>
        <v/>
      </c>
    </row>
    <row r="224">
      <c r="A224" s="2"/>
      <c r="H224" t="str">
        <f t="shared" si="3"/>
        <v/>
      </c>
      <c r="I224" t="str">
        <f t="shared" si="2"/>
        <v/>
      </c>
    </row>
    <row r="225">
      <c r="A225" s="2"/>
      <c r="H225" t="str">
        <f t="shared" si="3"/>
        <v/>
      </c>
      <c r="I225" t="str">
        <f t="shared" si="2"/>
        <v/>
      </c>
    </row>
    <row r="226">
      <c r="A226" s="2"/>
      <c r="H226" t="str">
        <f t="shared" si="3"/>
        <v/>
      </c>
      <c r="I226" t="str">
        <f t="shared" si="2"/>
        <v/>
      </c>
    </row>
    <row r="227">
      <c r="A227" s="2"/>
      <c r="H227" t="str">
        <f t="shared" si="3"/>
        <v/>
      </c>
      <c r="I227" t="str">
        <f t="shared" si="2"/>
        <v/>
      </c>
    </row>
    <row r="228">
      <c r="A228" s="2"/>
      <c r="H228" t="str">
        <f t="shared" si="3"/>
        <v/>
      </c>
      <c r="I228" t="str">
        <f t="shared" si="2"/>
        <v/>
      </c>
    </row>
    <row r="229">
      <c r="A229" s="2"/>
      <c r="H229" t="str">
        <f t="shared" si="3"/>
        <v/>
      </c>
      <c r="I229" t="str">
        <f t="shared" si="2"/>
        <v/>
      </c>
    </row>
    <row r="230">
      <c r="A230" s="2"/>
      <c r="H230" t="str">
        <f t="shared" si="3"/>
        <v/>
      </c>
      <c r="I230" t="str">
        <f t="shared" si="2"/>
        <v/>
      </c>
    </row>
    <row r="231">
      <c r="A231" s="2"/>
      <c r="H231" t="str">
        <f t="shared" si="3"/>
        <v/>
      </c>
      <c r="I231" t="str">
        <f t="shared" si="2"/>
        <v/>
      </c>
    </row>
    <row r="232">
      <c r="A232" s="2"/>
      <c r="H232" t="str">
        <f t="shared" si="3"/>
        <v/>
      </c>
      <c r="I232" t="str">
        <f t="shared" si="2"/>
        <v/>
      </c>
    </row>
    <row r="233">
      <c r="A233" s="2"/>
      <c r="H233" t="str">
        <f t="shared" si="3"/>
        <v/>
      </c>
      <c r="I233" t="str">
        <f t="shared" si="2"/>
        <v/>
      </c>
    </row>
    <row r="234">
      <c r="A234" s="2"/>
      <c r="H234" t="str">
        <f t="shared" si="3"/>
        <v/>
      </c>
      <c r="I234" t="str">
        <f t="shared" si="2"/>
        <v/>
      </c>
    </row>
    <row r="235">
      <c r="A235" s="2"/>
      <c r="H235" t="str">
        <f t="shared" si="3"/>
        <v/>
      </c>
      <c r="I235" t="str">
        <f t="shared" si="2"/>
        <v/>
      </c>
    </row>
    <row r="236">
      <c r="A236" s="2"/>
      <c r="H236" t="str">
        <f t="shared" si="3"/>
        <v/>
      </c>
      <c r="I236" t="str">
        <f t="shared" si="2"/>
        <v/>
      </c>
    </row>
    <row r="237">
      <c r="A237" s="2"/>
      <c r="H237" t="str">
        <f t="shared" si="3"/>
        <v/>
      </c>
      <c r="I237" t="str">
        <f t="shared" si="2"/>
        <v/>
      </c>
    </row>
    <row r="238">
      <c r="A238" s="2"/>
      <c r="H238" t="str">
        <f t="shared" si="3"/>
        <v/>
      </c>
      <c r="I238" t="str">
        <f t="shared" si="2"/>
        <v/>
      </c>
    </row>
    <row r="239">
      <c r="A239" s="2"/>
      <c r="H239" t="str">
        <f t="shared" si="3"/>
        <v/>
      </c>
      <c r="I239" t="str">
        <f t="shared" si="2"/>
        <v/>
      </c>
    </row>
    <row r="240">
      <c r="A240" s="2"/>
      <c r="H240" t="str">
        <f t="shared" si="3"/>
        <v/>
      </c>
      <c r="I240" t="str">
        <f t="shared" si="2"/>
        <v/>
      </c>
    </row>
    <row r="241">
      <c r="A241" s="2"/>
      <c r="H241" t="str">
        <f t="shared" si="3"/>
        <v/>
      </c>
      <c r="I241" t="str">
        <f t="shared" si="2"/>
        <v/>
      </c>
    </row>
    <row r="242">
      <c r="A242" s="2"/>
      <c r="H242" t="str">
        <f t="shared" si="3"/>
        <v/>
      </c>
      <c r="I242" t="str">
        <f t="shared" si="2"/>
        <v/>
      </c>
    </row>
    <row r="243">
      <c r="A243" s="2"/>
      <c r="H243" t="str">
        <f t="shared" si="3"/>
        <v/>
      </c>
      <c r="I243" t="str">
        <f t="shared" si="2"/>
        <v/>
      </c>
    </row>
    <row r="244">
      <c r="A244" s="2"/>
      <c r="H244" t="str">
        <f t="shared" si="3"/>
        <v/>
      </c>
      <c r="I244" t="str">
        <f t="shared" si="2"/>
        <v/>
      </c>
    </row>
    <row r="245">
      <c r="A245" s="2"/>
      <c r="H245" t="str">
        <f t="shared" si="3"/>
        <v/>
      </c>
      <c r="I245" t="str">
        <f t="shared" si="2"/>
        <v/>
      </c>
    </row>
    <row r="246">
      <c r="A246" s="2"/>
      <c r="H246" t="str">
        <f t="shared" si="3"/>
        <v/>
      </c>
      <c r="I246" t="str">
        <f t="shared" si="2"/>
        <v/>
      </c>
    </row>
    <row r="247">
      <c r="A247" s="2"/>
      <c r="H247" t="str">
        <f t="shared" si="3"/>
        <v/>
      </c>
      <c r="I247" t="str">
        <f t="shared" si="2"/>
        <v/>
      </c>
    </row>
    <row r="248">
      <c r="A248" s="2"/>
      <c r="H248" t="str">
        <f t="shared" si="3"/>
        <v/>
      </c>
      <c r="I248" t="str">
        <f t="shared" si="2"/>
        <v/>
      </c>
    </row>
    <row r="249">
      <c r="A249" s="2"/>
      <c r="H249" t="str">
        <f t="shared" si="3"/>
        <v/>
      </c>
      <c r="I249" t="str">
        <f t="shared" si="2"/>
        <v/>
      </c>
    </row>
    <row r="250">
      <c r="A250" s="2"/>
      <c r="H250" t="str">
        <f t="shared" si="3"/>
        <v/>
      </c>
      <c r="I250" t="str">
        <f t="shared" si="2"/>
        <v/>
      </c>
    </row>
    <row r="251">
      <c r="A251" s="2"/>
      <c r="H251" t="str">
        <f t="shared" si="3"/>
        <v/>
      </c>
      <c r="I251" t="str">
        <f t="shared" si="2"/>
        <v/>
      </c>
    </row>
    <row r="252">
      <c r="A252" s="2"/>
      <c r="H252" t="str">
        <f t="shared" si="3"/>
        <v/>
      </c>
      <c r="I252" t="str">
        <f t="shared" si="2"/>
        <v/>
      </c>
    </row>
    <row r="253">
      <c r="A253" s="2"/>
      <c r="H253" t="str">
        <f t="shared" si="3"/>
        <v/>
      </c>
      <c r="I253" t="str">
        <f t="shared" si="2"/>
        <v/>
      </c>
    </row>
    <row r="254">
      <c r="A254" s="2"/>
      <c r="H254" t="str">
        <f t="shared" si="3"/>
        <v/>
      </c>
      <c r="I254" t="str">
        <f t="shared" si="2"/>
        <v/>
      </c>
    </row>
    <row r="255">
      <c r="A255" s="2"/>
      <c r="H255" t="str">
        <f t="shared" si="3"/>
        <v/>
      </c>
      <c r="I255" t="str">
        <f t="shared" si="2"/>
        <v/>
      </c>
    </row>
    <row r="256">
      <c r="A256" s="2"/>
      <c r="H256" t="str">
        <f t="shared" si="3"/>
        <v/>
      </c>
      <c r="I256" t="str">
        <f t="shared" si="2"/>
        <v/>
      </c>
    </row>
    <row r="257">
      <c r="A257" s="2"/>
      <c r="H257" t="str">
        <f t="shared" si="3"/>
        <v/>
      </c>
      <c r="I257" t="str">
        <f t="shared" si="2"/>
        <v/>
      </c>
    </row>
    <row r="258">
      <c r="A258" s="2"/>
      <c r="H258" t="str">
        <f t="shared" si="3"/>
        <v/>
      </c>
      <c r="I258" t="str">
        <f t="shared" si="2"/>
        <v/>
      </c>
    </row>
    <row r="259">
      <c r="A259" s="2"/>
      <c r="H259" t="str">
        <f t="shared" si="3"/>
        <v/>
      </c>
      <c r="I259" t="str">
        <f t="shared" si="2"/>
        <v/>
      </c>
    </row>
    <row r="260">
      <c r="A260" s="2"/>
      <c r="H260" t="str">
        <f t="shared" si="3"/>
        <v/>
      </c>
      <c r="I260" t="str">
        <f t="shared" si="2"/>
        <v/>
      </c>
    </row>
    <row r="261">
      <c r="A261" s="2"/>
      <c r="H261" t="str">
        <f t="shared" si="3"/>
        <v/>
      </c>
      <c r="I261" t="str">
        <f t="shared" si="2"/>
        <v/>
      </c>
    </row>
    <row r="262">
      <c r="A262" s="2"/>
      <c r="H262" t="str">
        <f t="shared" si="3"/>
        <v/>
      </c>
      <c r="I262" t="str">
        <f t="shared" si="2"/>
        <v/>
      </c>
    </row>
    <row r="263">
      <c r="A263" s="2"/>
      <c r="H263" t="str">
        <f t="shared" si="3"/>
        <v/>
      </c>
      <c r="I263" t="str">
        <f t="shared" si="2"/>
        <v/>
      </c>
    </row>
    <row r="264">
      <c r="A264" s="2"/>
      <c r="H264" t="str">
        <f t="shared" si="3"/>
        <v/>
      </c>
      <c r="I264" t="str">
        <f t="shared" si="2"/>
        <v/>
      </c>
    </row>
    <row r="265">
      <c r="A265" s="2"/>
      <c r="H265" t="str">
        <f t="shared" si="3"/>
        <v/>
      </c>
      <c r="I265" t="str">
        <f t="shared" si="2"/>
        <v/>
      </c>
    </row>
    <row r="266">
      <c r="A266" s="2"/>
      <c r="H266" t="str">
        <f t="shared" si="3"/>
        <v/>
      </c>
      <c r="I266" t="str">
        <f t="shared" si="2"/>
        <v/>
      </c>
    </row>
    <row r="267">
      <c r="A267" s="2"/>
      <c r="H267" t="str">
        <f t="shared" si="3"/>
        <v/>
      </c>
      <c r="I267" t="str">
        <f t="shared" si="2"/>
        <v/>
      </c>
    </row>
    <row r="268">
      <c r="A268" s="2"/>
      <c r="H268" t="str">
        <f t="shared" si="3"/>
        <v/>
      </c>
      <c r="I268" t="str">
        <f t="shared" si="2"/>
        <v/>
      </c>
    </row>
    <row r="269">
      <c r="A269" s="2"/>
      <c r="H269" t="str">
        <f t="shared" si="3"/>
        <v/>
      </c>
      <c r="I269" t="str">
        <f t="shared" si="2"/>
        <v/>
      </c>
    </row>
    <row r="270">
      <c r="A270" s="2"/>
      <c r="H270" t="str">
        <f t="shared" si="3"/>
        <v/>
      </c>
      <c r="I270" t="str">
        <f t="shared" si="2"/>
        <v/>
      </c>
    </row>
    <row r="271">
      <c r="A271" s="2"/>
      <c r="H271" t="str">
        <f t="shared" si="3"/>
        <v/>
      </c>
      <c r="I271" t="str">
        <f t="shared" si="2"/>
        <v/>
      </c>
    </row>
    <row r="272">
      <c r="A272" s="2"/>
      <c r="H272" t="str">
        <f t="shared" si="3"/>
        <v/>
      </c>
      <c r="I272" t="str">
        <f t="shared" si="2"/>
        <v/>
      </c>
    </row>
    <row r="273">
      <c r="A273" s="2"/>
      <c r="H273" t="str">
        <f t="shared" si="3"/>
        <v/>
      </c>
      <c r="I273" t="str">
        <f t="shared" si="2"/>
        <v/>
      </c>
    </row>
    <row r="274">
      <c r="A274" s="2"/>
      <c r="H274" t="str">
        <f t="shared" si="3"/>
        <v/>
      </c>
      <c r="I274" t="str">
        <f t="shared" si="2"/>
        <v/>
      </c>
    </row>
    <row r="275">
      <c r="A275" s="2"/>
      <c r="H275" t="str">
        <f t="shared" si="3"/>
        <v/>
      </c>
      <c r="I275" t="str">
        <f t="shared" si="2"/>
        <v/>
      </c>
    </row>
    <row r="276">
      <c r="A276" s="2"/>
      <c r="H276" t="str">
        <f t="shared" si="3"/>
        <v/>
      </c>
      <c r="I276" t="str">
        <f t="shared" si="2"/>
        <v/>
      </c>
    </row>
    <row r="277">
      <c r="A277" s="2"/>
      <c r="H277" t="str">
        <f t="shared" si="3"/>
        <v/>
      </c>
      <c r="I277" t="str">
        <f t="shared" si="2"/>
        <v/>
      </c>
    </row>
    <row r="278">
      <c r="A278" s="2"/>
      <c r="H278" t="str">
        <f t="shared" si="3"/>
        <v/>
      </c>
      <c r="I278" t="str">
        <f t="shared" si="2"/>
        <v/>
      </c>
    </row>
    <row r="279">
      <c r="A279" s="2"/>
      <c r="H279" t="str">
        <f t="shared" si="3"/>
        <v/>
      </c>
      <c r="I279" t="str">
        <f t="shared" si="2"/>
        <v/>
      </c>
    </row>
    <row r="280">
      <c r="A280" s="2"/>
      <c r="H280" t="str">
        <f t="shared" si="3"/>
        <v/>
      </c>
      <c r="I280" t="str">
        <f t="shared" si="2"/>
        <v/>
      </c>
    </row>
    <row r="281">
      <c r="A281" s="2"/>
      <c r="H281" t="str">
        <f t="shared" si="3"/>
        <v/>
      </c>
      <c r="I281" t="str">
        <f t="shared" si="2"/>
        <v/>
      </c>
    </row>
    <row r="282">
      <c r="A282" s="2"/>
      <c r="H282" t="str">
        <f t="shared" si="3"/>
        <v/>
      </c>
      <c r="I282" t="str">
        <f t="shared" si="2"/>
        <v/>
      </c>
    </row>
    <row r="283">
      <c r="A283" s="2"/>
      <c r="H283" t="str">
        <f t="shared" si="3"/>
        <v/>
      </c>
      <c r="I283" t="str">
        <f t="shared" si="2"/>
        <v/>
      </c>
    </row>
    <row r="284">
      <c r="A284" s="2"/>
      <c r="H284" t="str">
        <f t="shared" si="3"/>
        <v/>
      </c>
      <c r="I284" t="str">
        <f t="shared" si="2"/>
        <v/>
      </c>
    </row>
    <row r="285">
      <c r="A285" s="2"/>
      <c r="H285" t="str">
        <f t="shared" si="3"/>
        <v/>
      </c>
      <c r="I285" t="str">
        <f t="shared" si="2"/>
        <v/>
      </c>
    </row>
    <row r="286">
      <c r="A286" s="2"/>
      <c r="H286" t="str">
        <f t="shared" si="3"/>
        <v/>
      </c>
      <c r="I286" t="str">
        <f t="shared" si="2"/>
        <v/>
      </c>
    </row>
    <row r="287">
      <c r="A287" s="2"/>
      <c r="H287" t="str">
        <f t="shared" si="3"/>
        <v/>
      </c>
      <c r="I287" t="str">
        <f t="shared" si="2"/>
        <v/>
      </c>
    </row>
    <row r="288">
      <c r="A288" s="2"/>
      <c r="H288" t="str">
        <f t="shared" si="3"/>
        <v/>
      </c>
      <c r="I288" t="str">
        <f t="shared" si="2"/>
        <v/>
      </c>
    </row>
    <row r="289">
      <c r="A289" s="2"/>
      <c r="H289" t="str">
        <f t="shared" si="3"/>
        <v/>
      </c>
      <c r="I289" t="str">
        <f t="shared" si="2"/>
        <v/>
      </c>
    </row>
    <row r="290">
      <c r="A290" s="2"/>
      <c r="H290" t="str">
        <f t="shared" si="3"/>
        <v/>
      </c>
      <c r="I290" t="str">
        <f t="shared" si="2"/>
        <v/>
      </c>
    </row>
    <row r="291">
      <c r="A291" s="2"/>
      <c r="H291" t="str">
        <f t="shared" si="3"/>
        <v/>
      </c>
      <c r="I291" t="str">
        <f t="shared" si="2"/>
        <v/>
      </c>
    </row>
    <row r="292">
      <c r="A292" s="2"/>
      <c r="H292" t="str">
        <f t="shared" si="3"/>
        <v/>
      </c>
      <c r="I292" t="str">
        <f t="shared" si="2"/>
        <v/>
      </c>
    </row>
    <row r="293">
      <c r="A293" s="2"/>
      <c r="H293" t="str">
        <f t="shared" si="3"/>
        <v/>
      </c>
      <c r="I293" t="str">
        <f t="shared" si="2"/>
        <v/>
      </c>
    </row>
    <row r="294">
      <c r="A294" s="2"/>
      <c r="H294" t="str">
        <f t="shared" si="3"/>
        <v/>
      </c>
      <c r="I294" t="str">
        <f t="shared" si="2"/>
        <v/>
      </c>
    </row>
    <row r="295">
      <c r="A295" s="2"/>
      <c r="H295" t="str">
        <f t="shared" si="3"/>
        <v/>
      </c>
      <c r="I295" t="str">
        <f t="shared" si="2"/>
        <v/>
      </c>
    </row>
    <row r="296">
      <c r="A296" s="2"/>
      <c r="H296" t="str">
        <f t="shared" si="3"/>
        <v/>
      </c>
      <c r="I296" t="str">
        <f t="shared" si="2"/>
        <v/>
      </c>
    </row>
    <row r="297">
      <c r="A297" s="2"/>
      <c r="H297" t="str">
        <f t="shared" si="3"/>
        <v/>
      </c>
      <c r="I297" t="str">
        <f t="shared" si="2"/>
        <v/>
      </c>
    </row>
    <row r="298">
      <c r="A298" s="2"/>
      <c r="H298" t="str">
        <f t="shared" si="3"/>
        <v/>
      </c>
      <c r="I298" t="str">
        <f t="shared" si="2"/>
        <v/>
      </c>
    </row>
    <row r="299">
      <c r="A299" s="2"/>
      <c r="H299" t="str">
        <f t="shared" si="3"/>
        <v/>
      </c>
      <c r="I299" t="str">
        <f t="shared" si="2"/>
        <v/>
      </c>
    </row>
    <row r="300">
      <c r="A300" s="2"/>
      <c r="H300" t="str">
        <f t="shared" si="3"/>
        <v/>
      </c>
      <c r="I300" t="str">
        <f t="shared" si="2"/>
        <v/>
      </c>
    </row>
    <row r="301">
      <c r="A301" s="2"/>
      <c r="H301" t="str">
        <f t="shared" si="3"/>
        <v/>
      </c>
      <c r="I301" t="str">
        <f t="shared" si="2"/>
        <v/>
      </c>
    </row>
    <row r="302">
      <c r="A302" s="2"/>
      <c r="H302" t="str">
        <f t="shared" si="3"/>
        <v/>
      </c>
      <c r="I302" t="str">
        <f t="shared" si="2"/>
        <v/>
      </c>
    </row>
    <row r="303">
      <c r="A303" s="2"/>
      <c r="H303" t="str">
        <f t="shared" si="3"/>
        <v/>
      </c>
      <c r="I303" t="str">
        <f t="shared" si="2"/>
        <v/>
      </c>
    </row>
    <row r="304">
      <c r="A304" s="2"/>
      <c r="H304" t="str">
        <f t="shared" si="3"/>
        <v/>
      </c>
      <c r="I304" t="str">
        <f t="shared" si="2"/>
        <v/>
      </c>
    </row>
    <row r="305">
      <c r="A305" s="2"/>
      <c r="H305" t="str">
        <f t="shared" si="3"/>
        <v/>
      </c>
      <c r="I305" t="str">
        <f t="shared" si="2"/>
        <v/>
      </c>
    </row>
    <row r="306">
      <c r="A306" s="2"/>
      <c r="H306" t="str">
        <f t="shared" si="3"/>
        <v/>
      </c>
      <c r="I306" t="str">
        <f t="shared" si="2"/>
        <v/>
      </c>
    </row>
    <row r="307">
      <c r="A307" s="2"/>
      <c r="H307" t="str">
        <f t="shared" si="3"/>
        <v/>
      </c>
      <c r="I307" t="str">
        <f t="shared" si="2"/>
        <v/>
      </c>
    </row>
    <row r="308">
      <c r="A308" s="2"/>
      <c r="H308" t="str">
        <f t="shared" si="3"/>
        <v/>
      </c>
      <c r="I308" t="str">
        <f t="shared" si="2"/>
        <v/>
      </c>
    </row>
    <row r="309">
      <c r="A309" s="2"/>
      <c r="H309" t="str">
        <f t="shared" si="3"/>
        <v/>
      </c>
      <c r="I309" t="str">
        <f t="shared" si="2"/>
        <v/>
      </c>
    </row>
    <row r="310">
      <c r="A310" s="2"/>
      <c r="H310" t="str">
        <f t="shared" si="3"/>
        <v/>
      </c>
      <c r="I310" t="str">
        <f t="shared" si="2"/>
        <v/>
      </c>
    </row>
    <row r="311">
      <c r="A311" s="2"/>
      <c r="H311" t="str">
        <f t="shared" si="3"/>
        <v/>
      </c>
      <c r="I311" t="str">
        <f t="shared" si="2"/>
        <v/>
      </c>
    </row>
    <row r="312">
      <c r="A312" s="2"/>
      <c r="H312" t="str">
        <f t="shared" si="3"/>
        <v/>
      </c>
      <c r="I312" t="str">
        <f t="shared" si="2"/>
        <v/>
      </c>
    </row>
    <row r="313">
      <c r="A313" s="2"/>
      <c r="H313" t="str">
        <f t="shared" si="3"/>
        <v/>
      </c>
      <c r="I313" t="str">
        <f t="shared" si="2"/>
        <v/>
      </c>
    </row>
    <row r="314">
      <c r="A314" s="2"/>
      <c r="H314" t="str">
        <f t="shared" si="3"/>
        <v/>
      </c>
      <c r="I314" t="str">
        <f t="shared" si="2"/>
        <v/>
      </c>
    </row>
    <row r="315">
      <c r="A315" s="2"/>
      <c r="H315" t="str">
        <f t="shared" si="3"/>
        <v/>
      </c>
      <c r="I315" t="str">
        <f t="shared" si="2"/>
        <v/>
      </c>
    </row>
    <row r="316">
      <c r="A316" s="2"/>
      <c r="H316" t="str">
        <f t="shared" si="3"/>
        <v/>
      </c>
      <c r="I316" t="str">
        <f t="shared" si="2"/>
        <v/>
      </c>
    </row>
    <row r="317">
      <c r="A317" s="2"/>
      <c r="H317" t="str">
        <f t="shared" si="3"/>
        <v/>
      </c>
      <c r="I317" t="str">
        <f t="shared" si="2"/>
        <v/>
      </c>
    </row>
    <row r="318">
      <c r="A318" s="2"/>
      <c r="H318" t="str">
        <f t="shared" si="3"/>
        <v/>
      </c>
      <c r="I318" t="str">
        <f t="shared" si="2"/>
        <v/>
      </c>
    </row>
    <row r="319">
      <c r="A319" s="2"/>
      <c r="H319" t="str">
        <f t="shared" si="3"/>
        <v/>
      </c>
      <c r="I319" t="str">
        <f t="shared" si="2"/>
        <v/>
      </c>
    </row>
    <row r="320">
      <c r="A320" s="2"/>
      <c r="H320" t="str">
        <f t="shared" si="3"/>
        <v/>
      </c>
      <c r="I320" t="str">
        <f t="shared" si="2"/>
        <v/>
      </c>
    </row>
    <row r="321">
      <c r="A321" s="2"/>
      <c r="H321" t="str">
        <f t="shared" si="3"/>
        <v/>
      </c>
      <c r="I321" t="str">
        <f t="shared" si="2"/>
        <v/>
      </c>
    </row>
    <row r="322">
      <c r="A322" s="2"/>
      <c r="H322" t="str">
        <f t="shared" si="3"/>
        <v/>
      </c>
      <c r="I322" t="str">
        <f t="shared" si="2"/>
        <v/>
      </c>
    </row>
    <row r="323">
      <c r="A323" s="2"/>
      <c r="H323" t="str">
        <f t="shared" si="3"/>
        <v/>
      </c>
      <c r="I323" t="str">
        <f t="shared" si="2"/>
        <v/>
      </c>
    </row>
    <row r="324">
      <c r="A324" s="2"/>
      <c r="H324" t="str">
        <f t="shared" si="3"/>
        <v/>
      </c>
      <c r="I324" t="str">
        <f t="shared" si="2"/>
        <v/>
      </c>
    </row>
    <row r="325">
      <c r="A325" s="2"/>
      <c r="H325" t="str">
        <f t="shared" si="3"/>
        <v/>
      </c>
      <c r="I325" t="str">
        <f t="shared" si="2"/>
        <v/>
      </c>
    </row>
    <row r="326">
      <c r="A326" s="2"/>
      <c r="H326" t="str">
        <f t="shared" si="3"/>
        <v/>
      </c>
      <c r="I326" t="str">
        <f t="shared" si="2"/>
        <v/>
      </c>
    </row>
    <row r="327">
      <c r="A327" s="2"/>
      <c r="H327" t="str">
        <f t="shared" si="3"/>
        <v/>
      </c>
      <c r="I327" t="str">
        <f t="shared" si="2"/>
        <v/>
      </c>
    </row>
    <row r="328">
      <c r="A328" s="2"/>
      <c r="H328" t="str">
        <f t="shared" si="3"/>
        <v/>
      </c>
      <c r="I328" t="str">
        <f t="shared" si="2"/>
        <v/>
      </c>
    </row>
    <row r="329">
      <c r="A329" s="2"/>
      <c r="H329" t="str">
        <f t="shared" si="3"/>
        <v/>
      </c>
      <c r="I329" t="str">
        <f t="shared" si="2"/>
        <v/>
      </c>
    </row>
    <row r="330">
      <c r="A330" s="2"/>
      <c r="H330" t="str">
        <f t="shared" si="3"/>
        <v/>
      </c>
      <c r="I330" t="str">
        <f t="shared" si="2"/>
        <v/>
      </c>
    </row>
    <row r="331">
      <c r="A331" s="2"/>
      <c r="H331" t="str">
        <f t="shared" si="3"/>
        <v/>
      </c>
      <c r="I331" t="str">
        <f t="shared" si="2"/>
        <v/>
      </c>
    </row>
    <row r="332">
      <c r="A332" s="2"/>
      <c r="H332" t="str">
        <f t="shared" si="3"/>
        <v/>
      </c>
      <c r="I332" t="str">
        <f t="shared" si="2"/>
        <v/>
      </c>
    </row>
    <row r="333">
      <c r="A333" s="2"/>
      <c r="H333" t="str">
        <f t="shared" si="3"/>
        <v/>
      </c>
      <c r="I333" t="str">
        <f t="shared" si="2"/>
        <v/>
      </c>
    </row>
    <row r="334">
      <c r="A334" s="2"/>
      <c r="H334" t="str">
        <f t="shared" si="3"/>
        <v/>
      </c>
      <c r="I334" t="str">
        <f t="shared" si="2"/>
        <v/>
      </c>
    </row>
    <row r="335">
      <c r="A335" s="2"/>
      <c r="H335" t="str">
        <f t="shared" si="3"/>
        <v/>
      </c>
      <c r="I335" t="str">
        <f t="shared" si="2"/>
        <v/>
      </c>
    </row>
    <row r="336">
      <c r="A336" s="2"/>
      <c r="H336" t="str">
        <f t="shared" si="3"/>
        <v/>
      </c>
      <c r="I336" t="str">
        <f t="shared" si="2"/>
        <v/>
      </c>
    </row>
    <row r="337">
      <c r="A337" s="2"/>
      <c r="H337" t="str">
        <f t="shared" si="3"/>
        <v/>
      </c>
      <c r="I337" t="str">
        <f t="shared" si="2"/>
        <v/>
      </c>
    </row>
    <row r="338">
      <c r="A338" s="2"/>
      <c r="H338" t="str">
        <f t="shared" si="3"/>
        <v/>
      </c>
      <c r="I338" t="str">
        <f t="shared" si="2"/>
        <v/>
      </c>
    </row>
    <row r="339">
      <c r="A339" s="2"/>
      <c r="H339" t="str">
        <f t="shared" si="3"/>
        <v/>
      </c>
      <c r="I339" t="str">
        <f t="shared" si="2"/>
        <v/>
      </c>
    </row>
    <row r="340">
      <c r="A340" s="2"/>
      <c r="H340" t="str">
        <f t="shared" si="3"/>
        <v/>
      </c>
      <c r="I340" t="str">
        <f t="shared" si="2"/>
        <v/>
      </c>
    </row>
    <row r="341">
      <c r="A341" s="2"/>
      <c r="H341" t="str">
        <f t="shared" si="3"/>
        <v/>
      </c>
      <c r="I341" t="str">
        <f t="shared" si="2"/>
        <v/>
      </c>
    </row>
    <row r="342">
      <c r="A342" s="2"/>
      <c r="H342" t="str">
        <f t="shared" si="3"/>
        <v/>
      </c>
      <c r="I342" t="str">
        <f t="shared" si="2"/>
        <v/>
      </c>
    </row>
    <row r="343">
      <c r="A343" s="2"/>
      <c r="H343" t="str">
        <f t="shared" si="3"/>
        <v/>
      </c>
      <c r="I343" t="str">
        <f t="shared" si="2"/>
        <v/>
      </c>
    </row>
    <row r="344">
      <c r="A344" s="2"/>
      <c r="H344" t="str">
        <f t="shared" si="3"/>
        <v/>
      </c>
      <c r="I344" t="str">
        <f t="shared" si="2"/>
        <v/>
      </c>
    </row>
    <row r="345">
      <c r="A345" s="2"/>
      <c r="H345" t="str">
        <f t="shared" si="3"/>
        <v/>
      </c>
      <c r="I345" t="str">
        <f t="shared" si="2"/>
        <v/>
      </c>
    </row>
    <row r="346">
      <c r="A346" s="2"/>
      <c r="H346" t="str">
        <f t="shared" si="3"/>
        <v/>
      </c>
      <c r="I346" t="str">
        <f t="shared" si="2"/>
        <v/>
      </c>
    </row>
    <row r="347">
      <c r="A347" s="2"/>
      <c r="H347" t="str">
        <f t="shared" si="3"/>
        <v/>
      </c>
      <c r="I347" t="str">
        <f t="shared" si="2"/>
        <v/>
      </c>
    </row>
    <row r="348">
      <c r="A348" s="2"/>
      <c r="H348" t="str">
        <f t="shared" si="3"/>
        <v/>
      </c>
      <c r="I348" t="str">
        <f t="shared" si="2"/>
        <v/>
      </c>
    </row>
    <row r="349">
      <c r="A349" s="2"/>
      <c r="H349" t="str">
        <f t="shared" si="3"/>
        <v/>
      </c>
      <c r="I349" t="str">
        <f t="shared" si="2"/>
        <v/>
      </c>
    </row>
    <row r="350">
      <c r="A350" s="2"/>
      <c r="H350" t="str">
        <f t="shared" si="3"/>
        <v/>
      </c>
      <c r="I350" t="str">
        <f t="shared" si="2"/>
        <v/>
      </c>
    </row>
    <row r="351">
      <c r="A351" s="2"/>
      <c r="H351" t="str">
        <f t="shared" si="3"/>
        <v/>
      </c>
      <c r="I351" t="str">
        <f t="shared" si="2"/>
        <v/>
      </c>
    </row>
    <row r="352">
      <c r="A352" s="2"/>
      <c r="H352" t="str">
        <f t="shared" si="3"/>
        <v/>
      </c>
      <c r="I352" t="str">
        <f t="shared" si="2"/>
        <v/>
      </c>
    </row>
    <row r="353">
      <c r="A353" s="2"/>
      <c r="H353" t="str">
        <f t="shared" si="3"/>
        <v/>
      </c>
      <c r="I353" t="str">
        <f t="shared" si="2"/>
        <v/>
      </c>
    </row>
    <row r="354">
      <c r="A354" s="2"/>
      <c r="H354" t="str">
        <f t="shared" si="3"/>
        <v/>
      </c>
      <c r="I354" t="str">
        <f t="shared" si="2"/>
        <v/>
      </c>
    </row>
    <row r="355">
      <c r="A355" s="2"/>
      <c r="H355" t="str">
        <f t="shared" si="3"/>
        <v/>
      </c>
      <c r="I355" t="str">
        <f t="shared" si="2"/>
        <v/>
      </c>
    </row>
    <row r="356">
      <c r="A356" s="2"/>
      <c r="H356" t="str">
        <f t="shared" si="3"/>
        <v/>
      </c>
      <c r="I356" t="str">
        <f t="shared" si="2"/>
        <v/>
      </c>
    </row>
    <row r="357">
      <c r="A357" s="2"/>
      <c r="H357" t="str">
        <f t="shared" si="3"/>
        <v/>
      </c>
      <c r="I357" t="str">
        <f t="shared" si="2"/>
        <v/>
      </c>
    </row>
    <row r="358">
      <c r="A358" s="2"/>
      <c r="H358" t="str">
        <f t="shared" si="3"/>
        <v/>
      </c>
      <c r="I358" t="str">
        <f t="shared" si="2"/>
        <v/>
      </c>
    </row>
    <row r="359">
      <c r="A359" s="2"/>
      <c r="H359" t="str">
        <f t="shared" si="3"/>
        <v/>
      </c>
      <c r="I359" t="str">
        <f t="shared" si="2"/>
        <v/>
      </c>
    </row>
    <row r="360">
      <c r="A360" s="2"/>
      <c r="H360" t="str">
        <f t="shared" si="3"/>
        <v/>
      </c>
      <c r="I360" t="str">
        <f t="shared" si="2"/>
        <v/>
      </c>
    </row>
    <row r="361">
      <c r="A361" s="2"/>
      <c r="H361" t="str">
        <f t="shared" si="3"/>
        <v/>
      </c>
      <c r="I361" t="str">
        <f t="shared" si="2"/>
        <v/>
      </c>
    </row>
    <row r="362">
      <c r="A362" s="2"/>
      <c r="H362" t="str">
        <f t="shared" si="3"/>
        <v/>
      </c>
      <c r="I362" t="str">
        <f t="shared" si="2"/>
        <v/>
      </c>
    </row>
    <row r="363">
      <c r="A363" s="2"/>
      <c r="H363" t="str">
        <f t="shared" si="3"/>
        <v/>
      </c>
      <c r="I363" t="str">
        <f t="shared" si="2"/>
        <v/>
      </c>
    </row>
    <row r="364">
      <c r="A364" s="2"/>
      <c r="H364" t="str">
        <f t="shared" si="3"/>
        <v/>
      </c>
      <c r="I364" t="str">
        <f t="shared" si="2"/>
        <v/>
      </c>
    </row>
    <row r="365">
      <c r="A365" s="2"/>
      <c r="H365" t="str">
        <f t="shared" si="3"/>
        <v/>
      </c>
      <c r="I365" t="str">
        <f t="shared" si="2"/>
        <v/>
      </c>
    </row>
    <row r="366">
      <c r="A366" s="2"/>
      <c r="H366" t="str">
        <f t="shared" si="3"/>
        <v/>
      </c>
      <c r="I366" t="str">
        <f t="shared" si="2"/>
        <v/>
      </c>
    </row>
    <row r="367">
      <c r="A367" s="2"/>
      <c r="H367" t="str">
        <f t="shared" si="3"/>
        <v/>
      </c>
      <c r="I367" t="str">
        <f t="shared" si="2"/>
        <v/>
      </c>
    </row>
    <row r="368">
      <c r="A368" s="2"/>
      <c r="H368" t="str">
        <f t="shared" si="3"/>
        <v/>
      </c>
      <c r="I368" t="str">
        <f t="shared" si="2"/>
        <v/>
      </c>
    </row>
    <row r="369">
      <c r="A369" s="2"/>
      <c r="H369" t="str">
        <f t="shared" si="3"/>
        <v/>
      </c>
      <c r="I369" t="str">
        <f t="shared" si="2"/>
        <v/>
      </c>
    </row>
    <row r="370">
      <c r="A370" s="2"/>
      <c r="H370" t="str">
        <f t="shared" si="3"/>
        <v/>
      </c>
      <c r="I370" t="str">
        <f t="shared" si="2"/>
        <v/>
      </c>
    </row>
    <row r="371">
      <c r="A371" s="2"/>
      <c r="H371" t="str">
        <f t="shared" si="3"/>
        <v/>
      </c>
      <c r="I371" t="str">
        <f t="shared" si="2"/>
        <v/>
      </c>
    </row>
    <row r="372">
      <c r="A372" s="2"/>
      <c r="H372" t="str">
        <f t="shared" si="3"/>
        <v/>
      </c>
      <c r="I372" t="str">
        <f t="shared" si="2"/>
        <v/>
      </c>
    </row>
    <row r="373">
      <c r="A373" s="2"/>
      <c r="H373" t="str">
        <f t="shared" si="3"/>
        <v/>
      </c>
      <c r="I373" t="str">
        <f t="shared" si="2"/>
        <v/>
      </c>
    </row>
    <row r="374">
      <c r="A374" s="2"/>
      <c r="H374" t="str">
        <f t="shared" si="3"/>
        <v/>
      </c>
      <c r="I374" t="str">
        <f t="shared" si="2"/>
        <v/>
      </c>
    </row>
    <row r="375">
      <c r="A375" s="2"/>
      <c r="H375" t="str">
        <f t="shared" si="3"/>
        <v/>
      </c>
      <c r="I375" t="str">
        <f t="shared" si="2"/>
        <v/>
      </c>
    </row>
    <row r="376">
      <c r="A376" s="2"/>
      <c r="H376" t="str">
        <f t="shared" si="3"/>
        <v/>
      </c>
      <c r="I376" t="str">
        <f t="shared" si="2"/>
        <v/>
      </c>
    </row>
    <row r="377">
      <c r="A377" s="2"/>
      <c r="H377" t="str">
        <f t="shared" si="3"/>
        <v/>
      </c>
      <c r="I377" t="str">
        <f t="shared" si="2"/>
        <v/>
      </c>
    </row>
    <row r="378">
      <c r="A378" s="2"/>
      <c r="H378" t="str">
        <f t="shared" si="3"/>
        <v/>
      </c>
      <c r="I378" t="str">
        <f t="shared" si="2"/>
        <v/>
      </c>
    </row>
    <row r="379">
      <c r="A379" s="2"/>
      <c r="H379" t="str">
        <f t="shared" si="3"/>
        <v/>
      </c>
      <c r="I379" t="str">
        <f t="shared" si="2"/>
        <v/>
      </c>
    </row>
    <row r="380">
      <c r="A380" s="2"/>
      <c r="H380" t="str">
        <f t="shared" si="3"/>
        <v/>
      </c>
      <c r="I380" t="str">
        <f t="shared" si="2"/>
        <v/>
      </c>
    </row>
    <row r="381">
      <c r="A381" s="2"/>
      <c r="H381" t="str">
        <f t="shared" si="3"/>
        <v/>
      </c>
      <c r="I381" t="str">
        <f t="shared" si="2"/>
        <v/>
      </c>
    </row>
    <row r="382">
      <c r="A382" s="2"/>
      <c r="H382" t="str">
        <f t="shared" si="3"/>
        <v/>
      </c>
      <c r="I382" t="str">
        <f t="shared" si="2"/>
        <v/>
      </c>
    </row>
    <row r="383">
      <c r="A383" s="2"/>
      <c r="H383" t="str">
        <f t="shared" si="3"/>
        <v/>
      </c>
      <c r="I383" t="str">
        <f t="shared" si="2"/>
        <v/>
      </c>
    </row>
    <row r="384">
      <c r="A384" s="2"/>
      <c r="H384" t="str">
        <f t="shared" si="3"/>
        <v/>
      </c>
      <c r="I384" t="str">
        <f t="shared" si="2"/>
        <v/>
      </c>
    </row>
    <row r="385">
      <c r="A385" s="2"/>
      <c r="H385" t="str">
        <f t="shared" si="3"/>
        <v/>
      </c>
      <c r="I385" t="str">
        <f t="shared" si="2"/>
        <v/>
      </c>
    </row>
    <row r="386">
      <c r="A386" s="2"/>
      <c r="H386" t="str">
        <f t="shared" si="3"/>
        <v/>
      </c>
      <c r="I386" t="str">
        <f t="shared" si="2"/>
        <v/>
      </c>
    </row>
    <row r="387">
      <c r="A387" s="2"/>
      <c r="H387" t="str">
        <f t="shared" si="3"/>
        <v/>
      </c>
      <c r="I387" t="str">
        <f t="shared" si="2"/>
        <v/>
      </c>
    </row>
    <row r="388">
      <c r="A388" s="2"/>
      <c r="H388" t="str">
        <f t="shared" si="3"/>
        <v/>
      </c>
      <c r="I388" t="str">
        <f t="shared" si="2"/>
        <v/>
      </c>
    </row>
    <row r="389">
      <c r="A389" s="2"/>
      <c r="H389" t="str">
        <f t="shared" si="3"/>
        <v/>
      </c>
      <c r="I389" t="str">
        <f t="shared" si="2"/>
        <v/>
      </c>
    </row>
    <row r="390">
      <c r="A390" s="2"/>
      <c r="H390" t="str">
        <f t="shared" si="3"/>
        <v/>
      </c>
      <c r="I390" t="str">
        <f t="shared" si="2"/>
        <v/>
      </c>
    </row>
    <row r="391">
      <c r="A391" s="2"/>
      <c r="H391" t="str">
        <f t="shared" si="3"/>
        <v/>
      </c>
      <c r="I391" t="str">
        <f t="shared" si="2"/>
        <v/>
      </c>
    </row>
    <row r="392">
      <c r="A392" s="2"/>
      <c r="H392" t="str">
        <f t="shared" si="3"/>
        <v/>
      </c>
      <c r="I392" t="str">
        <f t="shared" si="2"/>
        <v/>
      </c>
    </row>
    <row r="393">
      <c r="A393" s="2"/>
      <c r="H393" t="str">
        <f t="shared" si="3"/>
        <v/>
      </c>
      <c r="I393" t="str">
        <f t="shared" si="2"/>
        <v/>
      </c>
    </row>
    <row r="394">
      <c r="A394" s="2"/>
      <c r="H394" t="str">
        <f t="shared" si="3"/>
        <v/>
      </c>
      <c r="I394" t="str">
        <f t="shared" si="2"/>
        <v/>
      </c>
    </row>
    <row r="395">
      <c r="A395" s="2"/>
      <c r="H395" t="str">
        <f t="shared" si="3"/>
        <v/>
      </c>
      <c r="I395" t="str">
        <f t="shared" si="2"/>
        <v/>
      </c>
    </row>
    <row r="396">
      <c r="A396" s="2"/>
      <c r="H396" t="str">
        <f t="shared" si="3"/>
        <v/>
      </c>
      <c r="I396" t="str">
        <f t="shared" si="2"/>
        <v/>
      </c>
    </row>
    <row r="397">
      <c r="A397" s="2"/>
      <c r="H397" t="str">
        <f t="shared" si="3"/>
        <v/>
      </c>
      <c r="I397" t="str">
        <f t="shared" si="2"/>
        <v/>
      </c>
    </row>
    <row r="398">
      <c r="A398" s="2"/>
      <c r="H398" t="str">
        <f t="shared" si="3"/>
        <v/>
      </c>
      <c r="I398" t="str">
        <f t="shared" si="2"/>
        <v/>
      </c>
    </row>
    <row r="399">
      <c r="A399" s="2"/>
      <c r="H399" t="str">
        <f t="shared" si="3"/>
        <v/>
      </c>
      <c r="I399" t="str">
        <f t="shared" si="2"/>
        <v/>
      </c>
    </row>
    <row r="400">
      <c r="A400" s="2"/>
      <c r="H400" t="str">
        <f t="shared" si="3"/>
        <v/>
      </c>
      <c r="I400" t="str">
        <f t="shared" si="2"/>
        <v/>
      </c>
    </row>
    <row r="401">
      <c r="A401" s="2"/>
      <c r="H401" t="str">
        <f t="shared" si="3"/>
        <v/>
      </c>
      <c r="I401" t="str">
        <f t="shared" si="2"/>
        <v/>
      </c>
    </row>
    <row r="402">
      <c r="A402" s="2"/>
      <c r="H402" t="str">
        <f t="shared" si="3"/>
        <v/>
      </c>
      <c r="I402" t="str">
        <f t="shared" si="2"/>
        <v/>
      </c>
    </row>
    <row r="403">
      <c r="A403" s="2"/>
      <c r="H403" t="str">
        <f t="shared" si="3"/>
        <v/>
      </c>
      <c r="I403" t="str">
        <f t="shared" si="2"/>
        <v/>
      </c>
    </row>
    <row r="404">
      <c r="A404" s="2"/>
      <c r="H404" t="str">
        <f t="shared" si="3"/>
        <v/>
      </c>
      <c r="I404" t="str">
        <f t="shared" si="2"/>
        <v/>
      </c>
    </row>
    <row r="405">
      <c r="A405" s="2"/>
      <c r="H405" t="str">
        <f t="shared" si="3"/>
        <v/>
      </c>
      <c r="I405" t="str">
        <f t="shared" si="2"/>
        <v/>
      </c>
    </row>
    <row r="406">
      <c r="A406" s="2"/>
      <c r="H406" t="str">
        <f t="shared" si="3"/>
        <v/>
      </c>
      <c r="I406" t="str">
        <f t="shared" si="2"/>
        <v/>
      </c>
    </row>
    <row r="407">
      <c r="A407" s="2"/>
      <c r="H407" t="str">
        <f t="shared" si="3"/>
        <v/>
      </c>
      <c r="I407" t="str">
        <f t="shared" si="2"/>
        <v/>
      </c>
    </row>
    <row r="408">
      <c r="A408" s="2"/>
      <c r="H408" t="str">
        <f t="shared" si="3"/>
        <v/>
      </c>
      <c r="I408" t="str">
        <f t="shared" si="2"/>
        <v/>
      </c>
    </row>
    <row r="409">
      <c r="A409" s="2"/>
      <c r="H409" t="str">
        <f t="shared" si="3"/>
        <v/>
      </c>
      <c r="I409" t="str">
        <f t="shared" si="2"/>
        <v/>
      </c>
    </row>
    <row r="410">
      <c r="A410" s="2"/>
      <c r="H410" t="str">
        <f t="shared" si="3"/>
        <v/>
      </c>
      <c r="I410" t="str">
        <f t="shared" si="2"/>
        <v/>
      </c>
    </row>
    <row r="411">
      <c r="A411" s="2"/>
      <c r="H411" t="str">
        <f t="shared" si="3"/>
        <v/>
      </c>
      <c r="I411" t="str">
        <f t="shared" si="2"/>
        <v/>
      </c>
    </row>
    <row r="412">
      <c r="A412" s="2"/>
      <c r="H412" t="str">
        <f t="shared" si="3"/>
        <v/>
      </c>
      <c r="I412" t="str">
        <f t="shared" si="2"/>
        <v/>
      </c>
    </row>
    <row r="413">
      <c r="A413" s="2"/>
      <c r="H413" t="str">
        <f t="shared" si="3"/>
        <v/>
      </c>
      <c r="I413" t="str">
        <f t="shared" si="2"/>
        <v/>
      </c>
    </row>
    <row r="414">
      <c r="A414" s="2"/>
      <c r="H414" t="str">
        <f t="shared" si="3"/>
        <v/>
      </c>
      <c r="I414" t="str">
        <f t="shared" si="2"/>
        <v/>
      </c>
    </row>
    <row r="415">
      <c r="A415" s="2"/>
      <c r="H415" t="str">
        <f t="shared" si="3"/>
        <v/>
      </c>
      <c r="I415" t="str">
        <f t="shared" si="2"/>
        <v/>
      </c>
    </row>
    <row r="416">
      <c r="A416" s="2"/>
      <c r="H416" t="str">
        <f t="shared" si="3"/>
        <v/>
      </c>
      <c r="I416" t="str">
        <f t="shared" si="2"/>
        <v/>
      </c>
    </row>
    <row r="417">
      <c r="A417" s="2"/>
      <c r="H417" t="str">
        <f t="shared" si="3"/>
        <v/>
      </c>
      <c r="I417" t="str">
        <f t="shared" si="2"/>
        <v/>
      </c>
    </row>
    <row r="418">
      <c r="A418" s="2"/>
      <c r="H418" t="str">
        <f t="shared" si="3"/>
        <v/>
      </c>
      <c r="I418" t="str">
        <f t="shared" si="2"/>
        <v/>
      </c>
    </row>
    <row r="419">
      <c r="A419" s="2"/>
      <c r="H419" t="str">
        <f t="shared" si="3"/>
        <v/>
      </c>
      <c r="I419" t="str">
        <f t="shared" si="2"/>
        <v/>
      </c>
    </row>
    <row r="420">
      <c r="A420" s="2"/>
      <c r="H420" t="str">
        <f t="shared" si="3"/>
        <v/>
      </c>
      <c r="I420" t="str">
        <f t="shared" si="2"/>
        <v/>
      </c>
    </row>
    <row r="421">
      <c r="A421" s="2"/>
      <c r="H421" t="str">
        <f t="shared" si="3"/>
        <v/>
      </c>
      <c r="I421" t="str">
        <f t="shared" si="2"/>
        <v/>
      </c>
    </row>
    <row r="422">
      <c r="A422" s="2"/>
      <c r="H422" t="str">
        <f t="shared" si="3"/>
        <v/>
      </c>
      <c r="I422" t="str">
        <f t="shared" si="2"/>
        <v/>
      </c>
    </row>
    <row r="423">
      <c r="A423" s="2"/>
      <c r="H423" t="str">
        <f t="shared" si="3"/>
        <v/>
      </c>
      <c r="I423" t="str">
        <f t="shared" si="2"/>
        <v/>
      </c>
    </row>
    <row r="424">
      <c r="A424" s="2"/>
      <c r="H424" t="str">
        <f t="shared" si="3"/>
        <v/>
      </c>
      <c r="I424" t="str">
        <f t="shared" si="2"/>
        <v/>
      </c>
    </row>
    <row r="425">
      <c r="A425" s="2"/>
      <c r="H425" t="str">
        <f t="shared" si="3"/>
        <v/>
      </c>
      <c r="I425" t="str">
        <f t="shared" si="2"/>
        <v/>
      </c>
    </row>
    <row r="426">
      <c r="A426" s="2"/>
      <c r="H426" t="str">
        <f t="shared" si="3"/>
        <v/>
      </c>
      <c r="I426" t="str">
        <f t="shared" si="2"/>
        <v/>
      </c>
    </row>
    <row r="427">
      <c r="A427" s="2"/>
      <c r="H427" t="str">
        <f t="shared" si="3"/>
        <v/>
      </c>
      <c r="I427" t="str">
        <f t="shared" si="2"/>
        <v/>
      </c>
    </row>
    <row r="428">
      <c r="A428" s="2"/>
      <c r="H428" t="str">
        <f t="shared" si="3"/>
        <v/>
      </c>
      <c r="I428" t="str">
        <f t="shared" si="2"/>
        <v/>
      </c>
    </row>
    <row r="429">
      <c r="A429" s="2"/>
      <c r="H429" t="str">
        <f t="shared" si="3"/>
        <v/>
      </c>
      <c r="I429" t="str">
        <f t="shared" si="2"/>
        <v/>
      </c>
    </row>
    <row r="430">
      <c r="A430" s="2"/>
      <c r="H430" t="str">
        <f t="shared" si="3"/>
        <v/>
      </c>
      <c r="I430" t="str">
        <f t="shared" si="2"/>
        <v/>
      </c>
    </row>
    <row r="431">
      <c r="A431" s="2"/>
      <c r="H431" t="str">
        <f t="shared" si="3"/>
        <v/>
      </c>
      <c r="I431" t="str">
        <f t="shared" si="2"/>
        <v/>
      </c>
    </row>
    <row r="432">
      <c r="A432" s="2"/>
      <c r="H432" t="str">
        <f t="shared" si="3"/>
        <v/>
      </c>
      <c r="I432" t="str">
        <f t="shared" si="2"/>
        <v/>
      </c>
    </row>
    <row r="433">
      <c r="A433" s="2"/>
      <c r="H433" t="str">
        <f t="shared" si="3"/>
        <v/>
      </c>
      <c r="I433" t="str">
        <f t="shared" si="2"/>
        <v/>
      </c>
    </row>
    <row r="434">
      <c r="A434" s="2"/>
      <c r="C434" s="41"/>
      <c r="H434" t="str">
        <f t="shared" si="3"/>
        <v/>
      </c>
      <c r="I434" t="str">
        <f t="shared" si="2"/>
        <v/>
      </c>
    </row>
    <row r="435">
      <c r="A435" s="2"/>
      <c r="C435" s="41"/>
      <c r="H435" t="str">
        <f t="shared" si="3"/>
        <v/>
      </c>
      <c r="I435" t="str">
        <f t="shared" si="2"/>
        <v/>
      </c>
    </row>
    <row r="436">
      <c r="A436" s="2"/>
      <c r="C436" s="41"/>
      <c r="H436" t="str">
        <f t="shared" si="3"/>
        <v/>
      </c>
      <c r="I436" t="str">
        <f t="shared" si="2"/>
        <v/>
      </c>
    </row>
    <row r="437">
      <c r="A437" s="2"/>
      <c r="C437" s="41"/>
      <c r="H437" t="str">
        <f t="shared" si="3"/>
        <v/>
      </c>
      <c r="I437" t="str">
        <f t="shared" si="2"/>
        <v/>
      </c>
    </row>
    <row r="438">
      <c r="A438" s="2"/>
      <c r="B438" s="43"/>
      <c r="C438" s="41"/>
      <c r="H438" t="str">
        <f t="shared" si="3"/>
        <v/>
      </c>
      <c r="I438" t="str">
        <f t="shared" si="2"/>
        <v/>
      </c>
    </row>
    <row r="439">
      <c r="A439" s="2"/>
      <c r="C439" s="6"/>
      <c r="H439" t="str">
        <f t="shared" si="3"/>
        <v/>
      </c>
      <c r="I439" t="str">
        <f t="shared" si="2"/>
        <v/>
      </c>
    </row>
    <row r="440">
      <c r="A440" s="2"/>
      <c r="C440" s="6"/>
      <c r="H440" t="str">
        <f t="shared" si="3"/>
        <v/>
      </c>
      <c r="I440" t="str">
        <f t="shared" si="2"/>
        <v/>
      </c>
    </row>
    <row r="441">
      <c r="A441" s="2"/>
      <c r="H441" t="str">
        <f t="shared" si="3"/>
        <v/>
      </c>
      <c r="I441" t="str">
        <f t="shared" si="2"/>
        <v/>
      </c>
    </row>
    <row r="442">
      <c r="A442" s="2"/>
      <c r="H442" t="str">
        <f t="shared" si="3"/>
        <v/>
      </c>
      <c r="I442" t="str">
        <f t="shared" si="2"/>
        <v/>
      </c>
    </row>
    <row r="443">
      <c r="A443" s="2"/>
      <c r="F443" s="45"/>
      <c r="H443" t="str">
        <f t="shared" si="3"/>
        <v/>
      </c>
      <c r="I443" t="str">
        <f t="shared" si="2"/>
        <v/>
      </c>
    </row>
    <row r="444">
      <c r="A444" s="2"/>
      <c r="H444" t="str">
        <f t="shared" si="3"/>
        <v/>
      </c>
      <c r="I444" t="str">
        <f t="shared" si="2"/>
        <v/>
      </c>
    </row>
    <row r="445">
      <c r="I445" t="str">
        <f t="shared" si="2"/>
        <v/>
      </c>
    </row>
    <row r="446">
      <c r="I446" t="str">
        <f t="shared" si="2"/>
        <v/>
      </c>
    </row>
    <row r="447">
      <c r="I447" t="str">
        <f t="shared" si="2"/>
        <v/>
      </c>
    </row>
    <row r="448">
      <c r="I448" t="str">
        <f t="shared" si="2"/>
        <v/>
      </c>
    </row>
    <row r="449">
      <c r="I449" t="str">
        <f t="shared" si="2"/>
        <v/>
      </c>
    </row>
    <row r="450">
      <c r="I450" t="str">
        <f t="shared" si="2"/>
        <v/>
      </c>
    </row>
    <row r="451">
      <c r="I451" t="str">
        <f t="shared" si="2"/>
        <v/>
      </c>
    </row>
    <row r="452">
      <c r="I452" t="str">
        <f t="shared" si="2"/>
        <v/>
      </c>
    </row>
    <row r="453">
      <c r="I453" t="str">
        <f t="shared" si="2"/>
        <v/>
      </c>
    </row>
    <row r="454">
      <c r="I454" t="str">
        <f t="shared" si="2"/>
        <v/>
      </c>
    </row>
    <row r="455">
      <c r="I455" t="str">
        <f t="shared" si="2"/>
        <v/>
      </c>
    </row>
    <row r="456">
      <c r="I456" t="str">
        <f t="shared" si="2"/>
        <v/>
      </c>
    </row>
    <row r="457">
      <c r="I457" t="str">
        <f t="shared" si="2"/>
        <v/>
      </c>
    </row>
    <row r="458">
      <c r="I458" t="str">
        <f t="shared" si="2"/>
        <v/>
      </c>
    </row>
    <row r="459">
      <c r="I459" t="str">
        <f t="shared" si="2"/>
        <v/>
      </c>
    </row>
    <row r="460">
      <c r="I460" t="str">
        <f t="shared" si="2"/>
        <v/>
      </c>
    </row>
    <row r="461">
      <c r="I461" t="str">
        <f t="shared" si="2"/>
        <v/>
      </c>
    </row>
    <row r="462">
      <c r="I462" t="str">
        <f t="shared" si="2"/>
        <v/>
      </c>
    </row>
    <row r="463">
      <c r="I463" t="str">
        <f t="shared" si="2"/>
        <v/>
      </c>
    </row>
    <row r="464">
      <c r="I464" t="str">
        <f t="shared" si="2"/>
        <v/>
      </c>
    </row>
    <row r="465">
      <c r="I465" t="str">
        <f t="shared" si="2"/>
        <v/>
      </c>
    </row>
    <row r="466">
      <c r="I466" t="str">
        <f t="shared" si="2"/>
        <v/>
      </c>
    </row>
    <row r="467">
      <c r="I467" t="str">
        <f t="shared" si="2"/>
        <v/>
      </c>
    </row>
    <row r="468">
      <c r="I468" t="str">
        <f t="shared" si="2"/>
        <v/>
      </c>
    </row>
    <row r="469">
      <c r="I469" t="str">
        <f t="shared" si="2"/>
        <v/>
      </c>
    </row>
    <row r="470">
      <c r="I470" t="str">
        <f t="shared" si="2"/>
        <v/>
      </c>
    </row>
    <row r="471">
      <c r="I471" t="str">
        <f t="shared" si="2"/>
        <v/>
      </c>
    </row>
    <row r="472">
      <c r="I472" t="str">
        <f t="shared" si="2"/>
        <v/>
      </c>
    </row>
    <row r="473">
      <c r="I473" t="str">
        <f t="shared" si="2"/>
        <v/>
      </c>
    </row>
    <row r="474">
      <c r="I474" t="str">
        <f t="shared" si="2"/>
        <v/>
      </c>
    </row>
    <row r="475">
      <c r="I475" t="str">
        <f t="shared" si="2"/>
        <v/>
      </c>
    </row>
    <row r="476">
      <c r="I476" t="str">
        <f t="shared" si="2"/>
        <v/>
      </c>
    </row>
    <row r="477">
      <c r="I477" t="str">
        <f t="shared" si="2"/>
        <v/>
      </c>
    </row>
    <row r="478">
      <c r="I478" t="str">
        <f t="shared" si="2"/>
        <v/>
      </c>
    </row>
    <row r="479">
      <c r="I479" t="str">
        <f t="shared" si="2"/>
        <v/>
      </c>
    </row>
    <row r="480">
      <c r="I480" t="str">
        <f t="shared" si="2"/>
        <v/>
      </c>
    </row>
    <row r="481">
      <c r="I481" t="str">
        <f t="shared" si="2"/>
        <v/>
      </c>
    </row>
    <row r="482">
      <c r="I482" t="str">
        <f t="shared" si="2"/>
        <v/>
      </c>
    </row>
    <row r="483">
      <c r="I483" t="str">
        <f t="shared" si="2"/>
        <v/>
      </c>
    </row>
    <row r="484">
      <c r="I484" t="str">
        <f t="shared" si="2"/>
        <v/>
      </c>
    </row>
    <row r="485">
      <c r="I485" t="str">
        <f t="shared" si="2"/>
        <v/>
      </c>
    </row>
    <row r="486">
      <c r="I486" t="str">
        <f t="shared" si="2"/>
        <v/>
      </c>
    </row>
    <row r="487">
      <c r="I487" t="str">
        <f t="shared" si="2"/>
        <v/>
      </c>
    </row>
    <row r="488">
      <c r="I488" t="str">
        <f t="shared" si="2"/>
        <v/>
      </c>
    </row>
    <row r="489">
      <c r="I489" t="str">
        <f t="shared" si="2"/>
        <v/>
      </c>
    </row>
    <row r="490">
      <c r="I490" t="str">
        <f t="shared" si="2"/>
        <v/>
      </c>
    </row>
    <row r="491">
      <c r="I491" t="str">
        <f t="shared" si="2"/>
        <v/>
      </c>
    </row>
    <row r="492">
      <c r="I492" t="str">
        <f t="shared" si="2"/>
        <v/>
      </c>
    </row>
    <row r="493">
      <c r="I493" t="str">
        <f t="shared" si="2"/>
        <v/>
      </c>
    </row>
    <row r="494">
      <c r="I494" t="str">
        <f t="shared" si="2"/>
        <v/>
      </c>
    </row>
    <row r="495">
      <c r="I495" t="str">
        <f t="shared" si="2"/>
        <v/>
      </c>
    </row>
    <row r="496">
      <c r="I496" t="str">
        <f t="shared" si="2"/>
        <v/>
      </c>
    </row>
    <row r="497">
      <c r="I497" t="str">
        <f t="shared" si="2"/>
        <v/>
      </c>
    </row>
    <row r="498">
      <c r="I498" t="str">
        <f t="shared" si="2"/>
        <v/>
      </c>
    </row>
    <row r="499">
      <c r="I499" t="str">
        <f t="shared" si="2"/>
        <v/>
      </c>
    </row>
    <row r="500">
      <c r="I500" t="str">
        <f t="shared" si="2"/>
        <v/>
      </c>
    </row>
    <row r="501">
      <c r="I501" t="str">
        <f t="shared" si="2"/>
        <v/>
      </c>
    </row>
    <row r="502">
      <c r="I502" t="str">
        <f t="shared" si="2"/>
        <v/>
      </c>
    </row>
    <row r="503">
      <c r="I503" t="str">
        <f t="shared" si="2"/>
        <v/>
      </c>
    </row>
    <row r="504">
      <c r="I504" t="str">
        <f t="shared" si="2"/>
        <v/>
      </c>
    </row>
    <row r="505">
      <c r="I505" t="str">
        <f t="shared" si="2"/>
        <v/>
      </c>
    </row>
    <row r="506">
      <c r="I506" t="str">
        <f t="shared" si="2"/>
        <v/>
      </c>
    </row>
    <row r="507">
      <c r="I507" t="str">
        <f t="shared" si="2"/>
        <v/>
      </c>
    </row>
    <row r="508">
      <c r="I508" t="str">
        <f t="shared" si="2"/>
        <v/>
      </c>
    </row>
    <row r="509">
      <c r="I509" t="str">
        <f t="shared" si="2"/>
        <v/>
      </c>
    </row>
    <row r="510">
      <c r="I510" t="str">
        <f t="shared" si="2"/>
        <v/>
      </c>
    </row>
    <row r="511">
      <c r="I511" t="str">
        <f t="shared" si="2"/>
        <v/>
      </c>
    </row>
    <row r="512">
      <c r="I512" t="str">
        <f t="shared" si="2"/>
        <v/>
      </c>
    </row>
    <row r="513">
      <c r="I513" t="str">
        <f t="shared" si="2"/>
        <v/>
      </c>
    </row>
    <row r="514">
      <c r="I514" t="str">
        <f t="shared" si="2"/>
        <v/>
      </c>
    </row>
    <row r="515">
      <c r="I515" t="str">
        <f t="shared" si="2"/>
        <v/>
      </c>
    </row>
    <row r="516">
      <c r="I516" t="str">
        <f t="shared" si="2"/>
        <v/>
      </c>
    </row>
    <row r="517">
      <c r="I517" t="str">
        <f t="shared" si="2"/>
        <v/>
      </c>
    </row>
    <row r="518">
      <c r="I518" t="str">
        <f t="shared" si="2"/>
        <v/>
      </c>
    </row>
    <row r="519">
      <c r="I519" t="str">
        <f t="shared" si="2"/>
        <v/>
      </c>
    </row>
    <row r="520">
      <c r="I520" t="str">
        <f t="shared" si="2"/>
        <v/>
      </c>
    </row>
    <row r="521">
      <c r="I521" t="str">
        <f t="shared" si="2"/>
        <v/>
      </c>
    </row>
    <row r="522">
      <c r="I522" t="str">
        <f t="shared" si="2"/>
        <v/>
      </c>
    </row>
    <row r="523">
      <c r="I523" t="str">
        <f t="shared" si="2"/>
        <v/>
      </c>
    </row>
    <row r="524">
      <c r="I524" t="str">
        <f t="shared" si="2"/>
        <v/>
      </c>
    </row>
    <row r="525">
      <c r="I525" t="str">
        <f t="shared" si="2"/>
        <v/>
      </c>
    </row>
    <row r="526">
      <c r="I526" t="str">
        <f t="shared" si="2"/>
        <v/>
      </c>
    </row>
    <row r="527">
      <c r="I527" t="str">
        <f t="shared" si="2"/>
        <v/>
      </c>
    </row>
    <row r="528">
      <c r="I528" t="str">
        <f t="shared" si="2"/>
        <v/>
      </c>
    </row>
    <row r="529">
      <c r="I529" t="str">
        <f t="shared" si="2"/>
        <v/>
      </c>
    </row>
    <row r="530">
      <c r="I530" t="str">
        <f t="shared" si="2"/>
        <v/>
      </c>
    </row>
    <row r="531">
      <c r="I531" t="str">
        <f t="shared" si="2"/>
        <v/>
      </c>
    </row>
    <row r="532">
      <c r="I532" t="str">
        <f t="shared" si="2"/>
        <v/>
      </c>
    </row>
    <row r="533">
      <c r="I533" t="str">
        <f t="shared" si="2"/>
        <v/>
      </c>
    </row>
  </sheetData>
  <autoFilter ref="$A$1:$G$1"/>
  <conditionalFormatting sqref="B1:B533">
    <cfRule type="expression" dxfId="0" priority="1">
      <formula>countif(B:B,B1)&gt;1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6.14"/>
    <col customWidth="1" min="2" max="2" width="13.43"/>
    <col customWidth="1" min="3" max="3" width="8.86"/>
    <col customWidth="1" min="4" max="4" width="11.43"/>
    <col customWidth="1" min="5" max="5" width="10.29"/>
    <col customWidth="1" min="6" max="6" width="62.0"/>
    <col customWidth="1" min="7" max="7" width="28.71"/>
    <col customWidth="1" hidden="1" min="8" max="8" width="19.0"/>
    <col customWidth="1" min="9" max="9" width="12.14"/>
    <col customWidth="1" hidden="1" min="10" max="10" width="9.14"/>
    <col customWidth="1" hidden="1" min="11" max="11" width="8.29"/>
    <col customWidth="1" min="12" max="12" width="13.86"/>
    <col customWidth="1" hidden="1" min="13" max="17" width="9.14"/>
    <col customWidth="1" min="18" max="18" width="6.86"/>
    <col customWidth="1" min="19" max="19" width="8.29"/>
    <col customWidth="1" min="20" max="20" width="27.0"/>
    <col customWidth="1" min="21" max="22" width="13.86"/>
    <col customWidth="1" min="23" max="23" width="9.86"/>
    <col customWidth="1" hidden="1" min="24" max="24" width="9.86"/>
    <col customWidth="1" min="25" max="25" width="16.43"/>
    <col customWidth="1" min="26" max="26" width="11.57"/>
    <col customWidth="1" min="27" max="27" width="11.29"/>
    <col customWidth="1" min="28" max="28" width="15.14"/>
    <col customWidth="1" min="29" max="30" width="11.57"/>
    <col customWidth="1" min="31" max="31" width="26.57"/>
  </cols>
  <sheetData>
    <row r="1">
      <c r="A1" s="19"/>
      <c r="B1" s="20"/>
      <c r="C1" s="20"/>
      <c r="D1" s="21" t="s">
        <v>468</v>
      </c>
      <c r="E1" s="21">
        <f>$R$4</f>
        <v>69</v>
      </c>
      <c r="F1" s="20"/>
      <c r="G1" s="20"/>
      <c r="H1" s="19"/>
      <c r="I1" s="22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3"/>
      <c r="X1" s="19"/>
      <c r="Y1" s="24"/>
      <c r="Z1" s="19"/>
      <c r="AC1" s="19"/>
      <c r="AD1" s="19"/>
    </row>
    <row r="2">
      <c r="A2" s="19"/>
      <c r="B2" s="20"/>
      <c r="C2" s="20"/>
      <c r="D2" s="21" t="s">
        <v>469</v>
      </c>
      <c r="E2" s="21">
        <f>Payment!C27+Payment!D27</f>
        <v>0</v>
      </c>
      <c r="F2" s="20"/>
      <c r="G2" s="20"/>
      <c r="H2" s="19"/>
      <c r="I2" s="22"/>
      <c r="J2" s="19"/>
      <c r="K2" s="19"/>
      <c r="L2" s="19"/>
      <c r="M2" s="19"/>
      <c r="N2" s="19"/>
      <c r="O2" s="19"/>
      <c r="P2" s="19"/>
      <c r="Q2" s="19"/>
      <c r="R2" s="19"/>
      <c r="S2" s="19"/>
      <c r="T2" s="19" t="s">
        <v>471</v>
      </c>
      <c r="U2" s="19"/>
      <c r="V2" s="19">
        <f>SUBTOTAL(9,AC8:AC501)</f>
        <v>54</v>
      </c>
      <c r="W2" s="23"/>
      <c r="X2" s="19"/>
      <c r="Y2" s="24"/>
      <c r="Z2" s="19"/>
      <c r="AC2" s="19"/>
      <c r="AD2" s="19"/>
    </row>
    <row r="3">
      <c r="A3" s="19"/>
      <c r="B3" s="20"/>
      <c r="C3" s="20"/>
      <c r="D3" s="25" t="s">
        <v>472</v>
      </c>
      <c r="E3" s="25"/>
      <c r="F3" s="20"/>
      <c r="G3" s="20"/>
      <c r="H3" s="19"/>
      <c r="I3" s="22"/>
      <c r="J3" s="19"/>
      <c r="K3" s="19"/>
      <c r="L3" s="19">
        <f>SUM(S8:S501)</f>
        <v>142200</v>
      </c>
      <c r="M3" s="19"/>
      <c r="N3" s="19"/>
      <c r="O3" s="19"/>
      <c r="P3" s="19"/>
      <c r="Q3" s="19"/>
      <c r="R3" s="19"/>
      <c r="S3" s="19"/>
      <c r="T3" s="19" t="s">
        <v>473</v>
      </c>
      <c r="U3" s="19"/>
      <c r="V3" s="19">
        <f>SUBTOTAL(9,AD8:AD501)</f>
        <v>15</v>
      </c>
      <c r="W3" s="23"/>
      <c r="X3" s="19"/>
      <c r="Y3" s="24"/>
      <c r="Z3" s="19"/>
      <c r="AC3" s="19"/>
      <c r="AD3" s="19"/>
    </row>
    <row r="4">
      <c r="A4" s="19"/>
      <c r="B4" s="19"/>
      <c r="C4" s="19"/>
      <c r="D4" s="26" t="s">
        <v>474</v>
      </c>
      <c r="E4" s="21">
        <f>SUM(E1:E2)</f>
        <v>69</v>
      </c>
      <c r="F4" s="19"/>
      <c r="G4" s="19"/>
      <c r="H4" s="19"/>
      <c r="I4" s="22"/>
      <c r="J4" s="19"/>
      <c r="K4" s="19"/>
      <c r="L4" s="19" t="s">
        <v>475</v>
      </c>
      <c r="M4" s="19"/>
      <c r="N4" s="19"/>
      <c r="O4" s="19"/>
      <c r="P4" s="19"/>
      <c r="Q4" s="19"/>
      <c r="R4" s="19">
        <f>SUMIFS($R$8:$R210,$C$8:$C$210,"RGLR")</f>
        <v>69</v>
      </c>
      <c r="S4" s="19"/>
      <c r="T4" s="19"/>
      <c r="U4" s="19"/>
      <c r="V4" s="19">
        <f>V2+V3</f>
        <v>69</v>
      </c>
      <c r="W4" s="23"/>
      <c r="X4" s="19"/>
      <c r="Y4" s="24"/>
      <c r="Z4" s="19"/>
      <c r="AC4" s="19"/>
      <c r="AD4" s="19"/>
    </row>
    <row r="5">
      <c r="A5" s="19"/>
      <c r="B5" s="19"/>
      <c r="C5" s="19"/>
      <c r="D5" s="19"/>
      <c r="E5" s="19"/>
      <c r="F5" s="19"/>
      <c r="G5" s="19"/>
      <c r="H5" s="19"/>
      <c r="I5" s="22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3"/>
      <c r="X5" s="19"/>
      <c r="Y5" s="24"/>
      <c r="Z5" s="19"/>
      <c r="AA5" s="1"/>
      <c r="AC5" s="19"/>
      <c r="AD5" s="19"/>
    </row>
    <row r="6" ht="31.5" customHeight="1">
      <c r="A6" s="27" t="s">
        <v>476</v>
      </c>
      <c r="B6" s="27" t="s">
        <v>477</v>
      </c>
      <c r="C6" s="27" t="s">
        <v>478</v>
      </c>
      <c r="D6" s="27" t="s">
        <v>479</v>
      </c>
      <c r="E6" s="27" t="s">
        <v>480</v>
      </c>
      <c r="F6" s="27" t="s">
        <v>481</v>
      </c>
      <c r="G6" s="28" t="s">
        <v>482</v>
      </c>
      <c r="H6" s="27" t="s">
        <v>483</v>
      </c>
      <c r="I6" s="27" t="s">
        <v>484</v>
      </c>
      <c r="J6" s="27" t="s">
        <v>485</v>
      </c>
      <c r="K6" s="27" t="s">
        <v>486</v>
      </c>
      <c r="L6" s="27" t="s">
        <v>487</v>
      </c>
      <c r="M6" s="27" t="s">
        <v>488</v>
      </c>
      <c r="N6" s="27" t="s">
        <v>489</v>
      </c>
      <c r="O6" s="27" t="s">
        <v>490</v>
      </c>
      <c r="P6" s="27" t="s">
        <v>491</v>
      </c>
      <c r="Q6" s="27" t="s">
        <v>492</v>
      </c>
      <c r="R6" s="27" t="s">
        <v>493</v>
      </c>
      <c r="S6" s="27" t="s">
        <v>494</v>
      </c>
      <c r="T6" s="27" t="s">
        <v>495</v>
      </c>
      <c r="U6" s="28" t="s">
        <v>496</v>
      </c>
      <c r="V6" s="29" t="s">
        <v>42</v>
      </c>
      <c r="W6" s="27" t="s">
        <v>497</v>
      </c>
      <c r="X6" s="27" t="s">
        <v>498</v>
      </c>
      <c r="Y6" s="30" t="s">
        <v>499</v>
      </c>
      <c r="Z6" s="27" t="s">
        <v>500</v>
      </c>
      <c r="AA6" s="28" t="s">
        <v>501</v>
      </c>
      <c r="AB6" s="28" t="s">
        <v>502</v>
      </c>
      <c r="AC6" s="19" t="s">
        <v>12</v>
      </c>
      <c r="AD6" s="19" t="s">
        <v>18</v>
      </c>
      <c r="AE6" s="31" t="s">
        <v>503</v>
      </c>
    </row>
    <row r="7" ht="24.75" customHeight="1">
      <c r="A7" s="32">
        <v>13.0</v>
      </c>
      <c r="B7" s="33">
        <v>41540.03559027778</v>
      </c>
      <c r="C7" s="32" t="s">
        <v>504</v>
      </c>
      <c r="D7" s="32" t="s">
        <v>505</v>
      </c>
      <c r="E7" s="32" t="s">
        <v>505</v>
      </c>
      <c r="F7" s="32" t="s">
        <v>506</v>
      </c>
      <c r="G7" s="32" t="s">
        <v>11</v>
      </c>
      <c r="H7" s="32"/>
      <c r="I7" s="34"/>
      <c r="J7" s="32"/>
      <c r="K7" s="32"/>
      <c r="L7" s="35" t="s">
        <v>507</v>
      </c>
      <c r="M7" s="35"/>
      <c r="N7" s="32"/>
      <c r="O7" s="32"/>
      <c r="P7" s="32"/>
      <c r="Q7" s="32"/>
      <c r="R7" s="32"/>
      <c r="S7" s="32">
        <v>1500.0</v>
      </c>
      <c r="T7" s="36"/>
      <c r="U7" s="32"/>
      <c r="V7" s="36" t="s">
        <v>129</v>
      </c>
      <c r="W7" s="34"/>
      <c r="X7" s="32"/>
      <c r="Y7" s="37" t="s">
        <v>508</v>
      </c>
      <c r="Z7" s="32"/>
      <c r="AC7" s="38">
        <f>(IF(ISERR(FIND("|",$T7)),"0",MID($T7,FIND("|",$T7)+3,1))*1)</f>
        <v>0</v>
      </c>
      <c r="AD7" s="38">
        <f t="shared" ref="AD7:AD86" si="1">(IF(ISERR(FIND("||",$T7,4)),"0",MID($T7,FIND("||",$T7,4)+4,1))*1)</f>
        <v>0</v>
      </c>
    </row>
    <row r="8">
      <c r="A8" s="6">
        <v>1347.0</v>
      </c>
      <c r="B8" s="39">
        <v>43388.07152777778</v>
      </c>
      <c r="C8" s="6" t="s">
        <v>504</v>
      </c>
      <c r="D8" s="6" t="s">
        <v>509</v>
      </c>
      <c r="E8" s="6" t="s">
        <v>510</v>
      </c>
      <c r="F8" s="6" t="s">
        <v>511</v>
      </c>
      <c r="G8" s="6" t="s">
        <v>512</v>
      </c>
      <c r="H8" s="40"/>
      <c r="I8" s="6" t="s">
        <v>513</v>
      </c>
      <c r="J8" s="40"/>
      <c r="K8" s="40"/>
      <c r="L8" s="42" t="s">
        <v>514</v>
      </c>
      <c r="M8" s="44"/>
      <c r="N8" s="3"/>
      <c r="O8" s="3"/>
      <c r="P8" s="3"/>
      <c r="Q8" s="3"/>
      <c r="R8" s="6">
        <v>0.0</v>
      </c>
      <c r="S8" s="6">
        <v>0.0</v>
      </c>
      <c r="T8" s="6" t="s">
        <v>515</v>
      </c>
      <c r="U8" s="6"/>
      <c r="V8" s="6"/>
      <c r="W8" s="46"/>
      <c r="X8" s="3"/>
      <c r="Y8" s="47" t="s">
        <v>516</v>
      </c>
      <c r="Z8" s="48">
        <f t="shared" ref="Z8:Z45" si="2">IF(B8&lt;&gt;"",DATE(YEAR(B8),MONTH(B8),DAY(B8+3)),"")</f>
        <v>43391</v>
      </c>
      <c r="AA8" s="6"/>
      <c r="AB8" s="6"/>
      <c r="AC8" s="49">
        <f>(IF(ISERR(FIND("|",$T8)),"0",MID($T8,FIND("|",$T8)+3,1))*1)</f>
        <v>0</v>
      </c>
      <c r="AD8" s="49">
        <f t="shared" si="1"/>
        <v>0</v>
      </c>
      <c r="AE8" s="1" t="s">
        <v>517</v>
      </c>
    </row>
    <row r="9">
      <c r="A9" s="6">
        <v>1348.0</v>
      </c>
      <c r="B9" s="39">
        <v>43388.35486111111</v>
      </c>
      <c r="C9" s="6" t="s">
        <v>504</v>
      </c>
      <c r="D9" s="6" t="s">
        <v>518</v>
      </c>
      <c r="E9" s="6" t="s">
        <v>519</v>
      </c>
      <c r="F9" s="6" t="s">
        <v>520</v>
      </c>
      <c r="G9" s="6" t="s">
        <v>521</v>
      </c>
      <c r="H9" s="40"/>
      <c r="I9" s="6" t="s">
        <v>522</v>
      </c>
      <c r="J9" s="40"/>
      <c r="K9" s="40"/>
      <c r="L9" s="42" t="s">
        <v>523</v>
      </c>
      <c r="M9" s="44"/>
      <c r="N9" s="3"/>
      <c r="O9" s="3"/>
      <c r="P9" s="3"/>
      <c r="Q9" s="3"/>
      <c r="R9" s="6">
        <v>3.0</v>
      </c>
      <c r="S9" s="6">
        <v>6900.0</v>
      </c>
      <c r="T9" s="6" t="s">
        <v>524</v>
      </c>
      <c r="U9" s="6"/>
      <c r="V9" s="6" t="s">
        <v>525</v>
      </c>
      <c r="W9" s="46"/>
      <c r="X9" s="3"/>
      <c r="Y9" s="47" t="s">
        <v>526</v>
      </c>
      <c r="Z9" s="48">
        <f t="shared" si="2"/>
        <v>43391</v>
      </c>
      <c r="AA9" s="6"/>
      <c r="AB9" s="6"/>
      <c r="AC9" s="49">
        <f t="shared" ref="AC9:AC86" si="3">(IF(ISERR(FIND("|",$T9)),"0",MID($T9,FIND("|",$T9)+3,1))*1)</f>
        <v>3</v>
      </c>
      <c r="AD9" s="49">
        <f t="shared" si="1"/>
        <v>0</v>
      </c>
    </row>
    <row r="10">
      <c r="A10" s="6">
        <v>1349.0</v>
      </c>
      <c r="B10" s="39">
        <v>43388.731944444444</v>
      </c>
      <c r="C10" s="6" t="s">
        <v>504</v>
      </c>
      <c r="D10" s="6" t="s">
        <v>527</v>
      </c>
      <c r="E10" s="6" t="s">
        <v>528</v>
      </c>
      <c r="F10" s="50" t="s">
        <v>529</v>
      </c>
      <c r="G10" s="6" t="s">
        <v>530</v>
      </c>
      <c r="H10" s="40"/>
      <c r="I10" s="6" t="s">
        <v>522</v>
      </c>
      <c r="J10" s="40"/>
      <c r="K10" s="40"/>
      <c r="L10" s="42" t="s">
        <v>531</v>
      </c>
      <c r="M10" s="44"/>
      <c r="N10" s="3"/>
      <c r="O10" s="3"/>
      <c r="P10" s="3"/>
      <c r="Q10" s="3"/>
      <c r="R10" s="6">
        <v>3.0</v>
      </c>
      <c r="S10" s="6">
        <v>6900.0</v>
      </c>
      <c r="T10" s="6" t="s">
        <v>524</v>
      </c>
      <c r="U10" s="6"/>
      <c r="V10" s="6" t="s">
        <v>528</v>
      </c>
      <c r="W10" s="46"/>
      <c r="X10" s="51"/>
      <c r="Y10" s="47" t="s">
        <v>526</v>
      </c>
      <c r="Z10" s="48">
        <f t="shared" si="2"/>
        <v>43391</v>
      </c>
      <c r="AA10" s="6"/>
      <c r="AB10" s="6"/>
      <c r="AC10" s="49">
        <f t="shared" si="3"/>
        <v>3</v>
      </c>
      <c r="AD10" s="49">
        <f t="shared" si="1"/>
        <v>0</v>
      </c>
    </row>
    <row r="11">
      <c r="A11" s="6">
        <v>1350.0</v>
      </c>
      <c r="B11" s="39">
        <v>43388.79375</v>
      </c>
      <c r="C11" s="6" t="s">
        <v>504</v>
      </c>
      <c r="D11" s="6" t="s">
        <v>532</v>
      </c>
      <c r="E11" s="6" t="s">
        <v>533</v>
      </c>
      <c r="F11" s="6" t="s">
        <v>534</v>
      </c>
      <c r="G11" s="6" t="s">
        <v>535</v>
      </c>
      <c r="H11" s="40"/>
      <c r="I11" s="6" t="s">
        <v>536</v>
      </c>
      <c r="J11" s="40"/>
      <c r="K11" s="40"/>
      <c r="L11" s="42" t="s">
        <v>537</v>
      </c>
      <c r="M11" s="44"/>
      <c r="N11" s="3"/>
      <c r="O11" s="3"/>
      <c r="P11" s="3"/>
      <c r="Q11" s="3"/>
      <c r="R11" s="6">
        <v>4.0</v>
      </c>
      <c r="S11" s="6">
        <v>8100.0</v>
      </c>
      <c r="T11" s="6" t="s">
        <v>538</v>
      </c>
      <c r="U11" s="6"/>
      <c r="V11" s="6" t="s">
        <v>539</v>
      </c>
      <c r="W11" s="52"/>
      <c r="X11" s="3"/>
      <c r="Y11" s="47" t="s">
        <v>526</v>
      </c>
      <c r="Z11" s="48">
        <f t="shared" si="2"/>
        <v>43391</v>
      </c>
      <c r="AA11" s="6"/>
      <c r="AB11" s="6"/>
      <c r="AC11" s="49">
        <f t="shared" si="3"/>
        <v>3</v>
      </c>
      <c r="AD11" s="49">
        <f t="shared" si="1"/>
        <v>1</v>
      </c>
      <c r="AE11" s="53"/>
    </row>
    <row r="12">
      <c r="A12" s="6">
        <v>1354.0</v>
      </c>
      <c r="B12" s="39">
        <v>43389.120833333334</v>
      </c>
      <c r="C12" s="6" t="s">
        <v>504</v>
      </c>
      <c r="D12" s="6" t="s">
        <v>540</v>
      </c>
      <c r="E12" s="6" t="s">
        <v>541</v>
      </c>
      <c r="F12" s="6" t="s">
        <v>542</v>
      </c>
      <c r="G12" s="6" t="s">
        <v>543</v>
      </c>
      <c r="H12" s="40"/>
      <c r="I12" s="6" t="s">
        <v>544</v>
      </c>
      <c r="J12" s="40"/>
      <c r="K12" s="40"/>
      <c r="L12" s="42" t="s">
        <v>545</v>
      </c>
      <c r="M12" s="44"/>
      <c r="N12" s="3"/>
      <c r="O12" s="3"/>
      <c r="P12" s="3"/>
      <c r="Q12" s="3"/>
      <c r="R12" s="6">
        <v>0.0</v>
      </c>
      <c r="S12" s="6">
        <v>0.0</v>
      </c>
      <c r="T12" s="6" t="s">
        <v>515</v>
      </c>
      <c r="U12" s="6"/>
      <c r="V12" s="6"/>
      <c r="W12" s="46"/>
      <c r="X12" s="3"/>
      <c r="Y12" s="47" t="s">
        <v>516</v>
      </c>
      <c r="Z12" s="48">
        <f t="shared" si="2"/>
        <v>43392</v>
      </c>
      <c r="AA12" s="6"/>
      <c r="AB12" s="6"/>
      <c r="AC12" s="49">
        <f t="shared" si="3"/>
        <v>0</v>
      </c>
      <c r="AD12" s="49">
        <f t="shared" si="1"/>
        <v>0</v>
      </c>
      <c r="AE12" s="1" t="s">
        <v>546</v>
      </c>
    </row>
    <row r="13">
      <c r="A13" s="6">
        <v>1355.0</v>
      </c>
      <c r="B13" s="39">
        <v>43389.134722222225</v>
      </c>
      <c r="C13" s="6" t="s">
        <v>504</v>
      </c>
      <c r="D13" s="6" t="s">
        <v>547</v>
      </c>
      <c r="E13" s="6" t="s">
        <v>548</v>
      </c>
      <c r="F13" s="6" t="s">
        <v>549</v>
      </c>
      <c r="G13" s="6" t="s">
        <v>550</v>
      </c>
      <c r="H13" s="40"/>
      <c r="I13" s="6" t="s">
        <v>551</v>
      </c>
      <c r="J13" s="40"/>
      <c r="K13" s="40"/>
      <c r="L13" s="42" t="s">
        <v>552</v>
      </c>
      <c r="M13" s="44"/>
      <c r="N13" s="3"/>
      <c r="O13" s="3"/>
      <c r="P13" s="3"/>
      <c r="Q13" s="3"/>
      <c r="R13" s="6">
        <v>3.0</v>
      </c>
      <c r="S13" s="6">
        <v>6900.0</v>
      </c>
      <c r="T13" s="6" t="s">
        <v>524</v>
      </c>
      <c r="U13" s="6"/>
      <c r="V13" s="6" t="s">
        <v>548</v>
      </c>
      <c r="W13" s="46"/>
      <c r="X13" s="3"/>
      <c r="Y13" s="47" t="s">
        <v>526</v>
      </c>
      <c r="Z13" s="48">
        <f t="shared" si="2"/>
        <v>43392</v>
      </c>
      <c r="AA13" s="6"/>
      <c r="AB13" s="6"/>
      <c r="AC13" s="49">
        <f t="shared" si="3"/>
        <v>3</v>
      </c>
      <c r="AD13" s="49">
        <f t="shared" si="1"/>
        <v>0</v>
      </c>
    </row>
    <row r="14">
      <c r="A14" s="6">
        <v>1356.0</v>
      </c>
      <c r="B14" s="39">
        <v>43389.160416666666</v>
      </c>
      <c r="C14" s="6" t="s">
        <v>504</v>
      </c>
      <c r="D14" s="6" t="s">
        <v>553</v>
      </c>
      <c r="E14" s="6" t="s">
        <v>554</v>
      </c>
      <c r="F14" s="6" t="s">
        <v>555</v>
      </c>
      <c r="G14" s="6" t="s">
        <v>556</v>
      </c>
      <c r="H14" s="40"/>
      <c r="I14" s="6" t="s">
        <v>557</v>
      </c>
      <c r="J14" s="40"/>
      <c r="K14" s="40"/>
      <c r="L14" s="42" t="s">
        <v>558</v>
      </c>
      <c r="M14" s="44"/>
      <c r="N14" s="3"/>
      <c r="O14" s="3"/>
      <c r="P14" s="3"/>
      <c r="Q14" s="3"/>
      <c r="R14" s="6">
        <v>1.0</v>
      </c>
      <c r="S14" s="6">
        <v>2300.0</v>
      </c>
      <c r="T14" s="6" t="s">
        <v>559</v>
      </c>
      <c r="U14" s="6"/>
      <c r="V14" s="6" t="s">
        <v>560</v>
      </c>
      <c r="W14" s="46">
        <v>43402.0</v>
      </c>
      <c r="X14" s="3"/>
      <c r="Y14" s="47" t="s">
        <v>526</v>
      </c>
      <c r="Z14" s="48">
        <f t="shared" si="2"/>
        <v>43392</v>
      </c>
      <c r="AA14" s="6"/>
      <c r="AB14" s="6"/>
      <c r="AC14" s="49">
        <f t="shared" si="3"/>
        <v>1</v>
      </c>
      <c r="AD14" s="49">
        <f t="shared" si="1"/>
        <v>0</v>
      </c>
    </row>
    <row r="15">
      <c r="A15" s="6">
        <v>1357.0</v>
      </c>
      <c r="B15" s="39">
        <v>43389.2</v>
      </c>
      <c r="C15" s="6" t="s">
        <v>504</v>
      </c>
      <c r="D15" s="6" t="s">
        <v>561</v>
      </c>
      <c r="E15" s="6" t="s">
        <v>562</v>
      </c>
      <c r="F15" s="6" t="s">
        <v>563</v>
      </c>
      <c r="G15" s="6" t="s">
        <v>564</v>
      </c>
      <c r="H15" s="40"/>
      <c r="I15" s="6" t="s">
        <v>565</v>
      </c>
      <c r="J15" s="40"/>
      <c r="K15" s="40"/>
      <c r="L15" s="42" t="s">
        <v>566</v>
      </c>
      <c r="M15" s="44"/>
      <c r="N15" s="3"/>
      <c r="O15" s="3"/>
      <c r="P15" s="3"/>
      <c r="Q15" s="3"/>
      <c r="R15" s="6">
        <v>5.0</v>
      </c>
      <c r="S15" s="6">
        <v>9300.0</v>
      </c>
      <c r="T15" s="6" t="s">
        <v>567</v>
      </c>
      <c r="U15" s="6" t="s">
        <v>560</v>
      </c>
      <c r="V15" s="6" t="s">
        <v>568</v>
      </c>
      <c r="W15" s="46">
        <v>43402.0</v>
      </c>
      <c r="X15" s="3"/>
      <c r="Y15" s="47" t="s">
        <v>526</v>
      </c>
      <c r="Z15" s="48">
        <f t="shared" si="2"/>
        <v>43392</v>
      </c>
      <c r="AA15" s="6"/>
      <c r="AB15" s="6"/>
      <c r="AC15" s="49">
        <f t="shared" si="3"/>
        <v>3</v>
      </c>
      <c r="AD15" s="49">
        <f t="shared" si="1"/>
        <v>2</v>
      </c>
      <c r="AE15" s="1" t="s">
        <v>546</v>
      </c>
    </row>
    <row r="16">
      <c r="A16" s="6">
        <v>1358.0</v>
      </c>
      <c r="B16" s="39">
        <v>43389.26180555556</v>
      </c>
      <c r="C16" s="6" t="s">
        <v>504</v>
      </c>
      <c r="D16" s="6" t="s">
        <v>569</v>
      </c>
      <c r="E16" s="6" t="s">
        <v>570</v>
      </c>
      <c r="F16" s="6" t="s">
        <v>571</v>
      </c>
      <c r="G16" s="6" t="s">
        <v>572</v>
      </c>
      <c r="H16" s="40"/>
      <c r="I16" s="6" t="s">
        <v>522</v>
      </c>
      <c r="J16" s="40"/>
      <c r="K16" s="40"/>
      <c r="L16" s="42" t="s">
        <v>573</v>
      </c>
      <c r="M16" s="44"/>
      <c r="N16" s="3"/>
      <c r="O16" s="3"/>
      <c r="P16" s="3"/>
      <c r="Q16" s="3"/>
      <c r="R16" s="6">
        <v>0.0</v>
      </c>
      <c r="S16" s="6">
        <v>0.0</v>
      </c>
      <c r="T16" s="6" t="s">
        <v>515</v>
      </c>
      <c r="U16" s="6"/>
      <c r="V16" s="6"/>
      <c r="W16" s="46"/>
      <c r="X16" s="3"/>
      <c r="Y16" s="47" t="s">
        <v>516</v>
      </c>
      <c r="Z16" s="48">
        <f t="shared" si="2"/>
        <v>43392</v>
      </c>
      <c r="AA16" s="6"/>
      <c r="AB16" s="6"/>
      <c r="AC16" s="49">
        <f t="shared" si="3"/>
        <v>0</v>
      </c>
      <c r="AD16" s="49">
        <f t="shared" si="1"/>
        <v>0</v>
      </c>
      <c r="AE16" s="1" t="s">
        <v>574</v>
      </c>
    </row>
    <row r="17">
      <c r="A17" s="6">
        <v>1359.0</v>
      </c>
      <c r="B17" s="39">
        <v>43389.28611111111</v>
      </c>
      <c r="C17" s="6" t="s">
        <v>504</v>
      </c>
      <c r="D17" s="6" t="s">
        <v>575</v>
      </c>
      <c r="E17" s="6" t="s">
        <v>576</v>
      </c>
      <c r="F17" s="6" t="s">
        <v>577</v>
      </c>
      <c r="G17" s="6" t="s">
        <v>578</v>
      </c>
      <c r="H17" s="40"/>
      <c r="I17" s="6" t="s">
        <v>522</v>
      </c>
      <c r="J17" s="40"/>
      <c r="K17" s="40"/>
      <c r="L17" s="54" t="s">
        <v>579</v>
      </c>
      <c r="M17" s="44"/>
      <c r="N17" s="3"/>
      <c r="O17" s="3"/>
      <c r="P17" s="3"/>
      <c r="Q17" s="3"/>
      <c r="R17" s="6">
        <v>3.0</v>
      </c>
      <c r="S17" s="6">
        <v>6900.0</v>
      </c>
      <c r="T17" s="6" t="s">
        <v>524</v>
      </c>
      <c r="U17" s="40"/>
      <c r="V17" s="6" t="s">
        <v>241</v>
      </c>
      <c r="W17" s="46">
        <v>43393.0</v>
      </c>
      <c r="X17" s="3"/>
      <c r="Y17" s="47" t="s">
        <v>526</v>
      </c>
      <c r="Z17" s="48">
        <f t="shared" si="2"/>
        <v>43392</v>
      </c>
      <c r="AA17" s="6" t="s">
        <v>526</v>
      </c>
      <c r="AB17" s="3"/>
      <c r="AC17" s="55">
        <f t="shared" si="3"/>
        <v>3</v>
      </c>
      <c r="AD17" s="55">
        <f t="shared" si="1"/>
        <v>0</v>
      </c>
    </row>
    <row r="18">
      <c r="A18" s="6">
        <v>1360.0</v>
      </c>
      <c r="B18" s="39">
        <v>43389.825</v>
      </c>
      <c r="C18" s="6" t="s">
        <v>504</v>
      </c>
      <c r="D18" s="6" t="s">
        <v>580</v>
      </c>
      <c r="E18" s="6" t="s">
        <v>581</v>
      </c>
      <c r="F18" s="6" t="s">
        <v>582</v>
      </c>
      <c r="G18" s="6" t="s">
        <v>583</v>
      </c>
      <c r="H18" s="40"/>
      <c r="I18" s="6" t="s">
        <v>522</v>
      </c>
      <c r="J18" s="40"/>
      <c r="K18" s="40"/>
      <c r="L18" s="42" t="s">
        <v>584</v>
      </c>
      <c r="M18" s="44"/>
      <c r="N18" s="3"/>
      <c r="O18" s="3"/>
      <c r="P18" s="3"/>
      <c r="Q18" s="3"/>
      <c r="R18" s="6">
        <v>1.0</v>
      </c>
      <c r="S18" s="6">
        <v>2300.0</v>
      </c>
      <c r="T18" s="6" t="s">
        <v>559</v>
      </c>
      <c r="U18" s="6"/>
      <c r="V18" s="6"/>
      <c r="W18" s="46"/>
      <c r="X18" s="3"/>
      <c r="Y18" s="47" t="s">
        <v>526</v>
      </c>
      <c r="Z18" s="48">
        <f t="shared" si="2"/>
        <v>43392</v>
      </c>
      <c r="AA18" s="6"/>
      <c r="AB18" s="6"/>
      <c r="AC18" s="49">
        <f t="shared" si="3"/>
        <v>1</v>
      </c>
      <c r="AD18" s="49">
        <f t="shared" si="1"/>
        <v>0</v>
      </c>
      <c r="AE18" s="1" t="s">
        <v>585</v>
      </c>
    </row>
    <row r="19">
      <c r="A19" s="6">
        <v>1361.0</v>
      </c>
      <c r="B19" s="39">
        <v>43389.825694444444</v>
      </c>
      <c r="C19" s="6" t="s">
        <v>504</v>
      </c>
      <c r="D19" s="6" t="s">
        <v>586</v>
      </c>
      <c r="E19" s="6" t="s">
        <v>587</v>
      </c>
      <c r="F19" s="50" t="s">
        <v>589</v>
      </c>
      <c r="G19" s="6" t="s">
        <v>590</v>
      </c>
      <c r="H19" s="40"/>
      <c r="I19" s="6" t="s">
        <v>522</v>
      </c>
      <c r="J19" s="40"/>
      <c r="K19" s="40"/>
      <c r="L19" s="42" t="s">
        <v>591</v>
      </c>
      <c r="M19" s="44"/>
      <c r="N19" s="3"/>
      <c r="O19" s="3"/>
      <c r="P19" s="3"/>
      <c r="Q19" s="3"/>
      <c r="R19" s="6">
        <v>5.0</v>
      </c>
      <c r="S19" s="6">
        <v>9300.0</v>
      </c>
      <c r="T19" s="6" t="s">
        <v>567</v>
      </c>
      <c r="U19" s="6" t="s">
        <v>539</v>
      </c>
      <c r="V19" s="6" t="s">
        <v>539</v>
      </c>
      <c r="W19" s="46">
        <v>43397.0</v>
      </c>
      <c r="X19" s="3"/>
      <c r="Y19" s="47" t="s">
        <v>526</v>
      </c>
      <c r="Z19" s="48">
        <f t="shared" si="2"/>
        <v>43392</v>
      </c>
      <c r="AA19" s="6" t="s">
        <v>526</v>
      </c>
      <c r="AB19" s="6"/>
      <c r="AC19" s="49">
        <f t="shared" si="3"/>
        <v>3</v>
      </c>
      <c r="AD19" s="49">
        <f t="shared" si="1"/>
        <v>2</v>
      </c>
    </row>
    <row r="20">
      <c r="A20" s="50">
        <v>1362.0</v>
      </c>
      <c r="B20" s="59">
        <v>43390.13263888889</v>
      </c>
      <c r="C20" s="50" t="s">
        <v>504</v>
      </c>
      <c r="D20" s="50" t="s">
        <v>593</v>
      </c>
      <c r="E20" s="50" t="s">
        <v>594</v>
      </c>
      <c r="F20" s="50" t="s">
        <v>595</v>
      </c>
      <c r="G20" s="50" t="s">
        <v>596</v>
      </c>
      <c r="H20" s="61"/>
      <c r="I20" s="50" t="s">
        <v>522</v>
      </c>
      <c r="J20" s="61"/>
      <c r="K20" s="61"/>
      <c r="L20" s="42" t="s">
        <v>597</v>
      </c>
      <c r="M20" s="63"/>
      <c r="N20" s="65"/>
      <c r="O20" s="65"/>
      <c r="P20" s="65"/>
      <c r="Q20" s="65"/>
      <c r="R20" s="50">
        <v>3.0</v>
      </c>
      <c r="S20" s="50">
        <v>5800.0</v>
      </c>
      <c r="T20" s="50" t="s">
        <v>599</v>
      </c>
      <c r="U20" s="50"/>
      <c r="V20" s="50" t="s">
        <v>470</v>
      </c>
      <c r="W20" s="67">
        <v>43400.0</v>
      </c>
      <c r="X20" s="65"/>
      <c r="Y20" s="69" t="s">
        <v>526</v>
      </c>
      <c r="Z20" s="71">
        <f t="shared" si="2"/>
        <v>43393</v>
      </c>
      <c r="AA20" s="50"/>
      <c r="AB20" s="6"/>
      <c r="AC20" s="49">
        <f t="shared" si="3"/>
        <v>2</v>
      </c>
      <c r="AD20" s="49">
        <f t="shared" si="1"/>
        <v>1</v>
      </c>
    </row>
    <row r="21">
      <c r="A21" s="6">
        <v>1363.0</v>
      </c>
      <c r="B21" s="39">
        <v>43390.90416666667</v>
      </c>
      <c r="C21" s="6" t="s">
        <v>504</v>
      </c>
      <c r="D21" s="6" t="s">
        <v>602</v>
      </c>
      <c r="E21" s="6" t="s">
        <v>603</v>
      </c>
      <c r="F21" s="6" t="s">
        <v>604</v>
      </c>
      <c r="G21" s="6" t="s">
        <v>605</v>
      </c>
      <c r="H21" s="40"/>
      <c r="I21" s="6" t="s">
        <v>606</v>
      </c>
      <c r="J21" s="40"/>
      <c r="K21" s="40"/>
      <c r="L21" s="42" t="s">
        <v>607</v>
      </c>
      <c r="M21" s="44"/>
      <c r="N21" s="3"/>
      <c r="O21" s="3"/>
      <c r="P21" s="3"/>
      <c r="Q21" s="3"/>
      <c r="R21" s="6">
        <v>1.0</v>
      </c>
      <c r="S21" s="6">
        <v>2300.0</v>
      </c>
      <c r="T21" s="6" t="s">
        <v>559</v>
      </c>
      <c r="U21" s="6"/>
      <c r="V21" s="6" t="s">
        <v>241</v>
      </c>
      <c r="W21" s="46">
        <v>43396.0</v>
      </c>
      <c r="X21" s="3"/>
      <c r="Y21" s="47" t="s">
        <v>526</v>
      </c>
      <c r="Z21" s="48">
        <f t="shared" si="2"/>
        <v>43393</v>
      </c>
      <c r="AA21" s="6" t="s">
        <v>526</v>
      </c>
      <c r="AB21" s="6"/>
      <c r="AC21" s="49">
        <f t="shared" si="3"/>
        <v>1</v>
      </c>
      <c r="AD21" s="49">
        <f t="shared" si="1"/>
        <v>0</v>
      </c>
      <c r="AE21" s="1" t="s">
        <v>608</v>
      </c>
    </row>
    <row r="22">
      <c r="A22" s="6">
        <v>1364.0</v>
      </c>
      <c r="B22" s="39">
        <v>43391.873611111114</v>
      </c>
      <c r="C22" s="6" t="s">
        <v>504</v>
      </c>
      <c r="D22" s="6" t="s">
        <v>609</v>
      </c>
      <c r="E22" s="6" t="s">
        <v>610</v>
      </c>
      <c r="F22" s="6" t="s">
        <v>604</v>
      </c>
      <c r="G22" s="6" t="s">
        <v>605</v>
      </c>
      <c r="H22" s="40"/>
      <c r="I22" s="6" t="s">
        <v>606</v>
      </c>
      <c r="J22" s="40"/>
      <c r="K22" s="40"/>
      <c r="L22" s="42" t="s">
        <v>607</v>
      </c>
      <c r="M22" s="44"/>
      <c r="N22" s="3"/>
      <c r="O22" s="3"/>
      <c r="P22" s="3"/>
      <c r="Q22" s="3"/>
      <c r="R22" s="6">
        <v>1.0</v>
      </c>
      <c r="S22" s="6">
        <v>2300.0</v>
      </c>
      <c r="T22" s="6" t="s">
        <v>559</v>
      </c>
      <c r="U22" s="6"/>
      <c r="V22" s="6" t="s">
        <v>241</v>
      </c>
      <c r="W22" s="46">
        <v>43396.0</v>
      </c>
      <c r="X22" s="3"/>
      <c r="Y22" s="47" t="s">
        <v>526</v>
      </c>
      <c r="Z22" s="48">
        <f t="shared" si="2"/>
        <v>43394</v>
      </c>
      <c r="AA22" s="6" t="s">
        <v>526</v>
      </c>
      <c r="AB22" s="6"/>
      <c r="AC22" s="49">
        <f t="shared" si="3"/>
        <v>1</v>
      </c>
      <c r="AD22" s="49">
        <f t="shared" si="1"/>
        <v>0</v>
      </c>
      <c r="AE22" s="1" t="s">
        <v>608</v>
      </c>
    </row>
    <row r="23" ht="15.0" customHeight="1">
      <c r="A23" s="6">
        <v>1365.0</v>
      </c>
      <c r="B23" s="39">
        <v>43392.270833333336</v>
      </c>
      <c r="C23" s="6" t="s">
        <v>504</v>
      </c>
      <c r="D23" s="6" t="s">
        <v>612</v>
      </c>
      <c r="E23" s="6" t="s">
        <v>613</v>
      </c>
      <c r="F23" s="6" t="s">
        <v>614</v>
      </c>
      <c r="G23" s="6" t="s">
        <v>615</v>
      </c>
      <c r="H23" s="40"/>
      <c r="I23" s="6" t="s">
        <v>616</v>
      </c>
      <c r="J23" s="40"/>
      <c r="K23" s="40"/>
      <c r="L23" s="42" t="s">
        <v>617</v>
      </c>
      <c r="M23" s="44"/>
      <c r="N23" s="3"/>
      <c r="O23" s="3"/>
      <c r="P23" s="3"/>
      <c r="Q23" s="3"/>
      <c r="R23" s="6">
        <v>0.0</v>
      </c>
      <c r="S23" s="6">
        <v>0.0</v>
      </c>
      <c r="T23" s="6" t="s">
        <v>515</v>
      </c>
      <c r="U23" s="6"/>
      <c r="V23" s="6"/>
      <c r="W23" s="46"/>
      <c r="X23" s="3"/>
      <c r="Y23" s="47" t="s">
        <v>516</v>
      </c>
      <c r="Z23" s="48">
        <f t="shared" si="2"/>
        <v>43395</v>
      </c>
      <c r="AA23" s="6"/>
      <c r="AB23" s="6"/>
      <c r="AC23" s="49">
        <f t="shared" si="3"/>
        <v>0</v>
      </c>
      <c r="AD23" s="49">
        <f t="shared" si="1"/>
        <v>0</v>
      </c>
      <c r="AE23" s="1" t="s">
        <v>574</v>
      </c>
    </row>
    <row r="24">
      <c r="A24" s="6">
        <v>1366.0</v>
      </c>
      <c r="B24" s="39">
        <v>43393.0625</v>
      </c>
      <c r="C24" s="6" t="s">
        <v>504</v>
      </c>
      <c r="D24" s="6" t="s">
        <v>618</v>
      </c>
      <c r="E24" s="6" t="s">
        <v>619</v>
      </c>
      <c r="F24" s="6" t="s">
        <v>620</v>
      </c>
      <c r="G24" s="6" t="s">
        <v>621</v>
      </c>
      <c r="H24" s="40"/>
      <c r="I24" s="6" t="s">
        <v>622</v>
      </c>
      <c r="J24" s="40"/>
      <c r="K24" s="40"/>
      <c r="L24" s="42" t="s">
        <v>623</v>
      </c>
      <c r="M24" s="44"/>
      <c r="N24" s="3"/>
      <c r="O24" s="3"/>
      <c r="P24" s="3"/>
      <c r="Q24" s="3"/>
      <c r="R24" s="6">
        <v>0.0</v>
      </c>
      <c r="S24" s="6">
        <v>0.0</v>
      </c>
      <c r="T24" s="6" t="s">
        <v>515</v>
      </c>
      <c r="U24" s="6"/>
      <c r="V24" s="6"/>
      <c r="W24" s="46"/>
      <c r="X24" s="3"/>
      <c r="Y24" s="47" t="s">
        <v>516</v>
      </c>
      <c r="Z24" s="48">
        <f t="shared" si="2"/>
        <v>43396</v>
      </c>
      <c r="AA24" s="6"/>
      <c r="AB24" s="6"/>
      <c r="AC24" s="49">
        <f t="shared" si="3"/>
        <v>0</v>
      </c>
      <c r="AD24" s="49">
        <f t="shared" si="1"/>
        <v>0</v>
      </c>
      <c r="AE24" s="1" t="s">
        <v>624</v>
      </c>
    </row>
    <row r="25">
      <c r="A25" s="82">
        <v>1367.0</v>
      </c>
      <c r="B25" s="83">
        <v>43394.33263888889</v>
      </c>
      <c r="C25" s="84" t="s">
        <v>504</v>
      </c>
      <c r="D25" s="84" t="s">
        <v>625</v>
      </c>
      <c r="E25" s="84" t="s">
        <v>626</v>
      </c>
      <c r="F25" s="84" t="s">
        <v>627</v>
      </c>
      <c r="G25" s="84" t="s">
        <v>628</v>
      </c>
      <c r="H25" s="86"/>
      <c r="I25" s="84" t="s">
        <v>629</v>
      </c>
      <c r="J25" s="86"/>
      <c r="K25" s="86"/>
      <c r="L25" s="87" t="s">
        <v>630</v>
      </c>
      <c r="M25" s="88"/>
      <c r="N25" s="90"/>
      <c r="O25" s="90"/>
      <c r="P25" s="90"/>
      <c r="Q25" s="90"/>
      <c r="R25" s="82">
        <v>3.0</v>
      </c>
      <c r="S25" s="82">
        <v>5800.0</v>
      </c>
      <c r="T25" s="84" t="s">
        <v>599</v>
      </c>
      <c r="U25" s="6"/>
      <c r="V25" s="6"/>
      <c r="W25" s="46"/>
      <c r="X25" s="3"/>
      <c r="Y25" s="47" t="s">
        <v>526</v>
      </c>
      <c r="Z25" s="48">
        <f t="shared" si="2"/>
        <v>43397</v>
      </c>
      <c r="AA25" s="6"/>
      <c r="AB25" s="6"/>
      <c r="AC25" s="49">
        <f t="shared" si="3"/>
        <v>2</v>
      </c>
      <c r="AD25" s="49">
        <f t="shared" si="1"/>
        <v>1</v>
      </c>
      <c r="AE25" s="1" t="s">
        <v>546</v>
      </c>
    </row>
    <row r="26">
      <c r="A26" s="82">
        <v>1368.0</v>
      </c>
      <c r="B26" s="83">
        <v>43394.854166666664</v>
      </c>
      <c r="C26" s="84" t="s">
        <v>504</v>
      </c>
      <c r="D26" s="84" t="s">
        <v>631</v>
      </c>
      <c r="E26" s="84" t="s">
        <v>632</v>
      </c>
      <c r="F26" s="84" t="s">
        <v>633</v>
      </c>
      <c r="G26" s="84" t="s">
        <v>634</v>
      </c>
      <c r="H26" s="86"/>
      <c r="I26" s="84" t="s">
        <v>522</v>
      </c>
      <c r="J26" s="86"/>
      <c r="K26" s="86"/>
      <c r="L26" s="87" t="s">
        <v>635</v>
      </c>
      <c r="M26" s="88"/>
      <c r="N26" s="90"/>
      <c r="O26" s="90"/>
      <c r="P26" s="90"/>
      <c r="Q26" s="90"/>
      <c r="R26" s="82">
        <v>3.0</v>
      </c>
      <c r="S26" s="82">
        <v>5800.0</v>
      </c>
      <c r="T26" s="84" t="s">
        <v>599</v>
      </c>
      <c r="U26" s="6"/>
      <c r="V26" s="6" t="s">
        <v>241</v>
      </c>
      <c r="W26" s="46">
        <v>43401.0</v>
      </c>
      <c r="X26" s="3"/>
      <c r="Y26" s="47" t="s">
        <v>526</v>
      </c>
      <c r="Z26" s="48">
        <f t="shared" si="2"/>
        <v>43397</v>
      </c>
      <c r="AA26" s="6"/>
      <c r="AB26" s="6"/>
      <c r="AC26" s="49">
        <f t="shared" si="3"/>
        <v>2</v>
      </c>
      <c r="AD26" s="49">
        <f t="shared" si="1"/>
        <v>1</v>
      </c>
      <c r="AE26" s="1" t="s">
        <v>546</v>
      </c>
    </row>
    <row r="27">
      <c r="A27" s="6">
        <v>1369.0</v>
      </c>
      <c r="B27" s="39">
        <v>43395.98055555556</v>
      </c>
      <c r="C27" s="6" t="s">
        <v>504</v>
      </c>
      <c r="D27" s="6" t="s">
        <v>637</v>
      </c>
      <c r="E27" s="6" t="s">
        <v>638</v>
      </c>
      <c r="F27" s="6" t="s">
        <v>639</v>
      </c>
      <c r="G27" s="6" t="s">
        <v>640</v>
      </c>
      <c r="H27" s="40"/>
      <c r="I27" s="6" t="s">
        <v>551</v>
      </c>
      <c r="J27" s="40"/>
      <c r="K27" s="40"/>
      <c r="L27" s="42" t="s">
        <v>641</v>
      </c>
      <c r="M27" s="44"/>
      <c r="N27" s="3"/>
      <c r="O27" s="3"/>
      <c r="P27" s="3"/>
      <c r="Q27" s="3"/>
      <c r="R27" s="6">
        <v>0.0</v>
      </c>
      <c r="S27" s="6">
        <v>0.0</v>
      </c>
      <c r="T27" s="6" t="s">
        <v>515</v>
      </c>
      <c r="U27" s="6"/>
      <c r="V27" s="6"/>
      <c r="W27" s="51"/>
      <c r="X27" s="3"/>
      <c r="Y27" s="47" t="s">
        <v>516</v>
      </c>
      <c r="Z27" s="48">
        <f t="shared" si="2"/>
        <v>43398</v>
      </c>
      <c r="AA27" s="3"/>
      <c r="AB27" s="6"/>
      <c r="AC27" s="49">
        <f t="shared" si="3"/>
        <v>0</v>
      </c>
      <c r="AD27" s="49">
        <f t="shared" si="1"/>
        <v>0</v>
      </c>
      <c r="AE27" s="1" t="s">
        <v>642</v>
      </c>
    </row>
    <row r="28">
      <c r="A28" s="6">
        <v>1370.0</v>
      </c>
      <c r="B28" s="39">
        <v>43396.103472222225</v>
      </c>
      <c r="C28" s="6" t="s">
        <v>504</v>
      </c>
      <c r="D28" s="6" t="s">
        <v>643</v>
      </c>
      <c r="E28" s="6" t="s">
        <v>644</v>
      </c>
      <c r="F28" s="6" t="s">
        <v>645</v>
      </c>
      <c r="G28" s="6" t="s">
        <v>646</v>
      </c>
      <c r="H28" s="40"/>
      <c r="I28" s="6" t="s">
        <v>647</v>
      </c>
      <c r="J28" s="40"/>
      <c r="K28" s="40"/>
      <c r="L28" s="42" t="s">
        <v>648</v>
      </c>
      <c r="M28" s="44"/>
      <c r="N28" s="3"/>
      <c r="O28" s="3"/>
      <c r="P28" s="3"/>
      <c r="Q28" s="3"/>
      <c r="R28" s="6">
        <v>4.0</v>
      </c>
      <c r="S28" s="6">
        <v>7000.0</v>
      </c>
      <c r="T28" s="6" t="s">
        <v>649</v>
      </c>
      <c r="U28" s="6"/>
      <c r="V28" s="6" t="s">
        <v>650</v>
      </c>
      <c r="W28" s="46"/>
      <c r="X28" s="3"/>
      <c r="Y28" s="47" t="s">
        <v>526</v>
      </c>
      <c r="Z28" s="48">
        <f t="shared" si="2"/>
        <v>43399</v>
      </c>
      <c r="AA28" s="6"/>
      <c r="AB28" s="6"/>
      <c r="AC28" s="49">
        <f t="shared" si="3"/>
        <v>2</v>
      </c>
      <c r="AD28" s="49">
        <f t="shared" si="1"/>
        <v>2</v>
      </c>
      <c r="AE28" s="1" t="s">
        <v>651</v>
      </c>
    </row>
    <row r="29">
      <c r="A29" s="6">
        <v>1371.0</v>
      </c>
      <c r="B29" s="39">
        <v>43396.277083333334</v>
      </c>
      <c r="C29" s="6" t="s">
        <v>504</v>
      </c>
      <c r="D29" s="6" t="s">
        <v>652</v>
      </c>
      <c r="E29" s="6" t="s">
        <v>653</v>
      </c>
      <c r="F29" s="6" t="s">
        <v>654</v>
      </c>
      <c r="G29" s="6" t="s">
        <v>655</v>
      </c>
      <c r="H29" s="40"/>
      <c r="I29" s="6" t="s">
        <v>656</v>
      </c>
      <c r="J29" s="40"/>
      <c r="K29" s="40"/>
      <c r="L29" s="42" t="s">
        <v>657</v>
      </c>
      <c r="M29" s="44"/>
      <c r="N29" s="3"/>
      <c r="O29" s="3"/>
      <c r="P29" s="3"/>
      <c r="Q29" s="3"/>
      <c r="R29" s="6">
        <v>3.0</v>
      </c>
      <c r="S29" s="6">
        <v>5800.0</v>
      </c>
      <c r="T29" s="6" t="s">
        <v>599</v>
      </c>
      <c r="U29" s="6"/>
      <c r="V29" s="6" t="s">
        <v>241</v>
      </c>
      <c r="W29" s="46">
        <v>43398.0</v>
      </c>
      <c r="X29" s="3"/>
      <c r="Y29" s="47" t="s">
        <v>526</v>
      </c>
      <c r="Z29" s="48">
        <f t="shared" si="2"/>
        <v>43399</v>
      </c>
      <c r="AA29" s="6" t="s">
        <v>526</v>
      </c>
      <c r="AB29" s="6"/>
      <c r="AC29" s="49">
        <f t="shared" si="3"/>
        <v>2</v>
      </c>
      <c r="AD29" s="49">
        <f t="shared" si="1"/>
        <v>1</v>
      </c>
    </row>
    <row r="30">
      <c r="A30" s="6">
        <v>1372.0</v>
      </c>
      <c r="B30" s="39">
        <v>43397.05625</v>
      </c>
      <c r="C30" s="6" t="s">
        <v>504</v>
      </c>
      <c r="D30" s="6" t="s">
        <v>658</v>
      </c>
      <c r="E30" s="6" t="s">
        <v>659</v>
      </c>
      <c r="F30" s="6" t="s">
        <v>660</v>
      </c>
      <c r="G30" s="6" t="s">
        <v>661</v>
      </c>
      <c r="H30" s="40"/>
      <c r="I30" s="6" t="s">
        <v>662</v>
      </c>
      <c r="J30" s="40"/>
      <c r="K30" s="40"/>
      <c r="L30" s="42" t="s">
        <v>663</v>
      </c>
      <c r="M30" s="44"/>
      <c r="N30" s="3"/>
      <c r="O30" s="3"/>
      <c r="P30" s="3"/>
      <c r="Q30" s="3"/>
      <c r="R30" s="6">
        <v>0.0</v>
      </c>
      <c r="S30" s="6">
        <v>0.0</v>
      </c>
      <c r="T30" s="6" t="s">
        <v>515</v>
      </c>
      <c r="U30" s="6"/>
      <c r="V30" s="6"/>
      <c r="W30" s="46"/>
      <c r="X30" s="3"/>
      <c r="Y30" s="47" t="s">
        <v>516</v>
      </c>
      <c r="Z30" s="48">
        <f t="shared" si="2"/>
        <v>43400</v>
      </c>
      <c r="AA30" s="6"/>
      <c r="AB30" s="6"/>
      <c r="AC30" s="49">
        <f t="shared" si="3"/>
        <v>0</v>
      </c>
      <c r="AD30" s="49">
        <f t="shared" si="1"/>
        <v>0</v>
      </c>
      <c r="AE30" s="1" t="s">
        <v>664</v>
      </c>
    </row>
    <row r="31">
      <c r="A31" s="6">
        <v>1373.0</v>
      </c>
      <c r="B31" s="39">
        <v>43397.25902777778</v>
      </c>
      <c r="C31" s="6" t="s">
        <v>504</v>
      </c>
      <c r="D31" s="6" t="s">
        <v>665</v>
      </c>
      <c r="E31" s="6" t="s">
        <v>666</v>
      </c>
      <c r="F31" s="6" t="s">
        <v>667</v>
      </c>
      <c r="G31" s="6" t="s">
        <v>668</v>
      </c>
      <c r="H31" s="40"/>
      <c r="I31" s="6" t="s">
        <v>669</v>
      </c>
      <c r="J31" s="40"/>
      <c r="K31" s="40"/>
      <c r="L31" s="42" t="s">
        <v>670</v>
      </c>
      <c r="M31" s="44"/>
      <c r="N31" s="3"/>
      <c r="O31" s="3"/>
      <c r="P31" s="3"/>
      <c r="Q31" s="3"/>
      <c r="R31" s="6">
        <v>1.0</v>
      </c>
      <c r="S31" s="6">
        <v>2300.0</v>
      </c>
      <c r="T31" s="6" t="s">
        <v>559</v>
      </c>
      <c r="U31" s="6"/>
      <c r="V31" s="6"/>
      <c r="W31" s="46"/>
      <c r="X31" s="3"/>
      <c r="Y31" s="47" t="s">
        <v>526</v>
      </c>
      <c r="Z31" s="48">
        <f t="shared" si="2"/>
        <v>43400</v>
      </c>
      <c r="AA31" s="6"/>
      <c r="AB31" s="6"/>
      <c r="AC31" s="49">
        <f t="shared" si="3"/>
        <v>1</v>
      </c>
      <c r="AD31" s="49">
        <f t="shared" si="1"/>
        <v>0</v>
      </c>
      <c r="AE31" s="1" t="s">
        <v>546</v>
      </c>
    </row>
    <row r="32">
      <c r="A32" s="6">
        <v>1374.0</v>
      </c>
      <c r="B32" s="39">
        <v>43397.79791666667</v>
      </c>
      <c r="C32" s="6" t="s">
        <v>504</v>
      </c>
      <c r="D32" s="6" t="s">
        <v>671</v>
      </c>
      <c r="E32" s="6" t="s">
        <v>672</v>
      </c>
      <c r="F32" s="6" t="s">
        <v>673</v>
      </c>
      <c r="G32" s="6" t="s">
        <v>674</v>
      </c>
      <c r="H32" s="40"/>
      <c r="I32" s="6" t="s">
        <v>675</v>
      </c>
      <c r="J32" s="40"/>
      <c r="K32" s="40"/>
      <c r="L32" s="42" t="s">
        <v>676</v>
      </c>
      <c r="M32" s="44"/>
      <c r="N32" s="3"/>
      <c r="O32" s="3"/>
      <c r="P32" s="3"/>
      <c r="Q32" s="3"/>
      <c r="R32" s="6">
        <v>0.0</v>
      </c>
      <c r="S32" s="6">
        <v>0.0</v>
      </c>
      <c r="T32" s="6" t="s">
        <v>515</v>
      </c>
      <c r="U32" s="6"/>
      <c r="V32" s="6"/>
      <c r="W32" s="46"/>
      <c r="X32" s="3"/>
      <c r="Y32" s="47" t="s">
        <v>516</v>
      </c>
      <c r="Z32" s="48">
        <f t="shared" si="2"/>
        <v>43400</v>
      </c>
      <c r="AA32" s="6"/>
      <c r="AB32" s="6"/>
      <c r="AC32" s="49">
        <f t="shared" si="3"/>
        <v>0</v>
      </c>
      <c r="AD32" s="49">
        <f t="shared" si="1"/>
        <v>0</v>
      </c>
      <c r="AE32" s="1" t="s">
        <v>664</v>
      </c>
    </row>
    <row r="33">
      <c r="A33" s="6">
        <v>1375.0</v>
      </c>
      <c r="B33" s="39">
        <v>43397.83125</v>
      </c>
      <c r="C33" s="6" t="s">
        <v>504</v>
      </c>
      <c r="D33" s="6" t="s">
        <v>677</v>
      </c>
      <c r="E33" s="6" t="s">
        <v>678</v>
      </c>
      <c r="F33" s="6" t="s">
        <v>679</v>
      </c>
      <c r="G33" s="6" t="s">
        <v>680</v>
      </c>
      <c r="H33" s="40"/>
      <c r="I33" s="6" t="s">
        <v>681</v>
      </c>
      <c r="J33" s="40"/>
      <c r="K33" s="40"/>
      <c r="L33" s="42" t="s">
        <v>682</v>
      </c>
      <c r="M33" s="44"/>
      <c r="N33" s="3"/>
      <c r="O33" s="3"/>
      <c r="P33" s="3"/>
      <c r="Q33" s="3"/>
      <c r="R33" s="6">
        <v>4.0</v>
      </c>
      <c r="S33" s="6">
        <v>7000.0</v>
      </c>
      <c r="T33" s="6" t="s">
        <v>649</v>
      </c>
      <c r="U33" s="93"/>
      <c r="V33" s="6"/>
      <c r="W33" s="46"/>
      <c r="X33" s="3"/>
      <c r="Y33" s="47" t="s">
        <v>526</v>
      </c>
      <c r="Z33" s="48">
        <f t="shared" si="2"/>
        <v>43400</v>
      </c>
      <c r="AA33" s="6"/>
      <c r="AB33" s="6"/>
      <c r="AC33" s="49">
        <f t="shared" si="3"/>
        <v>2</v>
      </c>
      <c r="AD33" s="49">
        <f t="shared" si="1"/>
        <v>2</v>
      </c>
      <c r="AE33" s="1" t="s">
        <v>546</v>
      </c>
    </row>
    <row r="34">
      <c r="A34" s="6">
        <v>1376.0</v>
      </c>
      <c r="B34" s="39">
        <v>43397.959027777775</v>
      </c>
      <c r="C34" s="6" t="s">
        <v>504</v>
      </c>
      <c r="D34" s="6" t="s">
        <v>603</v>
      </c>
      <c r="E34" s="6" t="s">
        <v>683</v>
      </c>
      <c r="F34" s="6" t="s">
        <v>684</v>
      </c>
      <c r="G34" s="6" t="s">
        <v>447</v>
      </c>
      <c r="H34" s="40"/>
      <c r="I34" s="6" t="s">
        <v>669</v>
      </c>
      <c r="J34" s="40"/>
      <c r="K34" s="40"/>
      <c r="L34" s="42" t="s">
        <v>685</v>
      </c>
      <c r="M34" s="44"/>
      <c r="N34" s="3"/>
      <c r="O34" s="3"/>
      <c r="P34" s="3"/>
      <c r="Q34" s="3"/>
      <c r="R34" s="6">
        <v>0.0</v>
      </c>
      <c r="S34" s="6">
        <v>0.0</v>
      </c>
      <c r="T34" s="6" t="s">
        <v>515</v>
      </c>
      <c r="U34" s="6"/>
      <c r="V34" s="6"/>
      <c r="W34" s="94"/>
      <c r="X34" s="3"/>
      <c r="Y34" s="47" t="s">
        <v>516</v>
      </c>
      <c r="Z34" s="48">
        <f t="shared" si="2"/>
        <v>43400</v>
      </c>
      <c r="AA34" s="6"/>
      <c r="AB34" s="6"/>
      <c r="AC34" s="49">
        <f t="shared" si="3"/>
        <v>0</v>
      </c>
      <c r="AD34" s="49">
        <f t="shared" si="1"/>
        <v>0</v>
      </c>
      <c r="AE34" s="53" t="s">
        <v>687</v>
      </c>
    </row>
    <row r="35" ht="15.0" customHeight="1">
      <c r="A35" s="6">
        <v>1377.0</v>
      </c>
      <c r="B35" s="39">
        <v>43399.04513888889</v>
      </c>
      <c r="C35" s="6" t="s">
        <v>504</v>
      </c>
      <c r="D35" s="6" t="s">
        <v>688</v>
      </c>
      <c r="E35" s="6" t="s">
        <v>689</v>
      </c>
      <c r="F35" s="6" t="s">
        <v>690</v>
      </c>
      <c r="G35" s="6" t="s">
        <v>691</v>
      </c>
      <c r="H35" s="40"/>
      <c r="I35" s="6" t="s">
        <v>692</v>
      </c>
      <c r="J35" s="40"/>
      <c r="K35" s="40"/>
      <c r="L35" s="42" t="s">
        <v>693</v>
      </c>
      <c r="M35" s="44"/>
      <c r="N35" s="3"/>
      <c r="O35" s="3"/>
      <c r="P35" s="3"/>
      <c r="Q35" s="3"/>
      <c r="R35" s="6">
        <v>2.0</v>
      </c>
      <c r="S35" s="6">
        <v>4600.0</v>
      </c>
      <c r="T35" s="6" t="s">
        <v>694</v>
      </c>
      <c r="U35" s="6"/>
      <c r="V35" s="6" t="s">
        <v>470</v>
      </c>
      <c r="W35" s="46">
        <v>43401.0</v>
      </c>
      <c r="X35" s="3"/>
      <c r="Y35" s="47" t="s">
        <v>526</v>
      </c>
      <c r="Z35" s="48">
        <f t="shared" si="2"/>
        <v>43402</v>
      </c>
      <c r="AA35" s="6"/>
      <c r="AB35" s="6"/>
      <c r="AC35" s="49">
        <f t="shared" si="3"/>
        <v>2</v>
      </c>
      <c r="AD35" s="49">
        <f t="shared" si="1"/>
        <v>0</v>
      </c>
    </row>
    <row r="36">
      <c r="A36" s="6">
        <v>1378.0</v>
      </c>
      <c r="B36" s="39">
        <v>43400.13402777778</v>
      </c>
      <c r="C36" s="6" t="s">
        <v>504</v>
      </c>
      <c r="D36" s="6" t="s">
        <v>695</v>
      </c>
      <c r="E36" s="6" t="s">
        <v>581</v>
      </c>
      <c r="F36" s="6" t="s">
        <v>696</v>
      </c>
      <c r="G36" s="6" t="s">
        <v>697</v>
      </c>
      <c r="H36" s="40"/>
      <c r="I36" s="6" t="s">
        <v>536</v>
      </c>
      <c r="J36" s="40"/>
      <c r="K36" s="40"/>
      <c r="L36" s="42" t="s">
        <v>698</v>
      </c>
      <c r="M36" s="44"/>
      <c r="N36" s="3"/>
      <c r="O36" s="3"/>
      <c r="P36" s="3"/>
      <c r="Q36" s="3"/>
      <c r="R36" s="6">
        <v>2.0</v>
      </c>
      <c r="S36" s="6">
        <v>4600.0</v>
      </c>
      <c r="T36" s="6" t="s">
        <v>694</v>
      </c>
      <c r="U36" s="6"/>
      <c r="V36" s="6"/>
      <c r="W36" s="95"/>
      <c r="X36" s="3"/>
      <c r="Y36" s="47"/>
      <c r="Z36" s="48">
        <f t="shared" si="2"/>
        <v>43403</v>
      </c>
      <c r="AA36" s="6"/>
      <c r="AB36" s="6"/>
      <c r="AC36" s="49">
        <f t="shared" si="3"/>
        <v>2</v>
      </c>
      <c r="AD36" s="49">
        <f t="shared" si="1"/>
        <v>0</v>
      </c>
      <c r="AE36" s="1" t="s">
        <v>546</v>
      </c>
    </row>
    <row r="37">
      <c r="A37" s="6">
        <v>1379.0</v>
      </c>
      <c r="B37" s="39">
        <v>43401.231944444444</v>
      </c>
      <c r="C37" s="6" t="s">
        <v>504</v>
      </c>
      <c r="D37" s="6" t="s">
        <v>700</v>
      </c>
      <c r="E37" s="6" t="s">
        <v>701</v>
      </c>
      <c r="F37" s="6" t="s">
        <v>702</v>
      </c>
      <c r="G37" s="6" t="s">
        <v>703</v>
      </c>
      <c r="H37" s="40"/>
      <c r="I37" s="6"/>
      <c r="J37" s="40"/>
      <c r="K37" s="40"/>
      <c r="L37" s="42" t="s">
        <v>704</v>
      </c>
      <c r="M37" s="44"/>
      <c r="N37" s="3"/>
      <c r="O37" s="3"/>
      <c r="P37" s="3"/>
      <c r="Q37" s="3"/>
      <c r="R37" s="6">
        <v>3.0</v>
      </c>
      <c r="S37" s="6">
        <v>5800.0</v>
      </c>
      <c r="T37" s="6" t="s">
        <v>599</v>
      </c>
      <c r="U37" s="6"/>
      <c r="V37" s="6"/>
      <c r="W37" s="95"/>
      <c r="X37" s="3"/>
      <c r="Y37" s="47"/>
      <c r="Z37" s="48">
        <f t="shared" si="2"/>
        <v>43404</v>
      </c>
      <c r="AA37" s="6"/>
      <c r="AB37" s="6"/>
      <c r="AC37" s="49">
        <f t="shared" si="3"/>
        <v>2</v>
      </c>
      <c r="AD37" s="49">
        <f t="shared" si="1"/>
        <v>1</v>
      </c>
      <c r="AE37" s="1" t="s">
        <v>546</v>
      </c>
    </row>
    <row r="38">
      <c r="A38" s="6">
        <v>1380.0</v>
      </c>
      <c r="B38" s="39">
        <v>43402.71111111111</v>
      </c>
      <c r="C38" s="6" t="s">
        <v>504</v>
      </c>
      <c r="D38" s="6" t="s">
        <v>706</v>
      </c>
      <c r="E38" s="6" t="s">
        <v>707</v>
      </c>
      <c r="F38" s="6" t="s">
        <v>708</v>
      </c>
      <c r="G38" s="6" t="s">
        <v>605</v>
      </c>
      <c r="H38" s="40"/>
      <c r="I38" s="6" t="s">
        <v>606</v>
      </c>
      <c r="J38" s="40"/>
      <c r="K38" s="40"/>
      <c r="L38" s="42" t="s">
        <v>607</v>
      </c>
      <c r="M38" s="44"/>
      <c r="N38" s="3"/>
      <c r="O38" s="3"/>
      <c r="P38" s="3"/>
      <c r="Q38" s="3"/>
      <c r="R38" s="6">
        <v>1.0</v>
      </c>
      <c r="S38" s="6">
        <v>1200.0</v>
      </c>
      <c r="T38" s="6" t="s">
        <v>709</v>
      </c>
      <c r="U38" s="6" t="s">
        <v>710</v>
      </c>
      <c r="V38" s="6" t="s">
        <v>241</v>
      </c>
      <c r="W38" s="46"/>
      <c r="X38" s="3"/>
      <c r="Y38" s="47" t="s">
        <v>526</v>
      </c>
      <c r="Z38" s="48">
        <f t="shared" si="2"/>
        <v>43374</v>
      </c>
      <c r="AA38" s="6"/>
      <c r="AB38" s="6"/>
      <c r="AC38" s="49">
        <f t="shared" si="3"/>
        <v>0</v>
      </c>
      <c r="AD38" s="49">
        <f t="shared" si="1"/>
        <v>1</v>
      </c>
      <c r="AE38" s="1" t="s">
        <v>546</v>
      </c>
    </row>
    <row r="39">
      <c r="A39" s="6">
        <v>1381.0</v>
      </c>
      <c r="B39" s="39">
        <v>43404.652083333334</v>
      </c>
      <c r="C39" s="6" t="s">
        <v>504</v>
      </c>
      <c r="D39" s="6" t="s">
        <v>711</v>
      </c>
      <c r="E39" s="6" t="s">
        <v>712</v>
      </c>
      <c r="F39" s="6" t="s">
        <v>713</v>
      </c>
      <c r="G39" s="6" t="s">
        <v>714</v>
      </c>
      <c r="H39" s="40"/>
      <c r="I39" s="6" t="s">
        <v>715</v>
      </c>
      <c r="J39" s="40"/>
      <c r="K39" s="40"/>
      <c r="L39" s="42" t="s">
        <v>716</v>
      </c>
      <c r="M39" s="44"/>
      <c r="N39" s="3"/>
      <c r="O39" s="3"/>
      <c r="P39" s="3"/>
      <c r="Q39" s="3"/>
      <c r="R39" s="6">
        <v>4.0</v>
      </c>
      <c r="S39" s="6">
        <v>9200.0</v>
      </c>
      <c r="T39" s="6" t="s">
        <v>717</v>
      </c>
      <c r="U39" s="6"/>
      <c r="V39" s="6"/>
      <c r="W39" s="46"/>
      <c r="X39" s="3"/>
      <c r="Y39" s="47" t="s">
        <v>526</v>
      </c>
      <c r="Z39" s="48">
        <f t="shared" si="2"/>
        <v>43376</v>
      </c>
      <c r="AA39" s="6"/>
      <c r="AB39" s="6"/>
      <c r="AC39" s="49">
        <f t="shared" si="3"/>
        <v>4</v>
      </c>
      <c r="AD39" s="49">
        <f t="shared" si="1"/>
        <v>0</v>
      </c>
      <c r="AE39" s="1" t="s">
        <v>546</v>
      </c>
    </row>
    <row r="40">
      <c r="A40" s="6">
        <v>1382.0</v>
      </c>
      <c r="B40" s="39">
        <v>43405.01527777778</v>
      </c>
      <c r="C40" s="6" t="s">
        <v>504</v>
      </c>
      <c r="D40" s="6" t="s">
        <v>718</v>
      </c>
      <c r="E40" s="6" t="s">
        <v>719</v>
      </c>
      <c r="F40" s="6" t="s">
        <v>720</v>
      </c>
      <c r="G40" s="6" t="s">
        <v>721</v>
      </c>
      <c r="H40" s="40"/>
      <c r="I40" s="6" t="s">
        <v>551</v>
      </c>
      <c r="J40" s="40"/>
      <c r="K40" s="40"/>
      <c r="L40" s="42" t="s">
        <v>722</v>
      </c>
      <c r="M40" s="44"/>
      <c r="N40" s="3"/>
      <c r="O40" s="3"/>
      <c r="P40" s="3"/>
      <c r="Q40" s="3"/>
      <c r="R40" s="6">
        <v>1.0</v>
      </c>
      <c r="S40" s="6">
        <v>2300.0</v>
      </c>
      <c r="T40" s="6" t="s">
        <v>559</v>
      </c>
      <c r="U40" s="6"/>
      <c r="V40" s="6"/>
      <c r="W40" s="46"/>
      <c r="X40" s="3"/>
      <c r="Y40" s="47" t="s">
        <v>526</v>
      </c>
      <c r="Z40" s="48">
        <f t="shared" si="2"/>
        <v>43408</v>
      </c>
      <c r="AA40" s="6"/>
      <c r="AB40" s="6"/>
      <c r="AC40" s="49">
        <f t="shared" si="3"/>
        <v>1</v>
      </c>
      <c r="AD40" s="49">
        <f t="shared" si="1"/>
        <v>0</v>
      </c>
    </row>
    <row r="41">
      <c r="A41" s="6">
        <v>1383.0</v>
      </c>
      <c r="B41" s="39">
        <v>43405.15972222222</v>
      </c>
      <c r="C41" s="6" t="s">
        <v>504</v>
      </c>
      <c r="D41" s="6" t="s">
        <v>723</v>
      </c>
      <c r="E41" s="6" t="s">
        <v>724</v>
      </c>
      <c r="F41" s="6" t="s">
        <v>725</v>
      </c>
      <c r="G41" s="6" t="s">
        <v>726</v>
      </c>
      <c r="H41" s="40"/>
      <c r="I41" s="6" t="s">
        <v>727</v>
      </c>
      <c r="J41" s="40"/>
      <c r="K41" s="40"/>
      <c r="L41" s="42" t="s">
        <v>728</v>
      </c>
      <c r="M41" s="44"/>
      <c r="N41" s="3"/>
      <c r="O41" s="3"/>
      <c r="P41" s="3"/>
      <c r="Q41" s="3"/>
      <c r="R41" s="6">
        <v>1.0</v>
      </c>
      <c r="S41" s="6">
        <v>2300.0</v>
      </c>
      <c r="T41" s="6" t="s">
        <v>559</v>
      </c>
      <c r="U41" s="6"/>
      <c r="V41" s="6"/>
      <c r="W41" s="46"/>
      <c r="X41" s="3"/>
      <c r="Y41" s="47" t="s">
        <v>526</v>
      </c>
      <c r="Z41" s="48">
        <f t="shared" si="2"/>
        <v>43408</v>
      </c>
      <c r="AA41" s="6"/>
      <c r="AB41" s="6"/>
      <c r="AC41" s="49">
        <f t="shared" si="3"/>
        <v>1</v>
      </c>
      <c r="AD41" s="49">
        <f t="shared" si="1"/>
        <v>0</v>
      </c>
    </row>
    <row r="42">
      <c r="A42" s="6">
        <v>1384.0</v>
      </c>
      <c r="B42" s="39">
        <v>43405.16875</v>
      </c>
      <c r="C42" s="6" t="s">
        <v>504</v>
      </c>
      <c r="D42" s="6" t="s">
        <v>729</v>
      </c>
      <c r="E42" s="6" t="s">
        <v>730</v>
      </c>
      <c r="F42" s="50" t="s">
        <v>731</v>
      </c>
      <c r="G42" s="6" t="s">
        <v>732</v>
      </c>
      <c r="H42" s="40"/>
      <c r="I42" s="6" t="s">
        <v>733</v>
      </c>
      <c r="J42" s="40"/>
      <c r="K42" s="40"/>
      <c r="L42" s="96" t="s">
        <v>734</v>
      </c>
      <c r="M42" s="44"/>
      <c r="N42" s="3"/>
      <c r="O42" s="3"/>
      <c r="P42" s="3"/>
      <c r="Q42" s="3"/>
      <c r="R42" s="6">
        <v>1.0</v>
      </c>
      <c r="S42" s="6">
        <v>2300.0</v>
      </c>
      <c r="T42" s="6" t="s">
        <v>559</v>
      </c>
      <c r="U42" s="6"/>
      <c r="V42" s="6"/>
      <c r="W42" s="46"/>
      <c r="X42" s="3"/>
      <c r="Y42" s="47" t="s">
        <v>526</v>
      </c>
      <c r="Z42" s="48">
        <f t="shared" si="2"/>
        <v>43408</v>
      </c>
      <c r="AA42" s="6"/>
      <c r="AB42" s="6"/>
      <c r="AC42" s="49">
        <f t="shared" si="3"/>
        <v>1</v>
      </c>
      <c r="AD42" s="49">
        <f t="shared" si="1"/>
        <v>0</v>
      </c>
    </row>
    <row r="43">
      <c r="A43" s="6">
        <v>1385.0</v>
      </c>
      <c r="B43" s="39">
        <v>43405.20208333333</v>
      </c>
      <c r="C43" s="6" t="s">
        <v>504</v>
      </c>
      <c r="D43" s="6" t="s">
        <v>735</v>
      </c>
      <c r="E43" s="6" t="s">
        <v>736</v>
      </c>
      <c r="F43" s="6" t="s">
        <v>737</v>
      </c>
      <c r="G43" s="6" t="s">
        <v>738</v>
      </c>
      <c r="H43" s="40"/>
      <c r="I43" s="6" t="s">
        <v>522</v>
      </c>
      <c r="J43" s="40"/>
      <c r="K43" s="40"/>
      <c r="L43" s="42" t="s">
        <v>739</v>
      </c>
      <c r="M43" s="44"/>
      <c r="N43" s="3"/>
      <c r="O43" s="3"/>
      <c r="P43" s="3"/>
      <c r="Q43" s="3"/>
      <c r="R43" s="6">
        <v>1.0</v>
      </c>
      <c r="S43" s="6">
        <v>2300.0</v>
      </c>
      <c r="T43" s="6" t="s">
        <v>559</v>
      </c>
      <c r="U43" s="6"/>
      <c r="V43" s="15"/>
      <c r="W43" s="46"/>
      <c r="X43" s="3"/>
      <c r="Y43" s="47" t="s">
        <v>526</v>
      </c>
      <c r="Z43" s="48">
        <f t="shared" si="2"/>
        <v>43408</v>
      </c>
      <c r="AA43" s="6"/>
      <c r="AB43" s="6"/>
      <c r="AC43" s="49">
        <f t="shared" si="3"/>
        <v>1</v>
      </c>
      <c r="AD43" s="49">
        <f t="shared" si="1"/>
        <v>0</v>
      </c>
    </row>
    <row r="44">
      <c r="A44" s="6">
        <v>1386.0</v>
      </c>
      <c r="B44" s="39">
        <v>43405.23125</v>
      </c>
      <c r="C44" s="6" t="s">
        <v>504</v>
      </c>
      <c r="D44" s="6" t="s">
        <v>740</v>
      </c>
      <c r="E44" s="6" t="s">
        <v>741</v>
      </c>
      <c r="F44" s="6" t="s">
        <v>742</v>
      </c>
      <c r="G44" s="6" t="s">
        <v>743</v>
      </c>
      <c r="H44" s="40"/>
      <c r="I44" s="6" t="s">
        <v>522</v>
      </c>
      <c r="J44" s="40"/>
      <c r="K44" s="40"/>
      <c r="L44" s="42" t="s">
        <v>744</v>
      </c>
      <c r="M44" s="44"/>
      <c r="N44" s="3"/>
      <c r="O44" s="3"/>
      <c r="P44" s="3"/>
      <c r="Q44" s="3"/>
      <c r="R44" s="6">
        <v>1.0</v>
      </c>
      <c r="S44" s="6">
        <v>2300.0</v>
      </c>
      <c r="T44" s="6" t="s">
        <v>559</v>
      </c>
      <c r="U44" s="6"/>
      <c r="V44" s="6" t="s">
        <v>525</v>
      </c>
      <c r="W44" s="95"/>
      <c r="X44" s="3"/>
      <c r="Y44" s="47" t="s">
        <v>526</v>
      </c>
      <c r="Z44" s="48">
        <f t="shared" si="2"/>
        <v>43408</v>
      </c>
      <c r="AA44" s="6"/>
      <c r="AB44" s="6"/>
      <c r="AC44" s="49">
        <f t="shared" si="3"/>
        <v>1</v>
      </c>
      <c r="AD44" s="49">
        <f t="shared" si="1"/>
        <v>0</v>
      </c>
    </row>
    <row r="45">
      <c r="A45" s="6">
        <v>1387.0</v>
      </c>
      <c r="B45" s="39">
        <v>43405.268055555556</v>
      </c>
      <c r="C45" s="6" t="s">
        <v>504</v>
      </c>
      <c r="D45" s="6" t="s">
        <v>746</v>
      </c>
      <c r="E45" s="6" t="s">
        <v>747</v>
      </c>
      <c r="F45" s="6" t="s">
        <v>748</v>
      </c>
      <c r="G45" s="6" t="s">
        <v>749</v>
      </c>
      <c r="H45" s="40"/>
      <c r="I45" s="6" t="s">
        <v>750</v>
      </c>
      <c r="J45" s="40"/>
      <c r="K45" s="40"/>
      <c r="L45" s="42" t="s">
        <v>751</v>
      </c>
      <c r="M45" s="44"/>
      <c r="N45" s="3"/>
      <c r="O45" s="3"/>
      <c r="P45" s="3"/>
      <c r="Q45" s="3"/>
      <c r="R45" s="6">
        <v>1.0</v>
      </c>
      <c r="S45" s="6">
        <v>2300.0</v>
      </c>
      <c r="T45" s="6" t="s">
        <v>559</v>
      </c>
      <c r="U45" s="6"/>
      <c r="V45" s="6"/>
      <c r="W45" s="46"/>
      <c r="X45" s="3"/>
      <c r="Y45" s="47" t="s">
        <v>526</v>
      </c>
      <c r="Z45" s="48">
        <f t="shared" si="2"/>
        <v>43408</v>
      </c>
      <c r="AA45" s="6"/>
      <c r="AB45" s="6"/>
      <c r="AC45" s="49">
        <f t="shared" si="3"/>
        <v>1</v>
      </c>
      <c r="AD45" s="49">
        <f t="shared" si="1"/>
        <v>0</v>
      </c>
    </row>
    <row r="46">
      <c r="A46" s="50"/>
      <c r="B46" s="59"/>
      <c r="C46" s="50"/>
      <c r="D46" s="50"/>
      <c r="E46" s="50"/>
      <c r="F46" s="50"/>
      <c r="G46" s="50"/>
      <c r="H46" s="98"/>
      <c r="I46" s="50"/>
      <c r="J46" s="98"/>
      <c r="K46" s="61"/>
      <c r="L46" s="42"/>
      <c r="M46" s="63"/>
      <c r="N46" s="65"/>
      <c r="O46" s="65"/>
      <c r="P46" s="65"/>
      <c r="Q46" s="65"/>
      <c r="R46" s="50"/>
      <c r="S46" s="50"/>
      <c r="T46" s="50"/>
      <c r="U46" s="50"/>
      <c r="V46" s="50"/>
      <c r="W46" s="67"/>
      <c r="X46" s="65"/>
      <c r="Y46" s="69"/>
      <c r="Z46" s="71" t="str">
        <f t="shared" ref="Z46:Z86" si="4">IF(B46&lt;&gt;"",B46+3,"")</f>
        <v/>
      </c>
      <c r="AA46" s="6"/>
      <c r="AB46" s="50"/>
      <c r="AC46" s="49">
        <f t="shared" si="3"/>
        <v>0</v>
      </c>
      <c r="AD46" s="49">
        <f t="shared" si="1"/>
        <v>0</v>
      </c>
    </row>
    <row r="47" ht="15.0" customHeight="1">
      <c r="A47" s="6"/>
      <c r="B47" s="39"/>
      <c r="C47" s="6"/>
      <c r="D47" s="6"/>
      <c r="E47" s="6"/>
      <c r="F47" s="50"/>
      <c r="G47" s="6"/>
      <c r="I47" s="6"/>
      <c r="K47" s="40"/>
      <c r="L47" s="42"/>
      <c r="M47" s="44"/>
      <c r="N47" s="3"/>
      <c r="O47" s="3"/>
      <c r="P47" s="3"/>
      <c r="Q47" s="3"/>
      <c r="R47" s="6"/>
      <c r="S47" s="6"/>
      <c r="T47" s="6"/>
      <c r="U47" s="6"/>
      <c r="V47" s="6"/>
      <c r="W47" s="46"/>
      <c r="X47" s="3"/>
      <c r="Y47" s="99"/>
      <c r="Z47" s="48" t="str">
        <f t="shared" si="4"/>
        <v/>
      </c>
      <c r="AA47" s="6"/>
      <c r="AB47" s="6"/>
      <c r="AC47" s="49">
        <f t="shared" si="3"/>
        <v>0</v>
      </c>
      <c r="AD47" s="49">
        <f t="shared" si="1"/>
        <v>0</v>
      </c>
    </row>
    <row r="48">
      <c r="A48" s="6"/>
      <c r="B48" s="39"/>
      <c r="C48" s="6"/>
      <c r="D48" s="6"/>
      <c r="E48" s="6"/>
      <c r="F48" s="50"/>
      <c r="G48" s="6"/>
      <c r="I48" s="6"/>
      <c r="J48" s="40"/>
      <c r="K48" s="40"/>
      <c r="L48" s="54"/>
      <c r="M48" s="44"/>
      <c r="N48" s="3"/>
      <c r="O48" s="3"/>
      <c r="P48" s="3"/>
      <c r="Q48" s="3"/>
      <c r="R48" s="6"/>
      <c r="S48" s="6"/>
      <c r="T48" s="6"/>
      <c r="U48" s="101"/>
      <c r="V48" s="50"/>
      <c r="W48" s="67"/>
      <c r="X48" s="65"/>
      <c r="Y48" s="69"/>
      <c r="Z48" s="71" t="str">
        <f t="shared" si="4"/>
        <v/>
      </c>
      <c r="AA48" s="50"/>
      <c r="AB48" s="101"/>
      <c r="AC48" s="49">
        <f t="shared" si="3"/>
        <v>0</v>
      </c>
      <c r="AD48" s="49">
        <f t="shared" si="1"/>
        <v>0</v>
      </c>
    </row>
    <row r="49">
      <c r="A49" s="6"/>
      <c r="B49" s="39"/>
      <c r="C49" s="6"/>
      <c r="D49" s="6"/>
      <c r="E49" s="6"/>
      <c r="F49" s="50"/>
      <c r="G49" s="6"/>
      <c r="H49" s="40"/>
      <c r="I49" s="6"/>
      <c r="J49" s="40"/>
      <c r="K49" s="40"/>
      <c r="L49" s="42"/>
      <c r="M49" s="44"/>
      <c r="N49" s="3"/>
      <c r="O49" s="3"/>
      <c r="P49" s="3"/>
      <c r="Q49" s="3"/>
      <c r="R49" s="6"/>
      <c r="S49" s="6"/>
      <c r="T49" s="6"/>
      <c r="U49" s="102"/>
      <c r="V49" s="102"/>
      <c r="W49" s="46"/>
      <c r="X49" s="3"/>
      <c r="Y49" s="47"/>
      <c r="Z49" s="48" t="str">
        <f t="shared" si="4"/>
        <v/>
      </c>
      <c r="AA49" s="3"/>
      <c r="AB49" s="3"/>
      <c r="AC49" s="49">
        <f t="shared" si="3"/>
        <v>0</v>
      </c>
      <c r="AD49" s="49">
        <f t="shared" si="1"/>
        <v>0</v>
      </c>
    </row>
    <row r="50">
      <c r="A50" s="6"/>
      <c r="B50" s="39"/>
      <c r="C50" s="6"/>
      <c r="D50" s="6"/>
      <c r="E50" s="6"/>
      <c r="F50" s="50"/>
      <c r="G50" s="6"/>
      <c r="H50" s="40"/>
      <c r="I50" s="6"/>
      <c r="J50" s="40"/>
      <c r="K50" s="40"/>
      <c r="L50" s="42"/>
      <c r="M50" s="44"/>
      <c r="N50" s="3"/>
      <c r="O50" s="3"/>
      <c r="P50" s="3"/>
      <c r="Q50" s="3"/>
      <c r="R50" s="6"/>
      <c r="S50" s="6"/>
      <c r="T50" s="6"/>
      <c r="U50" s="6"/>
      <c r="V50" s="6"/>
      <c r="W50" s="46"/>
      <c r="X50" s="3"/>
      <c r="Y50" s="47"/>
      <c r="Z50" s="48" t="str">
        <f t="shared" si="4"/>
        <v/>
      </c>
      <c r="AA50" s="6"/>
      <c r="AB50" s="6"/>
      <c r="AC50" s="49">
        <f t="shared" si="3"/>
        <v>0</v>
      </c>
      <c r="AD50" s="49">
        <f t="shared" si="1"/>
        <v>0</v>
      </c>
    </row>
    <row r="51">
      <c r="A51" s="6"/>
      <c r="B51" s="39"/>
      <c r="C51" s="6"/>
      <c r="D51" s="6"/>
      <c r="E51" s="6"/>
      <c r="F51" s="50"/>
      <c r="G51" s="6"/>
      <c r="H51" s="40"/>
      <c r="I51" s="6"/>
      <c r="J51" s="40"/>
      <c r="K51" s="40"/>
      <c r="L51" s="42"/>
      <c r="M51" s="44"/>
      <c r="N51" s="3"/>
      <c r="O51" s="3"/>
      <c r="P51" s="3"/>
      <c r="Q51" s="3"/>
      <c r="R51" s="6"/>
      <c r="S51" s="6"/>
      <c r="T51" s="6"/>
      <c r="U51" s="6"/>
      <c r="V51" s="6"/>
      <c r="W51" s="46"/>
      <c r="X51" s="3"/>
      <c r="Y51" s="47"/>
      <c r="Z51" s="48" t="str">
        <f t="shared" si="4"/>
        <v/>
      </c>
      <c r="AA51" s="6"/>
      <c r="AB51" s="6"/>
      <c r="AC51" s="49">
        <f t="shared" si="3"/>
        <v>0</v>
      </c>
      <c r="AD51" s="49">
        <f t="shared" si="1"/>
        <v>0</v>
      </c>
    </row>
    <row r="52">
      <c r="A52" s="6"/>
      <c r="B52" s="39"/>
      <c r="C52" s="6"/>
      <c r="D52" s="6"/>
      <c r="E52" s="6"/>
      <c r="F52" s="50"/>
      <c r="G52" s="6"/>
      <c r="H52" s="40"/>
      <c r="I52" s="6"/>
      <c r="J52" s="40"/>
      <c r="K52" s="40"/>
      <c r="L52" s="42"/>
      <c r="M52" s="44"/>
      <c r="N52" s="3"/>
      <c r="O52" s="3"/>
      <c r="P52" s="3"/>
      <c r="Q52" s="3"/>
      <c r="R52" s="6"/>
      <c r="S52" s="6"/>
      <c r="T52" s="6"/>
      <c r="U52" s="6"/>
      <c r="V52" s="6"/>
      <c r="W52" s="95"/>
      <c r="X52" s="3"/>
      <c r="Y52" s="47"/>
      <c r="Z52" s="48" t="str">
        <f t="shared" si="4"/>
        <v/>
      </c>
      <c r="AA52" s="6"/>
      <c r="AB52" s="6"/>
      <c r="AC52" s="49">
        <f t="shared" si="3"/>
        <v>0</v>
      </c>
      <c r="AD52" s="49">
        <f t="shared" si="1"/>
        <v>0</v>
      </c>
    </row>
    <row r="53">
      <c r="A53" s="6"/>
      <c r="B53" s="39"/>
      <c r="C53" s="6"/>
      <c r="D53" s="6"/>
      <c r="E53" s="6"/>
      <c r="F53" s="101"/>
      <c r="G53" s="6"/>
      <c r="H53" s="40"/>
      <c r="I53" s="6"/>
      <c r="J53" s="40"/>
      <c r="K53" s="40"/>
      <c r="L53" s="42"/>
      <c r="M53" s="44"/>
      <c r="N53" s="3"/>
      <c r="O53" s="3"/>
      <c r="P53" s="3"/>
      <c r="Q53" s="3"/>
      <c r="R53" s="6"/>
      <c r="S53" s="6"/>
      <c r="T53" s="6"/>
      <c r="U53" s="6"/>
      <c r="V53" s="6"/>
      <c r="W53" s="95"/>
      <c r="X53" s="3"/>
      <c r="Y53" s="47"/>
      <c r="Z53" s="48" t="str">
        <f t="shared" si="4"/>
        <v/>
      </c>
      <c r="AA53" s="6"/>
      <c r="AB53" s="6"/>
      <c r="AC53" s="49">
        <f t="shared" si="3"/>
        <v>0</v>
      </c>
      <c r="AD53" s="49">
        <f t="shared" si="1"/>
        <v>0</v>
      </c>
    </row>
    <row r="54">
      <c r="A54" s="6"/>
      <c r="B54" s="39"/>
      <c r="C54" s="6"/>
      <c r="D54" s="6"/>
      <c r="E54" s="6"/>
      <c r="F54" s="50"/>
      <c r="G54" s="6"/>
      <c r="H54" s="40"/>
      <c r="I54" s="6"/>
      <c r="J54" s="40"/>
      <c r="K54" s="40"/>
      <c r="L54" s="42"/>
      <c r="M54" s="44"/>
      <c r="N54" s="3"/>
      <c r="O54" s="3"/>
      <c r="P54" s="3"/>
      <c r="Q54" s="3"/>
      <c r="R54" s="6"/>
      <c r="S54" s="6"/>
      <c r="T54" s="6"/>
      <c r="U54" s="40"/>
      <c r="V54" s="6"/>
      <c r="W54" s="46"/>
      <c r="X54" s="3"/>
      <c r="Y54" s="47"/>
      <c r="Z54" s="48" t="str">
        <f t="shared" si="4"/>
        <v/>
      </c>
      <c r="AA54" s="6"/>
      <c r="AB54" s="6"/>
      <c r="AC54" s="49">
        <f t="shared" si="3"/>
        <v>0</v>
      </c>
      <c r="AD54" s="49">
        <f t="shared" si="1"/>
        <v>0</v>
      </c>
    </row>
    <row r="55">
      <c r="A55" s="6"/>
      <c r="B55" s="39"/>
      <c r="C55" s="6"/>
      <c r="D55" s="6"/>
      <c r="E55" s="6"/>
      <c r="F55" s="6"/>
      <c r="G55" s="6"/>
      <c r="H55" s="40"/>
      <c r="I55" s="6"/>
      <c r="J55" s="40"/>
      <c r="K55" s="40"/>
      <c r="L55" s="42"/>
      <c r="M55" s="44"/>
      <c r="N55" s="3"/>
      <c r="O55" s="3"/>
      <c r="P55" s="3"/>
      <c r="Q55" s="3"/>
      <c r="R55" s="6"/>
      <c r="S55" s="6"/>
      <c r="T55" s="6"/>
      <c r="U55" s="6"/>
      <c r="V55" s="6"/>
      <c r="W55" s="95"/>
      <c r="X55" s="3"/>
      <c r="Y55" s="47"/>
      <c r="Z55" s="48" t="str">
        <f t="shared" si="4"/>
        <v/>
      </c>
      <c r="AA55" s="6"/>
      <c r="AB55" s="6"/>
      <c r="AC55" s="49">
        <f t="shared" si="3"/>
        <v>0</v>
      </c>
      <c r="AD55" s="49">
        <f t="shared" si="1"/>
        <v>0</v>
      </c>
    </row>
    <row r="56" ht="15.0" customHeight="1">
      <c r="A56" s="6"/>
      <c r="B56" s="39"/>
      <c r="C56" s="6"/>
      <c r="D56" s="6"/>
      <c r="E56" s="6"/>
      <c r="F56" s="6"/>
      <c r="G56" s="6"/>
      <c r="H56" s="40"/>
      <c r="I56" s="6"/>
      <c r="J56" s="40"/>
      <c r="K56" s="40"/>
      <c r="L56" s="42"/>
      <c r="M56" s="44"/>
      <c r="N56" s="3"/>
      <c r="O56" s="3"/>
      <c r="P56" s="3"/>
      <c r="Q56" s="3"/>
      <c r="R56" s="6"/>
      <c r="S56" s="6"/>
      <c r="T56" s="6"/>
      <c r="U56" s="6"/>
      <c r="V56" s="6"/>
      <c r="W56" s="46"/>
      <c r="X56" s="3"/>
      <c r="Y56" s="47"/>
      <c r="Z56" s="48" t="str">
        <f t="shared" si="4"/>
        <v/>
      </c>
      <c r="AA56" s="6"/>
      <c r="AB56" s="6"/>
      <c r="AC56" s="49">
        <f t="shared" si="3"/>
        <v>0</v>
      </c>
      <c r="AD56" s="49">
        <f t="shared" si="1"/>
        <v>0</v>
      </c>
    </row>
    <row r="57">
      <c r="A57" s="6"/>
      <c r="B57" s="39"/>
      <c r="C57" s="6"/>
      <c r="D57" s="6"/>
      <c r="E57" s="6"/>
      <c r="F57" s="6"/>
      <c r="G57" s="6"/>
      <c r="H57" s="40"/>
      <c r="I57" s="6"/>
      <c r="J57" s="40"/>
      <c r="K57" s="40"/>
      <c r="L57" s="42"/>
      <c r="M57" s="44"/>
      <c r="N57" s="3"/>
      <c r="O57" s="3"/>
      <c r="P57" s="3"/>
      <c r="Q57" s="3"/>
      <c r="R57" s="6"/>
      <c r="S57" s="6"/>
      <c r="T57" s="6"/>
      <c r="U57" s="6"/>
      <c r="V57" s="6"/>
      <c r="W57" s="46"/>
      <c r="X57" s="3"/>
      <c r="Y57" s="47"/>
      <c r="Z57" s="48" t="str">
        <f t="shared" si="4"/>
        <v/>
      </c>
      <c r="AA57" s="6"/>
      <c r="AB57" s="6"/>
      <c r="AC57" s="49">
        <f t="shared" si="3"/>
        <v>0</v>
      </c>
      <c r="AD57" s="49">
        <f t="shared" si="1"/>
        <v>0</v>
      </c>
    </row>
    <row r="58">
      <c r="A58" s="6"/>
      <c r="B58" s="39"/>
      <c r="C58" s="6"/>
      <c r="D58" s="6"/>
      <c r="E58" s="6"/>
      <c r="G58" s="6"/>
      <c r="H58" s="40"/>
      <c r="I58" s="6"/>
      <c r="J58" s="40"/>
      <c r="K58" s="40"/>
      <c r="L58" s="42"/>
      <c r="M58" s="44"/>
      <c r="N58" s="3"/>
      <c r="O58" s="3"/>
      <c r="P58" s="3"/>
      <c r="Q58" s="3"/>
      <c r="R58" s="6"/>
      <c r="S58" s="6"/>
      <c r="T58" s="6"/>
      <c r="U58" s="6"/>
      <c r="V58" s="6"/>
      <c r="W58" s="46"/>
      <c r="X58" s="3"/>
      <c r="Y58" s="47"/>
      <c r="Z58" s="48" t="str">
        <f t="shared" si="4"/>
        <v/>
      </c>
      <c r="AA58" s="6"/>
      <c r="AB58" s="6"/>
      <c r="AC58" s="49">
        <f t="shared" si="3"/>
        <v>0</v>
      </c>
      <c r="AD58" s="49">
        <f t="shared" si="1"/>
        <v>0</v>
      </c>
    </row>
    <row r="59">
      <c r="A59" s="6"/>
      <c r="B59" s="39"/>
      <c r="C59" s="6"/>
      <c r="D59" s="6"/>
      <c r="E59" s="6"/>
      <c r="F59" s="6"/>
      <c r="G59" s="6"/>
      <c r="H59" s="40"/>
      <c r="I59" s="6"/>
      <c r="J59" s="40"/>
      <c r="K59" s="40"/>
      <c r="L59" s="42"/>
      <c r="M59" s="44"/>
      <c r="N59" s="3"/>
      <c r="O59" s="3"/>
      <c r="P59" s="3"/>
      <c r="Q59" s="3"/>
      <c r="R59" s="6"/>
      <c r="S59" s="6"/>
      <c r="T59" s="6"/>
      <c r="U59" s="6"/>
      <c r="V59" s="6"/>
      <c r="W59" s="46"/>
      <c r="X59" s="3"/>
      <c r="Y59" s="47"/>
      <c r="Z59" s="48" t="str">
        <f t="shared" si="4"/>
        <v/>
      </c>
      <c r="AA59" s="6"/>
      <c r="AB59" s="6"/>
      <c r="AC59" s="49">
        <f t="shared" si="3"/>
        <v>0</v>
      </c>
      <c r="AD59" s="49">
        <f t="shared" si="1"/>
        <v>0</v>
      </c>
    </row>
    <row r="60">
      <c r="A60" s="6"/>
      <c r="B60" s="39"/>
      <c r="C60" s="6"/>
      <c r="D60" s="6"/>
      <c r="E60" s="6"/>
      <c r="F60" s="6"/>
      <c r="G60" s="6"/>
      <c r="H60" s="40"/>
      <c r="I60" s="6"/>
      <c r="J60" s="40"/>
      <c r="K60" s="40"/>
      <c r="L60" s="42"/>
      <c r="M60" s="44"/>
      <c r="N60" s="3"/>
      <c r="O60" s="3"/>
      <c r="P60" s="3"/>
      <c r="Q60" s="3"/>
      <c r="R60" s="6"/>
      <c r="S60" s="6"/>
      <c r="T60" s="6"/>
      <c r="U60" s="6"/>
      <c r="V60" s="6"/>
      <c r="W60" s="46"/>
      <c r="X60" s="3"/>
      <c r="Y60" s="47"/>
      <c r="Z60" s="48" t="str">
        <f t="shared" si="4"/>
        <v/>
      </c>
      <c r="AA60" s="6"/>
      <c r="AB60" s="6"/>
      <c r="AC60" s="49">
        <f t="shared" si="3"/>
        <v>0</v>
      </c>
      <c r="AD60" s="49">
        <f t="shared" si="1"/>
        <v>0</v>
      </c>
    </row>
    <row r="61">
      <c r="A61" s="6"/>
      <c r="B61" s="39"/>
      <c r="C61" s="6"/>
      <c r="D61" s="6"/>
      <c r="E61" s="6"/>
      <c r="F61" s="6"/>
      <c r="G61" s="6"/>
      <c r="H61" s="40"/>
      <c r="I61" s="6"/>
      <c r="J61" s="40"/>
      <c r="K61" s="40"/>
      <c r="L61" s="42"/>
      <c r="M61" s="44"/>
      <c r="N61" s="3"/>
      <c r="O61" s="3"/>
      <c r="P61" s="3"/>
      <c r="Q61" s="3"/>
      <c r="R61" s="6"/>
      <c r="S61" s="6"/>
      <c r="T61" s="6"/>
      <c r="U61" s="6"/>
      <c r="V61" s="6"/>
      <c r="W61" s="46"/>
      <c r="X61" s="3"/>
      <c r="Y61" s="104"/>
      <c r="Z61" s="48" t="str">
        <f t="shared" si="4"/>
        <v/>
      </c>
      <c r="AA61" s="6"/>
      <c r="AB61" s="6"/>
      <c r="AC61" s="49">
        <f t="shared" si="3"/>
        <v>0</v>
      </c>
      <c r="AD61" s="49">
        <f t="shared" si="1"/>
        <v>0</v>
      </c>
    </row>
    <row r="62">
      <c r="A62" s="6"/>
      <c r="B62" s="39"/>
      <c r="C62" s="6"/>
      <c r="D62" s="6"/>
      <c r="E62" s="6"/>
      <c r="F62" s="6"/>
      <c r="G62" s="6"/>
      <c r="H62" s="40"/>
      <c r="I62" s="6"/>
      <c r="J62" s="40"/>
      <c r="K62" s="40"/>
      <c r="L62" s="42"/>
      <c r="M62" s="44"/>
      <c r="N62" s="3"/>
      <c r="O62" s="3"/>
      <c r="P62" s="3"/>
      <c r="Q62" s="3"/>
      <c r="R62" s="6"/>
      <c r="S62" s="6"/>
      <c r="T62" s="6"/>
      <c r="U62" s="6"/>
      <c r="V62" s="6"/>
      <c r="W62" s="46"/>
      <c r="X62" s="3"/>
      <c r="Y62" s="47"/>
      <c r="Z62" s="48" t="str">
        <f t="shared" si="4"/>
        <v/>
      </c>
      <c r="AA62" s="6"/>
      <c r="AB62" s="6"/>
      <c r="AC62" s="49">
        <f t="shared" si="3"/>
        <v>0</v>
      </c>
      <c r="AD62" s="49">
        <f t="shared" si="1"/>
        <v>0</v>
      </c>
    </row>
    <row r="63">
      <c r="A63" s="6"/>
      <c r="B63" s="39"/>
      <c r="C63" s="6"/>
      <c r="D63" s="6"/>
      <c r="E63" s="6"/>
      <c r="F63" s="6"/>
      <c r="G63" s="6"/>
      <c r="H63" s="40"/>
      <c r="I63" s="6"/>
      <c r="J63" s="40"/>
      <c r="K63" s="40"/>
      <c r="L63" s="42"/>
      <c r="M63" s="44"/>
      <c r="N63" s="3"/>
      <c r="O63" s="3"/>
      <c r="P63" s="3"/>
      <c r="Q63" s="3"/>
      <c r="R63" s="6"/>
      <c r="S63" s="6"/>
      <c r="T63" s="6"/>
      <c r="U63" s="6"/>
      <c r="V63" s="6"/>
      <c r="W63" s="95"/>
      <c r="X63" s="3"/>
      <c r="Y63" s="47"/>
      <c r="Z63" s="48" t="str">
        <f t="shared" si="4"/>
        <v/>
      </c>
      <c r="AA63" s="6"/>
      <c r="AB63" s="6"/>
      <c r="AC63" s="49">
        <f t="shared" si="3"/>
        <v>0</v>
      </c>
      <c r="AD63" s="49">
        <f t="shared" si="1"/>
        <v>0</v>
      </c>
    </row>
    <row r="64">
      <c r="A64" s="6"/>
      <c r="B64" s="39"/>
      <c r="C64" s="6"/>
      <c r="D64" s="6"/>
      <c r="E64" s="6"/>
      <c r="F64" s="6"/>
      <c r="G64" s="6"/>
      <c r="H64" s="40"/>
      <c r="I64" s="6"/>
      <c r="J64" s="40"/>
      <c r="K64" s="40"/>
      <c r="L64" s="42"/>
      <c r="M64" s="44"/>
      <c r="N64" s="3"/>
      <c r="O64" s="3"/>
      <c r="P64" s="3"/>
      <c r="Q64" s="3"/>
      <c r="R64" s="6"/>
      <c r="S64" s="6"/>
      <c r="T64" s="6"/>
      <c r="U64" s="6"/>
      <c r="V64" s="6"/>
      <c r="W64" s="46"/>
      <c r="X64" s="3"/>
      <c r="Y64" s="47"/>
      <c r="Z64" s="48" t="str">
        <f t="shared" si="4"/>
        <v/>
      </c>
      <c r="AA64" s="6"/>
      <c r="AB64" s="6"/>
      <c r="AC64" s="49">
        <f t="shared" si="3"/>
        <v>0</v>
      </c>
      <c r="AD64" s="49">
        <f t="shared" si="1"/>
        <v>0</v>
      </c>
    </row>
    <row r="65">
      <c r="A65" s="6"/>
      <c r="B65" s="39"/>
      <c r="C65" s="6"/>
      <c r="D65" s="6"/>
      <c r="E65" s="6"/>
      <c r="F65" s="6"/>
      <c r="G65" s="6"/>
      <c r="H65" s="40"/>
      <c r="I65" s="6"/>
      <c r="J65" s="40"/>
      <c r="K65" s="40"/>
      <c r="L65" s="42"/>
      <c r="M65" s="44"/>
      <c r="N65" s="3"/>
      <c r="O65" s="3"/>
      <c r="P65" s="3"/>
      <c r="Q65" s="3"/>
      <c r="R65" s="6"/>
      <c r="S65" s="6"/>
      <c r="T65" s="6"/>
      <c r="U65" s="6"/>
      <c r="V65" s="6"/>
      <c r="W65" s="46"/>
      <c r="X65" s="3"/>
      <c r="Y65" s="47"/>
      <c r="Z65" s="48" t="str">
        <f t="shared" si="4"/>
        <v/>
      </c>
      <c r="AA65" s="6"/>
      <c r="AB65" s="6"/>
      <c r="AC65" s="49">
        <f t="shared" si="3"/>
        <v>0</v>
      </c>
      <c r="AD65" s="49">
        <f t="shared" si="1"/>
        <v>0</v>
      </c>
    </row>
    <row r="66">
      <c r="A66" s="6"/>
      <c r="B66" s="39"/>
      <c r="C66" s="6"/>
      <c r="D66" s="6"/>
      <c r="E66" s="6"/>
      <c r="F66" s="6"/>
      <c r="G66" s="6"/>
      <c r="H66" s="40"/>
      <c r="I66" s="6"/>
      <c r="J66" s="40"/>
      <c r="K66" s="40"/>
      <c r="L66" s="42"/>
      <c r="M66" s="44"/>
      <c r="N66" s="3"/>
      <c r="O66" s="3"/>
      <c r="P66" s="3"/>
      <c r="Q66" s="3"/>
      <c r="R66" s="6"/>
      <c r="S66" s="6"/>
      <c r="T66" s="6"/>
      <c r="U66" s="6"/>
      <c r="V66" s="6"/>
      <c r="W66" s="46"/>
      <c r="X66" s="3"/>
      <c r="Y66" s="47"/>
      <c r="Z66" s="48" t="str">
        <f t="shared" si="4"/>
        <v/>
      </c>
      <c r="AA66" s="6"/>
      <c r="AB66" s="6"/>
      <c r="AC66" s="49">
        <f t="shared" si="3"/>
        <v>0</v>
      </c>
      <c r="AD66" s="49">
        <f t="shared" si="1"/>
        <v>0</v>
      </c>
    </row>
    <row r="67" ht="15.0" customHeight="1">
      <c r="A67" s="6"/>
      <c r="B67" s="39"/>
      <c r="C67" s="6"/>
      <c r="D67" s="6"/>
      <c r="E67" s="6"/>
      <c r="F67" s="6"/>
      <c r="G67" s="6"/>
      <c r="H67" s="40"/>
      <c r="I67" s="6"/>
      <c r="J67" s="40"/>
      <c r="K67" s="40"/>
      <c r="L67" s="42"/>
      <c r="M67" s="44"/>
      <c r="N67" s="3"/>
      <c r="O67" s="3"/>
      <c r="P67" s="3"/>
      <c r="Q67" s="3"/>
      <c r="R67" s="6"/>
      <c r="S67" s="6"/>
      <c r="T67" s="6"/>
      <c r="U67" s="40"/>
      <c r="V67" s="6"/>
      <c r="W67" s="46"/>
      <c r="X67" s="3"/>
      <c r="Y67" s="47"/>
      <c r="Z67" s="48" t="str">
        <f t="shared" si="4"/>
        <v/>
      </c>
      <c r="AA67" s="6"/>
      <c r="AB67" s="6"/>
      <c r="AC67" s="49">
        <f t="shared" si="3"/>
        <v>0</v>
      </c>
      <c r="AD67" s="49">
        <f t="shared" si="1"/>
        <v>0</v>
      </c>
    </row>
    <row r="68">
      <c r="A68" s="6"/>
      <c r="B68" s="39"/>
      <c r="C68" s="6"/>
      <c r="D68" s="6"/>
      <c r="E68" s="105"/>
      <c r="F68" s="6"/>
      <c r="G68" s="6"/>
      <c r="H68" s="40"/>
      <c r="I68" s="6"/>
      <c r="J68" s="40"/>
      <c r="K68" s="40"/>
      <c r="L68" s="42"/>
      <c r="M68" s="44"/>
      <c r="N68" s="3"/>
      <c r="O68" s="3"/>
      <c r="P68" s="3"/>
      <c r="Q68" s="3"/>
      <c r="R68" s="6"/>
      <c r="S68" s="6"/>
      <c r="T68" s="6"/>
      <c r="U68" s="6"/>
      <c r="V68" s="6"/>
      <c r="W68" s="46"/>
      <c r="X68" s="3"/>
      <c r="Y68" s="47"/>
      <c r="Z68" s="48" t="str">
        <f t="shared" si="4"/>
        <v/>
      </c>
      <c r="AA68" s="6"/>
      <c r="AB68" s="6"/>
      <c r="AC68" s="49">
        <f t="shared" si="3"/>
        <v>0</v>
      </c>
      <c r="AD68" s="49">
        <f t="shared" si="1"/>
        <v>0</v>
      </c>
    </row>
    <row r="69">
      <c r="A69" s="6"/>
      <c r="B69" s="39"/>
      <c r="C69" s="6"/>
      <c r="D69" s="6"/>
      <c r="E69" s="6"/>
      <c r="F69" s="6"/>
      <c r="G69" s="6"/>
      <c r="H69" s="40"/>
      <c r="I69" s="6"/>
      <c r="J69" s="40"/>
      <c r="K69" s="40"/>
      <c r="L69" s="42"/>
      <c r="M69" s="44"/>
      <c r="N69" s="3"/>
      <c r="O69" s="3"/>
      <c r="P69" s="3"/>
      <c r="Q69" s="3"/>
      <c r="R69" s="6"/>
      <c r="S69" s="6"/>
      <c r="T69" s="6"/>
      <c r="U69" s="6"/>
      <c r="V69" s="6"/>
      <c r="W69" s="46"/>
      <c r="X69" s="3"/>
      <c r="Y69" s="47"/>
      <c r="Z69" s="48" t="str">
        <f t="shared" si="4"/>
        <v/>
      </c>
      <c r="AA69" s="6"/>
      <c r="AB69" s="6"/>
      <c r="AC69" s="49">
        <f t="shared" si="3"/>
        <v>0</v>
      </c>
      <c r="AD69" s="49">
        <f t="shared" si="1"/>
        <v>0</v>
      </c>
    </row>
    <row r="70">
      <c r="A70" s="101"/>
      <c r="B70" s="106"/>
      <c r="C70" s="101"/>
      <c r="D70" s="101"/>
      <c r="E70" s="101"/>
      <c r="F70" s="101"/>
      <c r="G70" s="101"/>
      <c r="H70" s="107"/>
      <c r="I70" s="101"/>
      <c r="J70" s="107"/>
      <c r="K70" s="107"/>
      <c r="L70" s="42"/>
      <c r="M70" s="108"/>
      <c r="N70" s="110"/>
      <c r="O70" s="110"/>
      <c r="P70" s="110"/>
      <c r="Q70" s="110"/>
      <c r="R70" s="101"/>
      <c r="S70" s="101"/>
      <c r="T70" s="101"/>
      <c r="U70" s="110"/>
      <c r="V70" s="110"/>
      <c r="W70" s="111"/>
      <c r="X70" s="110"/>
      <c r="Y70" s="99"/>
      <c r="Z70" s="112" t="str">
        <f t="shared" si="4"/>
        <v/>
      </c>
      <c r="AA70" s="110"/>
      <c r="AB70" s="101"/>
      <c r="AC70" s="49">
        <f t="shared" si="3"/>
        <v>0</v>
      </c>
      <c r="AD70" s="49">
        <f t="shared" si="1"/>
        <v>0</v>
      </c>
    </row>
    <row r="71" ht="15.0" customHeight="1">
      <c r="A71" s="6"/>
      <c r="B71" s="39"/>
      <c r="C71" s="6"/>
      <c r="D71" s="6"/>
      <c r="E71" s="6"/>
      <c r="F71" s="6"/>
      <c r="G71" s="6"/>
      <c r="H71" s="40"/>
      <c r="I71" s="6"/>
      <c r="J71" s="40"/>
      <c r="K71" s="40"/>
      <c r="L71" s="42"/>
      <c r="M71" s="44"/>
      <c r="N71" s="3"/>
      <c r="O71" s="3"/>
      <c r="P71" s="3"/>
      <c r="Q71" s="3"/>
      <c r="R71" s="6"/>
      <c r="S71" s="6"/>
      <c r="T71" s="6"/>
      <c r="U71" s="40"/>
      <c r="V71" s="6"/>
      <c r="W71" s="46"/>
      <c r="X71" s="3"/>
      <c r="Y71" s="47"/>
      <c r="Z71" s="48" t="str">
        <f t="shared" si="4"/>
        <v/>
      </c>
      <c r="AA71" s="6"/>
      <c r="AB71" s="6"/>
      <c r="AC71" s="49">
        <f t="shared" si="3"/>
        <v>0</v>
      </c>
      <c r="AD71" s="49">
        <f t="shared" si="1"/>
        <v>0</v>
      </c>
    </row>
    <row r="72">
      <c r="A72" s="6"/>
      <c r="B72" s="39"/>
      <c r="C72" s="6"/>
      <c r="D72" s="6"/>
      <c r="E72" s="6"/>
      <c r="F72" s="6"/>
      <c r="G72" s="6"/>
      <c r="H72" s="40"/>
      <c r="I72" s="6"/>
      <c r="J72" s="40"/>
      <c r="K72" s="40"/>
      <c r="L72" s="42"/>
      <c r="M72" s="44"/>
      <c r="N72" s="3"/>
      <c r="O72" s="3"/>
      <c r="P72" s="3"/>
      <c r="Q72" s="3"/>
      <c r="R72" s="6"/>
      <c r="S72" s="6"/>
      <c r="T72" s="6"/>
      <c r="U72" s="6"/>
      <c r="V72" s="6"/>
      <c r="W72" s="46"/>
      <c r="X72" s="3"/>
      <c r="Y72" s="47"/>
      <c r="Z72" s="48" t="str">
        <f t="shared" si="4"/>
        <v/>
      </c>
      <c r="AA72" s="6"/>
      <c r="AB72" s="6"/>
      <c r="AC72" s="49">
        <f t="shared" si="3"/>
        <v>0</v>
      </c>
      <c r="AD72" s="49">
        <f t="shared" si="1"/>
        <v>0</v>
      </c>
    </row>
    <row r="73">
      <c r="A73" s="6"/>
      <c r="B73" s="39"/>
      <c r="C73" s="6"/>
      <c r="D73" s="6"/>
      <c r="E73" s="6"/>
      <c r="F73" s="6"/>
      <c r="G73" s="6"/>
      <c r="H73" s="40"/>
      <c r="I73" s="6"/>
      <c r="J73" s="40"/>
      <c r="K73" s="40"/>
      <c r="L73" s="42"/>
      <c r="M73" s="44"/>
      <c r="N73" s="3"/>
      <c r="O73" s="3"/>
      <c r="P73" s="3"/>
      <c r="Q73" s="3"/>
      <c r="R73" s="6"/>
      <c r="S73" s="6"/>
      <c r="T73" s="6"/>
      <c r="U73" s="40"/>
      <c r="V73" s="6"/>
      <c r="W73" s="46"/>
      <c r="X73" s="3"/>
      <c r="Y73" s="47"/>
      <c r="Z73" s="48" t="str">
        <f t="shared" si="4"/>
        <v/>
      </c>
      <c r="AA73" s="6"/>
      <c r="AB73" s="6"/>
      <c r="AC73" s="49">
        <f t="shared" si="3"/>
        <v>0</v>
      </c>
      <c r="AD73" s="49">
        <f t="shared" si="1"/>
        <v>0</v>
      </c>
    </row>
    <row r="74">
      <c r="A74" s="6"/>
      <c r="B74" s="39"/>
      <c r="C74" s="6"/>
      <c r="D74" s="6"/>
      <c r="E74" s="6"/>
      <c r="F74" s="6"/>
      <c r="G74" s="6"/>
      <c r="H74" s="40"/>
      <c r="I74" s="6"/>
      <c r="J74" s="40"/>
      <c r="K74" s="40"/>
      <c r="L74" s="42"/>
      <c r="M74" s="44"/>
      <c r="N74" s="3"/>
      <c r="O74" s="3"/>
      <c r="P74" s="3"/>
      <c r="Q74" s="3"/>
      <c r="R74" s="6"/>
      <c r="S74" s="6"/>
      <c r="T74" s="6"/>
      <c r="U74" s="6"/>
      <c r="V74" s="6"/>
      <c r="W74" s="46"/>
      <c r="X74" s="3"/>
      <c r="Y74" s="47"/>
      <c r="Z74" s="48" t="str">
        <f t="shared" si="4"/>
        <v/>
      </c>
      <c r="AA74" s="6"/>
      <c r="AB74" s="6"/>
      <c r="AC74" s="49">
        <f t="shared" si="3"/>
        <v>0</v>
      </c>
      <c r="AD74" s="49">
        <f t="shared" si="1"/>
        <v>0</v>
      </c>
    </row>
    <row r="75">
      <c r="A75" s="6"/>
      <c r="B75" s="39"/>
      <c r="C75" s="6"/>
      <c r="D75" s="6"/>
      <c r="E75" s="6"/>
      <c r="F75" s="6"/>
      <c r="G75" s="6"/>
      <c r="H75" s="40"/>
      <c r="I75" s="6"/>
      <c r="J75" s="40"/>
      <c r="K75" s="40"/>
      <c r="L75" s="42"/>
      <c r="M75" s="44"/>
      <c r="N75" s="3"/>
      <c r="O75" s="3"/>
      <c r="P75" s="3"/>
      <c r="Q75" s="3"/>
      <c r="R75" s="6"/>
      <c r="S75" s="6"/>
      <c r="T75" s="6"/>
      <c r="U75" s="6"/>
      <c r="V75" s="6"/>
      <c r="W75" s="46"/>
      <c r="X75" s="3"/>
      <c r="Y75" s="47"/>
      <c r="Z75" s="48" t="str">
        <f t="shared" si="4"/>
        <v/>
      </c>
      <c r="AA75" s="6"/>
      <c r="AB75" s="6"/>
      <c r="AC75" s="49">
        <f t="shared" si="3"/>
        <v>0</v>
      </c>
      <c r="AD75" s="49">
        <f t="shared" si="1"/>
        <v>0</v>
      </c>
    </row>
    <row r="76" ht="15.0" customHeight="1">
      <c r="A76" s="6"/>
      <c r="B76" s="39"/>
      <c r="C76" s="6"/>
      <c r="D76" s="6"/>
      <c r="E76" s="6"/>
      <c r="F76" s="6"/>
      <c r="G76" s="6"/>
      <c r="H76" s="40"/>
      <c r="I76" s="6"/>
      <c r="J76" s="40"/>
      <c r="K76" s="40"/>
      <c r="L76" s="42"/>
      <c r="R76" s="82"/>
      <c r="S76" s="82"/>
      <c r="T76" s="84"/>
      <c r="U76" s="6"/>
      <c r="V76" s="6"/>
      <c r="W76" s="46"/>
      <c r="X76" s="3"/>
      <c r="Y76" s="47"/>
      <c r="Z76" s="48" t="str">
        <f t="shared" si="4"/>
        <v/>
      </c>
      <c r="AA76" s="6"/>
      <c r="AB76" s="6"/>
      <c r="AC76" s="49">
        <f t="shared" si="3"/>
        <v>0</v>
      </c>
      <c r="AD76" s="49">
        <f t="shared" si="1"/>
        <v>0</v>
      </c>
    </row>
    <row r="77">
      <c r="A77" s="6"/>
      <c r="B77" s="39"/>
      <c r="C77" s="6"/>
      <c r="D77" s="6"/>
      <c r="E77" s="6"/>
      <c r="F77" s="6"/>
      <c r="G77" s="6"/>
      <c r="H77" s="40"/>
      <c r="I77" s="6"/>
      <c r="J77" s="40"/>
      <c r="K77" s="40"/>
      <c r="L77" s="42"/>
      <c r="M77" s="44"/>
      <c r="N77" s="3"/>
      <c r="O77" s="3"/>
      <c r="P77" s="3"/>
      <c r="Q77" s="3"/>
      <c r="R77" s="6"/>
      <c r="S77" s="6"/>
      <c r="T77" s="6"/>
      <c r="U77" s="6"/>
      <c r="V77" s="6"/>
      <c r="W77" s="46"/>
      <c r="X77" s="3"/>
      <c r="Y77" s="47"/>
      <c r="Z77" s="48" t="str">
        <f t="shared" si="4"/>
        <v/>
      </c>
      <c r="AA77" s="6"/>
      <c r="AB77" s="6"/>
      <c r="AC77" s="49">
        <f t="shared" si="3"/>
        <v>0</v>
      </c>
      <c r="AD77" s="49">
        <f t="shared" si="1"/>
        <v>0</v>
      </c>
    </row>
    <row r="78">
      <c r="A78" s="6"/>
      <c r="B78" s="39"/>
      <c r="C78" s="6"/>
      <c r="D78" s="6"/>
      <c r="E78" s="6"/>
      <c r="F78" s="6"/>
      <c r="G78" s="6"/>
      <c r="H78" s="40"/>
      <c r="I78" s="40"/>
      <c r="J78" s="40"/>
      <c r="K78" s="40"/>
      <c r="L78" s="42"/>
      <c r="M78" s="44"/>
      <c r="N78" s="3"/>
      <c r="O78" s="3"/>
      <c r="P78" s="3"/>
      <c r="Q78" s="3"/>
      <c r="R78" s="6"/>
      <c r="S78" s="6"/>
      <c r="T78" s="6"/>
      <c r="U78" s="40"/>
      <c r="V78" s="40"/>
      <c r="W78" s="51"/>
      <c r="X78" s="3"/>
      <c r="Y78" s="47"/>
      <c r="Z78" s="48" t="str">
        <f t="shared" si="4"/>
        <v/>
      </c>
      <c r="AA78" s="3"/>
      <c r="AB78" s="3"/>
      <c r="AC78" s="49">
        <f t="shared" si="3"/>
        <v>0</v>
      </c>
      <c r="AD78" s="49">
        <f t="shared" si="1"/>
        <v>0</v>
      </c>
    </row>
    <row r="79" ht="15.0" customHeight="1">
      <c r="A79" s="6"/>
      <c r="B79" s="39"/>
      <c r="C79" s="6"/>
      <c r="D79" s="6"/>
      <c r="E79" s="6"/>
      <c r="F79" s="6"/>
      <c r="G79" s="6"/>
      <c r="H79" s="40"/>
      <c r="I79" s="6"/>
      <c r="J79" s="40"/>
      <c r="K79" s="40"/>
      <c r="L79" s="42"/>
      <c r="M79" s="44"/>
      <c r="N79" s="3"/>
      <c r="O79" s="3"/>
      <c r="P79" s="3"/>
      <c r="Q79" s="3"/>
      <c r="R79" s="6"/>
      <c r="S79" s="6"/>
      <c r="T79" s="6"/>
      <c r="U79" s="6"/>
      <c r="V79" s="6"/>
      <c r="W79" s="46"/>
      <c r="X79" s="3"/>
      <c r="Y79" s="47"/>
      <c r="Z79" s="48" t="str">
        <f t="shared" si="4"/>
        <v/>
      </c>
      <c r="AA79" s="6"/>
      <c r="AB79" s="6"/>
      <c r="AC79" s="49">
        <f t="shared" si="3"/>
        <v>0</v>
      </c>
      <c r="AD79" s="49">
        <f t="shared" si="1"/>
        <v>0</v>
      </c>
    </row>
    <row r="80" ht="15.0" customHeight="1">
      <c r="A80" s="6"/>
      <c r="B80" s="39"/>
      <c r="C80" s="6"/>
      <c r="D80" s="6"/>
      <c r="E80" s="6"/>
      <c r="F80" s="6"/>
      <c r="G80" s="6"/>
      <c r="H80" s="40"/>
      <c r="I80" s="6"/>
      <c r="J80" s="40"/>
      <c r="K80" s="40"/>
      <c r="L80" s="42"/>
      <c r="M80" s="44"/>
      <c r="N80" s="3"/>
      <c r="O80" s="3"/>
      <c r="P80" s="3"/>
      <c r="Q80" s="3"/>
      <c r="R80" s="6"/>
      <c r="S80" s="6"/>
      <c r="T80" s="6"/>
      <c r="U80" s="6"/>
      <c r="V80" s="6"/>
      <c r="W80" s="46"/>
      <c r="X80" s="3"/>
      <c r="Y80" s="47"/>
      <c r="Z80" s="48" t="str">
        <f t="shared" si="4"/>
        <v/>
      </c>
      <c r="AA80" s="6"/>
      <c r="AB80" s="6"/>
      <c r="AC80" s="49">
        <f t="shared" si="3"/>
        <v>0</v>
      </c>
      <c r="AD80" s="49">
        <f t="shared" si="1"/>
        <v>0</v>
      </c>
    </row>
    <row r="81" ht="15.0" customHeight="1">
      <c r="A81" s="6"/>
      <c r="B81" s="39"/>
      <c r="C81" s="6"/>
      <c r="D81" s="6"/>
      <c r="E81" s="6"/>
      <c r="F81" s="6"/>
      <c r="G81" s="6"/>
      <c r="H81" s="40"/>
      <c r="I81" s="6"/>
      <c r="J81" s="40"/>
      <c r="K81" s="40"/>
      <c r="L81" s="42"/>
      <c r="M81" s="44"/>
      <c r="N81" s="3"/>
      <c r="O81" s="3"/>
      <c r="P81" s="3"/>
      <c r="Q81" s="3"/>
      <c r="R81" s="6"/>
      <c r="S81" s="6"/>
      <c r="T81" s="6"/>
      <c r="U81" s="6"/>
      <c r="V81" s="6"/>
      <c r="W81" s="46"/>
      <c r="X81" s="3"/>
      <c r="Y81" s="47"/>
      <c r="Z81" s="48" t="str">
        <f t="shared" si="4"/>
        <v/>
      </c>
      <c r="AA81" s="6"/>
      <c r="AB81" s="6"/>
      <c r="AC81" s="49">
        <f t="shared" si="3"/>
        <v>0</v>
      </c>
      <c r="AD81" s="49">
        <f t="shared" si="1"/>
        <v>0</v>
      </c>
    </row>
    <row r="82">
      <c r="A82" s="6"/>
      <c r="B82" s="39"/>
      <c r="C82" s="6"/>
      <c r="D82" s="6"/>
      <c r="E82" s="6"/>
      <c r="F82" s="6"/>
      <c r="G82" s="6"/>
      <c r="H82" s="40"/>
      <c r="I82" s="6"/>
      <c r="J82" s="40"/>
      <c r="K82" s="40"/>
      <c r="L82" s="42"/>
      <c r="M82" s="44"/>
      <c r="N82" s="3"/>
      <c r="O82" s="3"/>
      <c r="P82" s="3"/>
      <c r="Q82" s="3"/>
      <c r="R82" s="6"/>
      <c r="S82" s="6"/>
      <c r="T82" s="6"/>
      <c r="U82" s="6"/>
      <c r="V82" s="6"/>
      <c r="W82" s="46"/>
      <c r="X82" s="3"/>
      <c r="Y82" s="47"/>
      <c r="Z82" s="48" t="str">
        <f t="shared" si="4"/>
        <v/>
      </c>
      <c r="AA82" s="6"/>
      <c r="AB82" s="1"/>
      <c r="AC82" s="49">
        <f t="shared" si="3"/>
        <v>0</v>
      </c>
      <c r="AD82" s="49">
        <f t="shared" si="1"/>
        <v>0</v>
      </c>
    </row>
    <row r="83">
      <c r="A83" s="6"/>
      <c r="B83" s="39"/>
      <c r="C83" s="6"/>
      <c r="D83" s="6"/>
      <c r="E83" s="6"/>
      <c r="F83" s="6"/>
      <c r="G83" s="6"/>
      <c r="H83" s="40"/>
      <c r="I83" s="6"/>
      <c r="J83" s="40"/>
      <c r="K83" s="40"/>
      <c r="L83" s="42"/>
      <c r="M83" s="44"/>
      <c r="N83" s="3"/>
      <c r="O83" s="3"/>
      <c r="P83" s="3"/>
      <c r="Q83" s="3"/>
      <c r="R83" s="6"/>
      <c r="S83" s="6"/>
      <c r="T83" s="6"/>
      <c r="U83" s="6"/>
      <c r="V83" s="6"/>
      <c r="W83" s="46"/>
      <c r="X83" s="3"/>
      <c r="Y83" s="47"/>
      <c r="Z83" s="48" t="str">
        <f t="shared" si="4"/>
        <v/>
      </c>
      <c r="AA83" s="3"/>
      <c r="AB83" s="3"/>
      <c r="AC83" s="49">
        <f t="shared" si="3"/>
        <v>0</v>
      </c>
      <c r="AD83" s="49">
        <f t="shared" si="1"/>
        <v>0</v>
      </c>
    </row>
    <row r="84">
      <c r="A84" s="6"/>
      <c r="B84" s="39"/>
      <c r="C84" s="6"/>
      <c r="D84" s="6"/>
      <c r="E84" s="6"/>
      <c r="F84" s="6"/>
      <c r="G84" s="6"/>
      <c r="H84" s="40"/>
      <c r="I84" s="6"/>
      <c r="J84" s="40"/>
      <c r="K84" s="40"/>
      <c r="L84" s="42"/>
      <c r="M84" s="44"/>
      <c r="N84" s="3"/>
      <c r="O84" s="3"/>
      <c r="P84" s="3"/>
      <c r="Q84" s="3"/>
      <c r="R84" s="116"/>
      <c r="S84" s="6"/>
      <c r="T84" s="6"/>
      <c r="U84" s="6"/>
      <c r="V84" s="6"/>
      <c r="W84" s="46"/>
      <c r="X84" s="3"/>
      <c r="Y84" s="47"/>
      <c r="Z84" s="48" t="str">
        <f t="shared" si="4"/>
        <v/>
      </c>
      <c r="AA84" s="6"/>
      <c r="AB84" s="6"/>
      <c r="AC84" s="49">
        <f t="shared" si="3"/>
        <v>0</v>
      </c>
      <c r="AD84" s="49">
        <f t="shared" si="1"/>
        <v>0</v>
      </c>
    </row>
    <row r="85" ht="15.0" customHeight="1">
      <c r="A85" s="6"/>
      <c r="B85" s="39"/>
      <c r="C85" s="6"/>
      <c r="D85" s="6"/>
      <c r="E85" s="6"/>
      <c r="F85" s="6"/>
      <c r="G85" s="6"/>
      <c r="H85" s="40"/>
      <c r="I85" s="6"/>
      <c r="J85" s="40"/>
      <c r="K85" s="40"/>
      <c r="L85" s="42"/>
      <c r="M85" s="44"/>
      <c r="N85" s="3"/>
      <c r="O85" s="3"/>
      <c r="P85" s="3"/>
      <c r="Q85" s="3"/>
      <c r="R85" s="116"/>
      <c r="S85" s="6"/>
      <c r="T85" s="6"/>
      <c r="U85" s="6"/>
      <c r="V85" s="6"/>
      <c r="W85" s="46"/>
      <c r="X85" s="3"/>
      <c r="Y85" s="47"/>
      <c r="Z85" s="48" t="str">
        <f t="shared" si="4"/>
        <v/>
      </c>
      <c r="AA85" s="6"/>
      <c r="AB85" s="6"/>
      <c r="AC85" s="49">
        <f t="shared" si="3"/>
        <v>0</v>
      </c>
      <c r="AD85" s="49">
        <f t="shared" si="1"/>
        <v>0</v>
      </c>
    </row>
    <row r="86">
      <c r="A86" s="6"/>
      <c r="B86" s="39"/>
      <c r="C86" s="6"/>
      <c r="D86" s="6"/>
      <c r="E86" s="6"/>
      <c r="F86" s="6"/>
      <c r="G86" s="6"/>
      <c r="H86" s="14"/>
      <c r="I86" s="6"/>
      <c r="J86" s="14"/>
      <c r="K86" s="40"/>
      <c r="L86" s="42"/>
      <c r="M86" s="44"/>
      <c r="N86" s="3"/>
      <c r="O86" s="3"/>
      <c r="P86" s="3"/>
      <c r="Q86" s="3"/>
      <c r="R86" s="6"/>
      <c r="S86" s="6"/>
      <c r="T86" s="6"/>
      <c r="U86" s="6"/>
      <c r="V86" s="6"/>
      <c r="W86" s="46"/>
      <c r="X86" s="3"/>
      <c r="Y86" s="47"/>
      <c r="Z86" s="48" t="str">
        <f t="shared" si="4"/>
        <v/>
      </c>
      <c r="AA86" s="6"/>
      <c r="AB86" s="6"/>
      <c r="AC86" s="49">
        <f t="shared" si="3"/>
        <v>0</v>
      </c>
      <c r="AD86" s="49">
        <f t="shared" si="1"/>
        <v>0</v>
      </c>
    </row>
    <row r="87">
      <c r="A87" s="6"/>
      <c r="B87" s="39"/>
      <c r="C87" s="6"/>
      <c r="D87" s="6"/>
      <c r="E87" s="6"/>
      <c r="F87" s="6"/>
      <c r="G87" s="6"/>
      <c r="H87" s="14"/>
      <c r="I87" s="6"/>
      <c r="J87" s="14"/>
      <c r="K87" s="40"/>
      <c r="L87" s="42"/>
      <c r="M87" s="44"/>
      <c r="N87" s="3"/>
      <c r="O87" s="3"/>
      <c r="P87" s="3"/>
      <c r="Q87" s="3"/>
      <c r="R87" s="6"/>
      <c r="S87" s="6"/>
      <c r="T87" s="6"/>
      <c r="U87" s="6"/>
      <c r="V87" s="6"/>
      <c r="W87" s="46"/>
      <c r="X87" s="3"/>
      <c r="Y87" s="47"/>
      <c r="Z87" s="48"/>
      <c r="AA87" s="6"/>
      <c r="AB87" s="6"/>
      <c r="AC87" s="49"/>
      <c r="AD87" s="49"/>
    </row>
    <row r="88" ht="15.0" customHeight="1">
      <c r="A88" s="6"/>
      <c r="B88" s="39"/>
      <c r="C88" s="6"/>
      <c r="D88" s="6"/>
      <c r="E88" s="6"/>
      <c r="F88" s="6"/>
      <c r="G88" s="6"/>
      <c r="H88" s="14"/>
      <c r="I88" s="6"/>
      <c r="J88" s="40"/>
      <c r="K88" s="40"/>
      <c r="L88" s="42"/>
      <c r="M88" s="44"/>
      <c r="N88" s="3"/>
      <c r="O88" s="3"/>
      <c r="P88" s="3"/>
      <c r="Q88" s="3"/>
      <c r="R88" s="116"/>
      <c r="S88" s="6"/>
      <c r="T88" s="6"/>
      <c r="U88" s="40"/>
      <c r="V88" s="6"/>
      <c r="W88" s="52"/>
      <c r="X88" s="3"/>
      <c r="Y88" s="47"/>
      <c r="Z88" s="48" t="str">
        <f t="shared" ref="Z88:Z249" si="5">IF(B88&lt;&gt;"",B88+3,"")</f>
        <v/>
      </c>
      <c r="AA88" s="6"/>
      <c r="AB88" s="6"/>
      <c r="AC88" s="49">
        <f t="shared" ref="AC88:AC199" si="6">(IF(ISERR(FIND("|",$T88)),"0",MID($T88,FIND("|",$T88)+3,1))*1)</f>
        <v>0</v>
      </c>
      <c r="AD88" s="49">
        <f t="shared" ref="AD88:AD199" si="7">(IF(ISERR(FIND("||",$T88,4)),"0",MID($T88,FIND("||",$T88,4)+4,1))*1)</f>
        <v>0</v>
      </c>
    </row>
    <row r="89">
      <c r="A89" s="6"/>
      <c r="B89" s="39"/>
      <c r="C89" s="6"/>
      <c r="D89" s="6"/>
      <c r="E89" s="6"/>
      <c r="F89" s="6"/>
      <c r="G89" s="6"/>
      <c r="H89" s="40"/>
      <c r="I89" s="6"/>
      <c r="J89" s="40"/>
      <c r="K89" s="40"/>
      <c r="L89" s="42"/>
      <c r="M89" s="44"/>
      <c r="N89" s="3"/>
      <c r="O89" s="3"/>
      <c r="P89" s="3"/>
      <c r="Q89" s="3"/>
      <c r="R89" s="116"/>
      <c r="S89" s="6"/>
      <c r="T89" s="6"/>
      <c r="U89" s="6"/>
      <c r="V89" s="6"/>
      <c r="W89" s="46"/>
      <c r="X89" s="3"/>
      <c r="Y89" s="47"/>
      <c r="Z89" s="48" t="str">
        <f t="shared" si="5"/>
        <v/>
      </c>
      <c r="AA89" s="6"/>
      <c r="AB89" s="6"/>
      <c r="AC89" s="49">
        <f t="shared" si="6"/>
        <v>0</v>
      </c>
      <c r="AD89" s="49">
        <f t="shared" si="7"/>
        <v>0</v>
      </c>
    </row>
    <row r="90">
      <c r="A90" s="6"/>
      <c r="B90" s="39"/>
      <c r="C90" s="6"/>
      <c r="D90" s="6"/>
      <c r="E90" s="6"/>
      <c r="F90" s="6"/>
      <c r="G90" s="6"/>
      <c r="H90" s="40"/>
      <c r="I90" s="6"/>
      <c r="J90" s="40"/>
      <c r="K90" s="40"/>
      <c r="L90" s="42"/>
      <c r="M90" s="44"/>
      <c r="N90" s="3"/>
      <c r="O90" s="3"/>
      <c r="P90" s="3"/>
      <c r="Q90" s="3"/>
      <c r="R90" s="6"/>
      <c r="S90" s="6"/>
      <c r="T90" s="6"/>
      <c r="U90" s="6"/>
      <c r="V90" s="6"/>
      <c r="W90" s="46"/>
      <c r="X90" s="3"/>
      <c r="Y90" s="47"/>
      <c r="Z90" s="48" t="str">
        <f t="shared" si="5"/>
        <v/>
      </c>
      <c r="AA90" s="6"/>
      <c r="AB90" s="6"/>
      <c r="AC90" s="49">
        <f t="shared" si="6"/>
        <v>0</v>
      </c>
      <c r="AD90" s="49">
        <f t="shared" si="7"/>
        <v>0</v>
      </c>
    </row>
    <row r="91">
      <c r="A91" s="6"/>
      <c r="B91" s="39"/>
      <c r="C91" s="6"/>
      <c r="D91" s="6"/>
      <c r="E91" s="6"/>
      <c r="F91" s="6"/>
      <c r="G91" s="6"/>
      <c r="H91" s="40"/>
      <c r="I91" s="6"/>
      <c r="J91" s="40"/>
      <c r="K91" s="40"/>
      <c r="L91" s="42"/>
      <c r="M91" s="44"/>
      <c r="N91" s="3"/>
      <c r="O91" s="3"/>
      <c r="P91" s="3"/>
      <c r="Q91" s="3"/>
      <c r="R91" s="6"/>
      <c r="S91" s="6"/>
      <c r="T91" s="6"/>
      <c r="U91" s="6"/>
      <c r="V91" s="6"/>
      <c r="W91" s="46"/>
      <c r="X91" s="3"/>
      <c r="Y91" s="47"/>
      <c r="Z91" s="48" t="str">
        <f t="shared" si="5"/>
        <v/>
      </c>
      <c r="AA91" s="47"/>
      <c r="AB91" s="6"/>
      <c r="AC91" s="49">
        <f t="shared" si="6"/>
        <v>0</v>
      </c>
      <c r="AD91" s="49">
        <f t="shared" si="7"/>
        <v>0</v>
      </c>
    </row>
    <row r="92">
      <c r="A92" s="6"/>
      <c r="B92" s="39"/>
      <c r="C92" s="6"/>
      <c r="D92" s="6"/>
      <c r="E92" s="6"/>
      <c r="F92" s="6"/>
      <c r="G92" s="6"/>
      <c r="H92" s="3"/>
      <c r="I92" s="6"/>
      <c r="J92" s="3"/>
      <c r="K92" s="3"/>
      <c r="L92" s="42"/>
      <c r="M92" s="44"/>
      <c r="N92" s="3"/>
      <c r="O92" s="3"/>
      <c r="P92" s="3"/>
      <c r="Q92" s="3"/>
      <c r="R92" s="6"/>
      <c r="S92" s="6"/>
      <c r="T92" s="6"/>
      <c r="U92" s="6"/>
      <c r="V92" s="6"/>
      <c r="W92" s="46"/>
      <c r="X92" s="3"/>
      <c r="Y92" s="47"/>
      <c r="Z92" s="48" t="str">
        <f t="shared" si="5"/>
        <v/>
      </c>
      <c r="AA92" s="6"/>
      <c r="AB92" s="6"/>
      <c r="AC92" s="49">
        <f t="shared" si="6"/>
        <v>0</v>
      </c>
      <c r="AD92" s="49">
        <f t="shared" si="7"/>
        <v>0</v>
      </c>
    </row>
    <row r="93">
      <c r="A93" s="6"/>
      <c r="B93" s="39"/>
      <c r="C93" s="6"/>
      <c r="D93" s="6"/>
      <c r="E93" s="6"/>
      <c r="F93" s="6"/>
      <c r="G93" s="6"/>
      <c r="H93" s="3"/>
      <c r="I93" s="6"/>
      <c r="J93" s="3"/>
      <c r="K93" s="3"/>
      <c r="L93" s="42"/>
      <c r="M93" s="44"/>
      <c r="N93" s="3"/>
      <c r="O93" s="3"/>
      <c r="P93" s="3"/>
      <c r="Q93" s="3"/>
      <c r="R93" s="6"/>
      <c r="S93" s="6"/>
      <c r="T93" s="6"/>
      <c r="U93" s="6"/>
      <c r="V93" s="6"/>
      <c r="W93" s="46"/>
      <c r="X93" s="3"/>
      <c r="Y93" s="47"/>
      <c r="Z93" s="48" t="str">
        <f t="shared" si="5"/>
        <v/>
      </c>
      <c r="AA93" s="6"/>
      <c r="AB93" s="6"/>
      <c r="AC93" s="49">
        <f t="shared" si="6"/>
        <v>0</v>
      </c>
      <c r="AD93" s="49">
        <f t="shared" si="7"/>
        <v>0</v>
      </c>
    </row>
    <row r="94">
      <c r="A94" s="6"/>
      <c r="B94" s="39"/>
      <c r="C94" s="6"/>
      <c r="D94" s="6"/>
      <c r="E94" s="6"/>
      <c r="F94" s="6"/>
      <c r="G94" s="6"/>
      <c r="H94" s="3"/>
      <c r="I94" s="6"/>
      <c r="J94" s="3"/>
      <c r="K94" s="3"/>
      <c r="L94" s="42"/>
      <c r="M94" s="44"/>
      <c r="N94" s="3"/>
      <c r="O94" s="3"/>
      <c r="P94" s="3"/>
      <c r="Q94" s="3"/>
      <c r="R94" s="6"/>
      <c r="S94" s="6"/>
      <c r="T94" s="6"/>
      <c r="U94" s="6"/>
      <c r="V94" s="6"/>
      <c r="W94" s="46"/>
      <c r="X94" s="3"/>
      <c r="Y94" s="47"/>
      <c r="Z94" s="48" t="str">
        <f t="shared" si="5"/>
        <v/>
      </c>
      <c r="AA94" s="6"/>
      <c r="AB94" s="6"/>
      <c r="AC94" s="49">
        <f t="shared" si="6"/>
        <v>0</v>
      </c>
      <c r="AD94" s="49">
        <f t="shared" si="7"/>
        <v>0</v>
      </c>
    </row>
    <row r="95">
      <c r="A95" s="6"/>
      <c r="B95" s="39"/>
      <c r="C95" s="6"/>
      <c r="D95" s="6"/>
      <c r="E95" s="6"/>
      <c r="F95" s="6"/>
      <c r="G95" s="6"/>
      <c r="H95" s="3"/>
      <c r="I95" s="6"/>
      <c r="J95" s="3"/>
      <c r="K95" s="3"/>
      <c r="L95" s="42"/>
      <c r="M95" s="44"/>
      <c r="N95" s="3"/>
      <c r="O95" s="3"/>
      <c r="P95" s="3"/>
      <c r="Q95" s="3"/>
      <c r="R95" s="6"/>
      <c r="S95" s="6"/>
      <c r="T95" s="6"/>
      <c r="U95" s="6"/>
      <c r="V95" s="6"/>
      <c r="W95" s="46"/>
      <c r="X95" s="3"/>
      <c r="Y95" s="47"/>
      <c r="Z95" s="48" t="str">
        <f t="shared" si="5"/>
        <v/>
      </c>
      <c r="AA95" s="6"/>
      <c r="AB95" s="6"/>
      <c r="AC95" s="49">
        <f t="shared" si="6"/>
        <v>0</v>
      </c>
      <c r="AD95" s="49">
        <f t="shared" si="7"/>
        <v>0</v>
      </c>
    </row>
    <row r="96">
      <c r="A96" s="6"/>
      <c r="B96" s="39"/>
      <c r="C96" s="6"/>
      <c r="D96" s="6"/>
      <c r="E96" s="6"/>
      <c r="F96" s="6"/>
      <c r="G96" s="6"/>
      <c r="H96" s="3"/>
      <c r="I96" s="6"/>
      <c r="J96" s="3"/>
      <c r="K96" s="3"/>
      <c r="L96" s="42"/>
      <c r="M96" s="44"/>
      <c r="N96" s="3"/>
      <c r="O96" s="3"/>
      <c r="P96" s="3"/>
      <c r="Q96" s="3"/>
      <c r="R96" s="6"/>
      <c r="S96" s="6"/>
      <c r="T96" s="6"/>
      <c r="U96" s="6"/>
      <c r="V96" s="6"/>
      <c r="W96" s="46"/>
      <c r="X96" s="3"/>
      <c r="Y96" s="47"/>
      <c r="Z96" s="48" t="str">
        <f t="shared" si="5"/>
        <v/>
      </c>
      <c r="AA96" s="6"/>
      <c r="AB96" s="6"/>
      <c r="AC96" s="49">
        <f t="shared" si="6"/>
        <v>0</v>
      </c>
      <c r="AD96" s="49">
        <f t="shared" si="7"/>
        <v>0</v>
      </c>
    </row>
    <row r="97" ht="15.0" customHeight="1">
      <c r="A97" s="6"/>
      <c r="B97" s="39"/>
      <c r="C97" s="6"/>
      <c r="D97" s="6"/>
      <c r="E97" s="6"/>
      <c r="F97" s="6"/>
      <c r="G97" s="6"/>
      <c r="H97" s="3"/>
      <c r="I97" s="6"/>
      <c r="J97" s="3"/>
      <c r="K97" s="3"/>
      <c r="L97" s="42"/>
      <c r="M97" s="44"/>
      <c r="N97" s="3"/>
      <c r="O97" s="3"/>
      <c r="P97" s="3"/>
      <c r="Q97" s="3"/>
      <c r="R97" s="6"/>
      <c r="S97" s="6"/>
      <c r="T97" s="6"/>
      <c r="U97" s="6"/>
      <c r="V97" s="6"/>
      <c r="W97" s="46"/>
      <c r="X97" s="3"/>
      <c r="Y97" s="47"/>
      <c r="Z97" s="48" t="str">
        <f t="shared" si="5"/>
        <v/>
      </c>
      <c r="AA97" s="6"/>
      <c r="AB97" s="6"/>
      <c r="AC97" s="49">
        <f t="shared" si="6"/>
        <v>0</v>
      </c>
      <c r="AD97" s="49">
        <f t="shared" si="7"/>
        <v>0</v>
      </c>
    </row>
    <row r="98">
      <c r="A98" s="6"/>
      <c r="B98" s="39"/>
      <c r="C98" s="6"/>
      <c r="D98" s="6"/>
      <c r="E98" s="6"/>
      <c r="F98" s="6"/>
      <c r="G98" s="6"/>
      <c r="I98" s="6"/>
      <c r="K98" s="3"/>
      <c r="L98" s="42"/>
      <c r="M98" s="44"/>
      <c r="N98" s="3"/>
      <c r="O98" s="3"/>
      <c r="P98" s="3"/>
      <c r="Q98" s="3"/>
      <c r="R98" s="6"/>
      <c r="S98" s="6"/>
      <c r="T98" s="6"/>
      <c r="U98" s="6"/>
      <c r="V98" s="6"/>
      <c r="W98" s="46"/>
      <c r="X98" s="3"/>
      <c r="Y98" s="47"/>
      <c r="Z98" s="48" t="str">
        <f t="shared" si="5"/>
        <v/>
      </c>
      <c r="AA98" s="6"/>
      <c r="AB98" s="6"/>
      <c r="AC98" s="49">
        <f t="shared" si="6"/>
        <v>0</v>
      </c>
      <c r="AD98" s="49">
        <f t="shared" si="7"/>
        <v>0</v>
      </c>
    </row>
    <row r="99">
      <c r="A99" s="118"/>
      <c r="B99" s="39"/>
      <c r="C99" s="119"/>
      <c r="D99" s="119"/>
      <c r="E99" s="119"/>
      <c r="F99" s="119"/>
      <c r="G99" s="120"/>
      <c r="H99" s="64"/>
      <c r="I99" s="120"/>
      <c r="J99" s="64"/>
      <c r="K99" s="121"/>
      <c r="L99" s="42"/>
      <c r="M99" s="122"/>
      <c r="N99" s="121"/>
      <c r="O99" s="121"/>
      <c r="P99" s="121"/>
      <c r="Q99" s="121"/>
      <c r="R99" s="118"/>
      <c r="S99" s="118"/>
      <c r="T99" s="119"/>
      <c r="U99" s="6"/>
      <c r="V99" s="6"/>
      <c r="W99" s="46"/>
      <c r="X99" s="3"/>
      <c r="Y99" s="47"/>
      <c r="Z99" s="48" t="str">
        <f t="shared" si="5"/>
        <v/>
      </c>
      <c r="AA99" s="6"/>
      <c r="AB99" s="6"/>
      <c r="AC99" s="49">
        <f t="shared" si="6"/>
        <v>0</v>
      </c>
      <c r="AD99" s="49">
        <f t="shared" si="7"/>
        <v>0</v>
      </c>
    </row>
    <row r="100">
      <c r="A100" s="118"/>
      <c r="B100" s="39"/>
      <c r="C100" s="119"/>
      <c r="D100" s="119"/>
      <c r="E100" s="119"/>
      <c r="F100" s="119"/>
      <c r="G100" s="120"/>
      <c r="H100" s="64"/>
      <c r="I100" s="119"/>
      <c r="J100" s="90"/>
      <c r="K100" s="121"/>
      <c r="L100" s="42"/>
      <c r="M100" s="122"/>
      <c r="N100" s="121"/>
      <c r="O100" s="121"/>
      <c r="P100" s="121"/>
      <c r="Q100" s="121"/>
      <c r="R100" s="118"/>
      <c r="S100" s="118"/>
      <c r="T100" s="119"/>
      <c r="U100" s="6"/>
      <c r="V100" s="6"/>
      <c r="W100" s="46"/>
      <c r="X100" s="3"/>
      <c r="Y100" s="47"/>
      <c r="Z100" s="48" t="str">
        <f t="shared" si="5"/>
        <v/>
      </c>
      <c r="AA100" s="3"/>
      <c r="AB100" s="3"/>
      <c r="AC100" s="49">
        <f t="shared" si="6"/>
        <v>0</v>
      </c>
      <c r="AD100" s="49">
        <f t="shared" si="7"/>
        <v>0</v>
      </c>
    </row>
    <row r="101">
      <c r="A101" s="118"/>
      <c r="B101" s="39"/>
      <c r="C101" s="119"/>
      <c r="D101" s="119"/>
      <c r="E101" s="119"/>
      <c r="F101" s="119"/>
      <c r="G101" s="120"/>
      <c r="H101" s="64"/>
      <c r="I101" s="120"/>
      <c r="J101" s="64"/>
      <c r="K101" s="121"/>
      <c r="L101" s="42"/>
      <c r="M101" s="122"/>
      <c r="N101" s="121"/>
      <c r="O101" s="121"/>
      <c r="P101" s="121"/>
      <c r="Q101" s="121"/>
      <c r="R101" s="118"/>
      <c r="S101" s="118"/>
      <c r="T101" s="119"/>
      <c r="U101" s="6"/>
      <c r="V101" s="6"/>
      <c r="W101" s="46"/>
      <c r="X101" s="3"/>
      <c r="Y101" s="47"/>
      <c r="Z101" s="48" t="str">
        <f t="shared" si="5"/>
        <v/>
      </c>
      <c r="AA101" s="6"/>
      <c r="AB101" s="6"/>
      <c r="AC101" s="49">
        <f t="shared" si="6"/>
        <v>0</v>
      </c>
      <c r="AD101" s="49">
        <f t="shared" si="7"/>
        <v>0</v>
      </c>
    </row>
    <row r="102">
      <c r="A102" s="118"/>
      <c r="B102" s="39"/>
      <c r="C102" s="119"/>
      <c r="D102" s="119"/>
      <c r="E102" s="119"/>
      <c r="F102" s="119"/>
      <c r="G102" s="120"/>
      <c r="H102" s="64"/>
      <c r="I102" s="120"/>
      <c r="J102" s="64"/>
      <c r="K102" s="121"/>
      <c r="L102" s="42"/>
      <c r="M102" s="122"/>
      <c r="N102" s="121"/>
      <c r="O102" s="121"/>
      <c r="P102" s="121"/>
      <c r="Q102" s="121"/>
      <c r="R102" s="118"/>
      <c r="S102" s="118"/>
      <c r="T102" s="119"/>
      <c r="U102" s="6"/>
      <c r="V102" s="6"/>
      <c r="W102" s="46"/>
      <c r="X102" s="3"/>
      <c r="Y102" s="47"/>
      <c r="Z102" s="48" t="str">
        <f t="shared" si="5"/>
        <v/>
      </c>
      <c r="AA102" s="6"/>
      <c r="AB102" s="6"/>
      <c r="AC102" s="49">
        <f t="shared" si="6"/>
        <v>0</v>
      </c>
      <c r="AD102" s="49">
        <f t="shared" si="7"/>
        <v>0</v>
      </c>
    </row>
    <row r="103">
      <c r="A103" s="118"/>
      <c r="B103" s="39"/>
      <c r="C103" s="119"/>
      <c r="D103" s="119"/>
      <c r="E103" s="119"/>
      <c r="F103" s="119"/>
      <c r="G103" s="120"/>
      <c r="H103" s="64"/>
      <c r="I103" s="119"/>
      <c r="J103" s="90"/>
      <c r="K103" s="121"/>
      <c r="L103" s="42"/>
      <c r="M103" s="122"/>
      <c r="N103" s="121"/>
      <c r="O103" s="121"/>
      <c r="P103" s="121"/>
      <c r="Q103" s="121"/>
      <c r="R103" s="118"/>
      <c r="S103" s="118"/>
      <c r="T103" s="119"/>
      <c r="U103" s="3"/>
      <c r="V103" s="6"/>
      <c r="W103" s="46"/>
      <c r="X103" s="3"/>
      <c r="Y103" s="47"/>
      <c r="Z103" s="48" t="str">
        <f t="shared" si="5"/>
        <v/>
      </c>
      <c r="AA103" s="6"/>
      <c r="AB103" s="6"/>
      <c r="AC103" s="49">
        <f t="shared" si="6"/>
        <v>0</v>
      </c>
      <c r="AD103" s="49">
        <f t="shared" si="7"/>
        <v>0</v>
      </c>
    </row>
    <row r="104">
      <c r="A104" s="123"/>
      <c r="B104" s="106"/>
      <c r="C104" s="124"/>
      <c r="D104" s="124"/>
      <c r="E104" s="124"/>
      <c r="F104" s="124"/>
      <c r="G104" s="125"/>
      <c r="H104" s="64"/>
      <c r="I104" s="124"/>
      <c r="J104" s="126"/>
      <c r="K104" s="127"/>
      <c r="L104" s="42"/>
      <c r="M104" s="128"/>
      <c r="N104" s="127"/>
      <c r="O104" s="127"/>
      <c r="P104" s="127"/>
      <c r="Q104" s="127"/>
      <c r="R104" s="123"/>
      <c r="S104" s="123"/>
      <c r="T104" s="124"/>
      <c r="U104" s="110"/>
      <c r="V104" s="110"/>
      <c r="W104" s="111"/>
      <c r="X104" s="110"/>
      <c r="Y104" s="99"/>
      <c r="Z104" s="112" t="str">
        <f t="shared" si="5"/>
        <v/>
      </c>
      <c r="AA104" s="110"/>
      <c r="AB104" s="110"/>
      <c r="AC104" s="49">
        <f t="shared" si="6"/>
        <v>0</v>
      </c>
      <c r="AD104" s="49">
        <f t="shared" si="7"/>
        <v>0</v>
      </c>
    </row>
    <row r="105">
      <c r="A105" s="118"/>
      <c r="B105" s="39"/>
      <c r="C105" s="119"/>
      <c r="D105" s="119"/>
      <c r="E105" s="119"/>
      <c r="F105" s="119"/>
      <c r="G105" s="120"/>
      <c r="H105" s="64"/>
      <c r="I105" s="119"/>
      <c r="J105" s="121"/>
      <c r="K105" s="121"/>
      <c r="L105" s="42"/>
      <c r="M105" s="129"/>
      <c r="N105" s="121"/>
      <c r="O105" s="121"/>
      <c r="P105" s="121"/>
      <c r="Q105" s="121"/>
      <c r="R105" s="118"/>
      <c r="S105" s="118"/>
      <c r="T105" s="119"/>
      <c r="U105" s="6"/>
      <c r="V105" s="6"/>
      <c r="W105" s="46"/>
      <c r="X105" s="3"/>
      <c r="Y105" s="47"/>
      <c r="Z105" s="48" t="str">
        <f t="shared" si="5"/>
        <v/>
      </c>
      <c r="AA105" s="6"/>
      <c r="AB105" s="6"/>
      <c r="AC105" s="49">
        <f t="shared" si="6"/>
        <v>0</v>
      </c>
      <c r="AD105" s="49">
        <f t="shared" si="7"/>
        <v>0</v>
      </c>
    </row>
    <row r="106">
      <c r="A106" s="118"/>
      <c r="B106" s="39"/>
      <c r="C106" s="119"/>
      <c r="D106" s="119"/>
      <c r="E106" s="119"/>
      <c r="F106" s="119"/>
      <c r="G106" s="120"/>
      <c r="H106" s="64"/>
      <c r="I106" s="120"/>
      <c r="J106" s="64"/>
      <c r="K106" s="121"/>
      <c r="L106" s="42"/>
      <c r="M106" s="122"/>
      <c r="N106" s="121"/>
      <c r="O106" s="121"/>
      <c r="P106" s="121"/>
      <c r="Q106" s="121"/>
      <c r="R106" s="118"/>
      <c r="S106" s="118"/>
      <c r="T106" s="119"/>
      <c r="U106" s="6"/>
      <c r="V106" s="6"/>
      <c r="W106" s="46"/>
      <c r="X106" s="3"/>
      <c r="Y106" s="47"/>
      <c r="Z106" s="48" t="str">
        <f t="shared" si="5"/>
        <v/>
      </c>
      <c r="AA106" s="6"/>
      <c r="AB106" s="6"/>
      <c r="AC106" s="49">
        <f t="shared" si="6"/>
        <v>0</v>
      </c>
      <c r="AD106" s="49">
        <f t="shared" si="7"/>
        <v>0</v>
      </c>
    </row>
    <row r="107">
      <c r="A107" s="118"/>
      <c r="B107" s="39"/>
      <c r="C107" s="119"/>
      <c r="D107" s="119"/>
      <c r="E107" s="119"/>
      <c r="F107" s="119"/>
      <c r="G107" s="120"/>
      <c r="H107" s="64"/>
      <c r="I107" s="119"/>
      <c r="J107" s="90"/>
      <c r="K107" s="121"/>
      <c r="L107" s="42"/>
      <c r="M107" s="129"/>
      <c r="N107" s="121"/>
      <c r="O107" s="121"/>
      <c r="P107" s="121"/>
      <c r="Q107" s="121"/>
      <c r="R107" s="123"/>
      <c r="S107" s="123"/>
      <c r="T107" s="124"/>
      <c r="U107" s="6"/>
      <c r="V107" s="6"/>
      <c r="W107" s="46"/>
      <c r="X107" s="3"/>
      <c r="Y107" s="47"/>
      <c r="Z107" s="48" t="str">
        <f t="shared" si="5"/>
        <v/>
      </c>
      <c r="AA107" s="3"/>
      <c r="AB107" s="6"/>
      <c r="AC107" s="49">
        <f t="shared" si="6"/>
        <v>0</v>
      </c>
      <c r="AD107" s="49">
        <f t="shared" si="7"/>
        <v>0</v>
      </c>
    </row>
    <row r="108">
      <c r="A108" s="123"/>
      <c r="B108" s="106"/>
      <c r="C108" s="124"/>
      <c r="D108" s="124"/>
      <c r="E108" s="124"/>
      <c r="F108" s="124"/>
      <c r="G108" s="125"/>
      <c r="H108" s="64"/>
      <c r="I108" s="125"/>
      <c r="J108" s="62"/>
      <c r="K108" s="64"/>
      <c r="L108" s="42"/>
      <c r="M108" s="130"/>
      <c r="N108" s="127"/>
      <c r="O108" s="127"/>
      <c r="P108" s="127"/>
      <c r="Q108" s="127"/>
      <c r="R108" s="123"/>
      <c r="S108" s="123"/>
      <c r="T108" s="124"/>
      <c r="U108" s="101"/>
      <c r="V108" s="101"/>
      <c r="W108" s="52"/>
      <c r="X108" s="110"/>
      <c r="Y108" s="99"/>
      <c r="Z108" s="112" t="str">
        <f t="shared" si="5"/>
        <v/>
      </c>
      <c r="AA108" s="110"/>
      <c r="AB108" s="101"/>
      <c r="AC108" s="49">
        <f t="shared" si="6"/>
        <v>0</v>
      </c>
      <c r="AD108" s="49">
        <f t="shared" si="7"/>
        <v>0</v>
      </c>
    </row>
    <row r="109">
      <c r="A109" s="6"/>
      <c r="B109" s="39"/>
      <c r="C109" s="6"/>
      <c r="D109" s="6"/>
      <c r="E109" s="6"/>
      <c r="F109" s="6"/>
      <c r="G109" s="6"/>
      <c r="I109" s="6"/>
      <c r="L109" s="42"/>
      <c r="M109" s="3"/>
      <c r="N109" s="3"/>
      <c r="O109" s="3"/>
      <c r="P109" s="3"/>
      <c r="Q109" s="3"/>
      <c r="R109" s="6"/>
      <c r="S109" s="6"/>
      <c r="T109" s="6"/>
      <c r="U109" s="6"/>
      <c r="V109" s="6"/>
      <c r="W109" s="46"/>
      <c r="X109" s="3"/>
      <c r="Y109" s="47"/>
      <c r="Z109" s="48" t="str">
        <f t="shared" si="5"/>
        <v/>
      </c>
      <c r="AA109" s="3"/>
      <c r="AB109" s="3"/>
      <c r="AC109" s="49">
        <f t="shared" si="6"/>
        <v>0</v>
      </c>
      <c r="AD109" s="49">
        <f t="shared" si="7"/>
        <v>0</v>
      </c>
    </row>
    <row r="110" ht="15.0" customHeight="1">
      <c r="A110" s="6"/>
      <c r="B110" s="39"/>
      <c r="C110" s="6"/>
      <c r="D110" s="6"/>
      <c r="E110" s="6"/>
      <c r="F110" s="6"/>
      <c r="G110" s="6"/>
      <c r="H110" s="3"/>
      <c r="I110" s="6"/>
      <c r="J110" s="3"/>
      <c r="K110" s="3"/>
      <c r="L110" s="42"/>
      <c r="M110" s="3"/>
      <c r="N110" s="3"/>
      <c r="O110" s="3"/>
      <c r="P110" s="3"/>
      <c r="Q110" s="3"/>
      <c r="R110" s="6"/>
      <c r="S110" s="6"/>
      <c r="T110" s="6"/>
      <c r="U110" s="6"/>
      <c r="V110" s="6"/>
      <c r="W110" s="46"/>
      <c r="X110" s="3"/>
      <c r="Y110" s="47"/>
      <c r="Z110" s="48" t="str">
        <f t="shared" si="5"/>
        <v/>
      </c>
      <c r="AA110" s="6"/>
      <c r="AB110" s="6"/>
      <c r="AC110" s="49">
        <f t="shared" si="6"/>
        <v>0</v>
      </c>
      <c r="AD110" s="49">
        <f t="shared" si="7"/>
        <v>0</v>
      </c>
    </row>
    <row r="111" ht="15.0" customHeight="1">
      <c r="A111" s="6"/>
      <c r="B111" s="39"/>
      <c r="C111" s="6"/>
      <c r="D111" s="6"/>
      <c r="E111" s="6"/>
      <c r="F111" s="6"/>
      <c r="G111" s="6"/>
      <c r="H111" s="3"/>
      <c r="I111" s="6"/>
      <c r="J111" s="3"/>
      <c r="K111" s="3"/>
      <c r="L111" s="42"/>
      <c r="M111" s="3"/>
      <c r="N111" s="3"/>
      <c r="O111" s="3"/>
      <c r="P111" s="3"/>
      <c r="Q111" s="3"/>
      <c r="R111" s="6"/>
      <c r="S111" s="6"/>
      <c r="T111" s="6"/>
      <c r="U111" s="6"/>
      <c r="V111" s="6"/>
      <c r="W111" s="46"/>
      <c r="X111" s="3"/>
      <c r="Y111" s="47"/>
      <c r="Z111" s="48" t="str">
        <f t="shared" si="5"/>
        <v/>
      </c>
      <c r="AA111" s="6"/>
      <c r="AB111" s="6"/>
      <c r="AC111" s="49">
        <f t="shared" si="6"/>
        <v>0</v>
      </c>
      <c r="AD111" s="49">
        <f t="shared" si="7"/>
        <v>0</v>
      </c>
    </row>
    <row r="112">
      <c r="A112" s="6"/>
      <c r="B112" s="39"/>
      <c r="C112" s="6"/>
      <c r="D112" s="6"/>
      <c r="E112" s="6"/>
      <c r="F112" s="6"/>
      <c r="G112" s="6"/>
      <c r="H112" s="3"/>
      <c r="I112" s="6"/>
      <c r="J112" s="3"/>
      <c r="K112" s="3"/>
      <c r="L112" s="42"/>
      <c r="M112" s="3"/>
      <c r="N112" s="3"/>
      <c r="O112" s="3"/>
      <c r="P112" s="3"/>
      <c r="Q112" s="3"/>
      <c r="R112" s="6"/>
      <c r="S112" s="6"/>
      <c r="T112" s="6"/>
      <c r="U112" s="6"/>
      <c r="V112" s="6"/>
      <c r="W112" s="51"/>
      <c r="X112" s="3"/>
      <c r="Y112" s="47"/>
      <c r="Z112" s="48" t="str">
        <f t="shared" si="5"/>
        <v/>
      </c>
      <c r="AA112" s="3"/>
      <c r="AB112" s="3"/>
      <c r="AC112" s="49">
        <f t="shared" si="6"/>
        <v>0</v>
      </c>
      <c r="AD112" s="49">
        <f t="shared" si="7"/>
        <v>0</v>
      </c>
    </row>
    <row r="113">
      <c r="A113" s="6"/>
      <c r="B113" s="39"/>
      <c r="C113" s="6"/>
      <c r="D113" s="6"/>
      <c r="E113" s="6"/>
      <c r="F113" s="6"/>
      <c r="G113" s="6"/>
      <c r="H113" s="3"/>
      <c r="I113" s="6"/>
      <c r="J113" s="3"/>
      <c r="K113" s="3"/>
      <c r="L113" s="42"/>
      <c r="M113" s="3"/>
      <c r="N113" s="3"/>
      <c r="O113" s="3"/>
      <c r="P113" s="3"/>
      <c r="Q113" s="3"/>
      <c r="R113" s="6"/>
      <c r="S113" s="6"/>
      <c r="T113" s="6"/>
      <c r="U113" s="6"/>
      <c r="V113" s="6"/>
      <c r="W113" s="46"/>
      <c r="X113" s="3"/>
      <c r="Y113" s="47"/>
      <c r="Z113" s="48" t="str">
        <f t="shared" si="5"/>
        <v/>
      </c>
      <c r="AA113" s="3"/>
      <c r="AB113" s="6"/>
      <c r="AC113" s="49">
        <f t="shared" si="6"/>
        <v>0</v>
      </c>
      <c r="AD113" s="49">
        <f t="shared" si="7"/>
        <v>0</v>
      </c>
    </row>
    <row r="114">
      <c r="A114" s="6"/>
      <c r="B114" s="39"/>
      <c r="C114" s="6"/>
      <c r="D114" s="6"/>
      <c r="E114" s="6"/>
      <c r="F114" s="6"/>
      <c r="G114" s="6"/>
      <c r="H114" s="3"/>
      <c r="I114" s="6"/>
      <c r="J114" s="3"/>
      <c r="K114" s="3"/>
      <c r="L114" s="42"/>
      <c r="M114" s="3"/>
      <c r="N114" s="3"/>
      <c r="O114" s="3"/>
      <c r="P114" s="3"/>
      <c r="Q114" s="3"/>
      <c r="R114" s="6"/>
      <c r="S114" s="6"/>
      <c r="T114" s="6"/>
      <c r="U114" s="6"/>
      <c r="V114" s="6"/>
      <c r="W114" s="46"/>
      <c r="X114" s="3"/>
      <c r="Y114" s="47"/>
      <c r="Z114" s="48" t="str">
        <f t="shared" si="5"/>
        <v/>
      </c>
      <c r="AA114" s="6"/>
      <c r="AB114" s="6"/>
      <c r="AC114" s="49">
        <f t="shared" si="6"/>
        <v>0</v>
      </c>
      <c r="AD114" s="49">
        <f t="shared" si="7"/>
        <v>0</v>
      </c>
    </row>
    <row r="115" ht="15.0" customHeight="1">
      <c r="A115" s="6"/>
      <c r="B115" s="39"/>
      <c r="C115" s="6"/>
      <c r="D115" s="6"/>
      <c r="E115" s="6"/>
      <c r="F115" s="6"/>
      <c r="G115" s="6"/>
      <c r="H115" s="3"/>
      <c r="I115" s="6"/>
      <c r="J115" s="3"/>
      <c r="K115" s="3"/>
      <c r="L115" s="42"/>
      <c r="M115" s="3"/>
      <c r="N115" s="3"/>
      <c r="O115" s="3"/>
      <c r="P115" s="3"/>
      <c r="Q115" s="3"/>
      <c r="R115" s="6"/>
      <c r="S115" s="6"/>
      <c r="T115" s="6"/>
      <c r="U115" s="6"/>
      <c r="V115" s="6"/>
      <c r="W115" s="46"/>
      <c r="X115" s="3"/>
      <c r="Y115" s="47"/>
      <c r="Z115" s="48" t="str">
        <f t="shared" si="5"/>
        <v/>
      </c>
      <c r="AA115" s="6"/>
      <c r="AB115" s="6"/>
      <c r="AC115" s="49">
        <f t="shared" si="6"/>
        <v>0</v>
      </c>
      <c r="AD115" s="49">
        <f t="shared" si="7"/>
        <v>0</v>
      </c>
    </row>
    <row r="116">
      <c r="A116" s="6"/>
      <c r="B116" s="39"/>
      <c r="C116" s="6"/>
      <c r="D116" s="6"/>
      <c r="E116" s="6"/>
      <c r="F116" s="6"/>
      <c r="G116" s="6"/>
      <c r="H116" s="3"/>
      <c r="I116" s="6"/>
      <c r="J116" s="3"/>
      <c r="K116" s="3"/>
      <c r="L116" s="42"/>
      <c r="M116" s="3"/>
      <c r="N116" s="3"/>
      <c r="O116" s="3"/>
      <c r="P116" s="3"/>
      <c r="Q116" s="3"/>
      <c r="R116" s="6"/>
      <c r="S116" s="6"/>
      <c r="T116" s="6"/>
      <c r="U116" s="6"/>
      <c r="V116" s="6"/>
      <c r="W116" s="95"/>
      <c r="X116" s="3"/>
      <c r="Y116" s="47"/>
      <c r="Z116" s="48" t="str">
        <f t="shared" si="5"/>
        <v/>
      </c>
      <c r="AA116" s="6"/>
      <c r="AB116" s="6"/>
      <c r="AC116" s="49">
        <f t="shared" si="6"/>
        <v>0</v>
      </c>
      <c r="AD116" s="49">
        <f t="shared" si="7"/>
        <v>0</v>
      </c>
    </row>
    <row r="117" ht="15.0" customHeight="1">
      <c r="A117" s="6"/>
      <c r="B117" s="39"/>
      <c r="C117" s="6"/>
      <c r="D117" s="6"/>
      <c r="E117" s="6"/>
      <c r="F117" s="6"/>
      <c r="G117" s="6"/>
      <c r="H117" s="3"/>
      <c r="I117" s="6"/>
      <c r="J117" s="3"/>
      <c r="K117" s="3"/>
      <c r="L117" s="42"/>
      <c r="M117" s="3"/>
      <c r="N117" s="3"/>
      <c r="O117" s="3"/>
      <c r="P117" s="3"/>
      <c r="Q117" s="3"/>
      <c r="R117" s="6"/>
      <c r="S117" s="6"/>
      <c r="T117" s="6"/>
      <c r="U117" s="6"/>
      <c r="V117" s="6"/>
      <c r="W117" s="46"/>
      <c r="X117" s="3"/>
      <c r="Y117" s="47"/>
      <c r="Z117" s="48" t="str">
        <f t="shared" si="5"/>
        <v/>
      </c>
      <c r="AA117" s="6"/>
      <c r="AB117" s="6"/>
      <c r="AC117" s="49">
        <f t="shared" si="6"/>
        <v>0</v>
      </c>
      <c r="AD117" s="49">
        <f t="shared" si="7"/>
        <v>0</v>
      </c>
    </row>
    <row r="118" ht="15.0" customHeight="1">
      <c r="A118" s="101"/>
      <c r="B118" s="106"/>
      <c r="C118" s="101"/>
      <c r="D118" s="101"/>
      <c r="E118" s="101"/>
      <c r="F118" s="101"/>
      <c r="G118" s="101"/>
      <c r="H118" s="110"/>
      <c r="I118" s="101"/>
      <c r="J118" s="110"/>
      <c r="K118" s="110"/>
      <c r="L118" s="42"/>
      <c r="M118" s="110"/>
      <c r="N118" s="110"/>
      <c r="O118" s="110"/>
      <c r="P118" s="110"/>
      <c r="Q118" s="110"/>
      <c r="R118" s="101"/>
      <c r="S118" s="101"/>
      <c r="T118" s="101"/>
      <c r="U118" s="101"/>
      <c r="V118" s="101"/>
      <c r="W118" s="111"/>
      <c r="X118" s="110"/>
      <c r="Y118" s="99"/>
      <c r="Z118" s="112" t="str">
        <f t="shared" si="5"/>
        <v/>
      </c>
      <c r="AA118" s="110"/>
      <c r="AB118" s="110"/>
      <c r="AC118" s="49">
        <f t="shared" si="6"/>
        <v>0</v>
      </c>
      <c r="AD118" s="49">
        <f t="shared" si="7"/>
        <v>0</v>
      </c>
    </row>
    <row r="119" ht="15.0" customHeight="1">
      <c r="A119" s="105"/>
      <c r="B119" s="39"/>
      <c r="C119" s="6"/>
      <c r="D119" s="6"/>
      <c r="E119" s="6"/>
      <c r="F119" s="6"/>
      <c r="G119" s="6"/>
      <c r="H119" s="3"/>
      <c r="I119" s="6"/>
      <c r="J119" s="3"/>
      <c r="K119" s="3"/>
      <c r="L119" s="42"/>
      <c r="M119" s="3"/>
      <c r="N119" s="3"/>
      <c r="O119" s="3"/>
      <c r="P119" s="3"/>
      <c r="Q119" s="3"/>
      <c r="R119" s="6"/>
      <c r="S119" s="6"/>
      <c r="T119" s="6"/>
      <c r="U119" s="101"/>
      <c r="V119" s="101"/>
      <c r="W119" s="51"/>
      <c r="X119" s="3"/>
      <c r="Y119" s="47"/>
      <c r="Z119" s="48" t="str">
        <f t="shared" si="5"/>
        <v/>
      </c>
      <c r="AA119" s="3"/>
      <c r="AB119" s="6"/>
      <c r="AC119" s="49">
        <f t="shared" si="6"/>
        <v>0</v>
      </c>
      <c r="AD119" s="49">
        <f t="shared" si="7"/>
        <v>0</v>
      </c>
    </row>
    <row r="120" ht="15.0" customHeight="1">
      <c r="A120" s="6"/>
      <c r="B120" s="39"/>
      <c r="C120" s="6"/>
      <c r="D120" s="6"/>
      <c r="E120" s="6"/>
      <c r="F120" s="6"/>
      <c r="G120" s="6"/>
      <c r="H120" s="3"/>
      <c r="I120" s="6"/>
      <c r="J120" s="3"/>
      <c r="K120" s="3"/>
      <c r="L120" s="42"/>
      <c r="M120" s="3"/>
      <c r="N120" s="3"/>
      <c r="O120" s="3"/>
      <c r="P120" s="3"/>
      <c r="Q120" s="3"/>
      <c r="R120" s="6"/>
      <c r="S120" s="6"/>
      <c r="T120" s="6"/>
      <c r="U120" s="6"/>
      <c r="V120" s="6"/>
      <c r="W120" s="46"/>
      <c r="X120" s="3"/>
      <c r="Y120" s="47"/>
      <c r="Z120" s="48" t="str">
        <f t="shared" si="5"/>
        <v/>
      </c>
      <c r="AA120" s="6"/>
      <c r="AB120" s="6"/>
      <c r="AC120" s="49">
        <f t="shared" si="6"/>
        <v>0</v>
      </c>
      <c r="AD120" s="49">
        <f t="shared" si="7"/>
        <v>0</v>
      </c>
    </row>
    <row r="121">
      <c r="A121" s="6"/>
      <c r="B121" s="39"/>
      <c r="C121" s="6"/>
      <c r="D121" s="6"/>
      <c r="E121" s="6"/>
      <c r="F121" s="6"/>
      <c r="G121" s="6"/>
      <c r="I121" s="6"/>
      <c r="K121" s="3"/>
      <c r="L121" s="42"/>
      <c r="M121" s="3"/>
      <c r="N121" s="3"/>
      <c r="O121" s="3"/>
      <c r="P121" s="3"/>
      <c r="Q121" s="3"/>
      <c r="R121" s="6"/>
      <c r="S121" s="6"/>
      <c r="T121" s="6"/>
      <c r="U121" s="6"/>
      <c r="V121" s="6"/>
      <c r="W121" s="46"/>
      <c r="X121" s="3"/>
      <c r="Y121" s="47"/>
      <c r="Z121" s="48" t="str">
        <f t="shared" si="5"/>
        <v/>
      </c>
      <c r="AA121" s="6"/>
      <c r="AB121" s="6"/>
      <c r="AC121" s="49">
        <f t="shared" si="6"/>
        <v>0</v>
      </c>
      <c r="AD121" s="49">
        <f t="shared" si="7"/>
        <v>0</v>
      </c>
    </row>
    <row r="122">
      <c r="A122" s="6"/>
      <c r="B122" s="39"/>
      <c r="C122" s="6"/>
      <c r="D122" s="6"/>
      <c r="E122" s="6"/>
      <c r="F122" s="6"/>
      <c r="G122" s="6"/>
      <c r="I122" s="6"/>
      <c r="J122" s="3"/>
      <c r="K122" s="3"/>
      <c r="L122" s="42"/>
      <c r="M122" s="3"/>
      <c r="N122" s="3"/>
      <c r="O122" s="3"/>
      <c r="P122" s="3"/>
      <c r="Q122" s="3"/>
      <c r="R122" s="6"/>
      <c r="S122" s="6"/>
      <c r="T122" s="6"/>
      <c r="U122" s="6"/>
      <c r="V122" s="6"/>
      <c r="W122" s="46"/>
      <c r="X122" s="3"/>
      <c r="Y122" s="47"/>
      <c r="Z122" s="48" t="str">
        <f t="shared" si="5"/>
        <v/>
      </c>
      <c r="AA122" s="6"/>
      <c r="AB122" s="6"/>
      <c r="AC122" s="49">
        <f t="shared" si="6"/>
        <v>0</v>
      </c>
      <c r="AD122" s="49">
        <f t="shared" si="7"/>
        <v>0</v>
      </c>
    </row>
    <row r="123">
      <c r="A123" s="101"/>
      <c r="B123" s="106"/>
      <c r="C123" s="101"/>
      <c r="D123" s="101"/>
      <c r="E123" s="101"/>
      <c r="F123" s="101"/>
      <c r="G123" s="101"/>
      <c r="H123" s="131"/>
      <c r="I123" s="101"/>
      <c r="J123" s="131"/>
      <c r="K123" s="110"/>
      <c r="L123" s="42"/>
      <c r="M123" s="110"/>
      <c r="N123" s="110"/>
      <c r="O123" s="110"/>
      <c r="P123" s="110"/>
      <c r="Q123" s="110"/>
      <c r="R123" s="101"/>
      <c r="S123" s="101"/>
      <c r="T123" s="101"/>
      <c r="U123" s="101"/>
      <c r="V123" s="101"/>
      <c r="W123" s="52"/>
      <c r="X123" s="110"/>
      <c r="Y123" s="99"/>
      <c r="Z123" s="112" t="str">
        <f t="shared" si="5"/>
        <v/>
      </c>
      <c r="AA123" s="110"/>
      <c r="AB123" s="110"/>
      <c r="AC123" s="49">
        <f t="shared" si="6"/>
        <v>0</v>
      </c>
      <c r="AD123" s="49">
        <f t="shared" si="7"/>
        <v>0</v>
      </c>
    </row>
    <row r="124">
      <c r="A124" s="6"/>
      <c r="B124" s="39"/>
      <c r="C124" s="6"/>
      <c r="D124" s="6"/>
      <c r="E124" s="6"/>
      <c r="F124" s="6"/>
      <c r="G124" s="6"/>
      <c r="I124" s="6"/>
      <c r="J124" s="3"/>
      <c r="K124" s="3"/>
      <c r="L124" s="42"/>
      <c r="M124" s="3"/>
      <c r="N124" s="3"/>
      <c r="O124" s="3"/>
      <c r="P124" s="3"/>
      <c r="Q124" s="3"/>
      <c r="R124" s="6"/>
      <c r="S124" s="6"/>
      <c r="T124" s="6"/>
      <c r="U124" s="6"/>
      <c r="V124" s="6"/>
      <c r="W124" s="46"/>
      <c r="X124" s="3"/>
      <c r="Y124" s="47"/>
      <c r="Z124" s="48" t="str">
        <f t="shared" si="5"/>
        <v/>
      </c>
      <c r="AA124" s="6"/>
      <c r="AB124" s="6"/>
      <c r="AC124" s="49">
        <f t="shared" si="6"/>
        <v>0</v>
      </c>
      <c r="AD124" s="49">
        <f t="shared" si="7"/>
        <v>0</v>
      </c>
    </row>
    <row r="125" ht="15.0" customHeight="1">
      <c r="A125" s="6"/>
      <c r="B125" s="39"/>
      <c r="C125" s="6"/>
      <c r="D125" s="6"/>
      <c r="E125" s="6"/>
      <c r="F125" s="6"/>
      <c r="G125" s="6"/>
      <c r="I125" s="6"/>
      <c r="L125" s="42"/>
      <c r="M125" s="3"/>
      <c r="N125" s="3"/>
      <c r="O125" s="3"/>
      <c r="P125" s="3"/>
      <c r="Q125" s="3"/>
      <c r="R125" s="6"/>
      <c r="S125" s="6"/>
      <c r="T125" s="6"/>
      <c r="U125" s="6"/>
      <c r="V125" s="6"/>
      <c r="W125" s="46"/>
      <c r="X125" s="3"/>
      <c r="Y125" s="47"/>
      <c r="Z125" s="48" t="str">
        <f t="shared" si="5"/>
        <v/>
      </c>
      <c r="AA125" s="6"/>
      <c r="AB125" s="6"/>
      <c r="AC125" s="49">
        <f t="shared" si="6"/>
        <v>0</v>
      </c>
      <c r="AD125" s="49">
        <f t="shared" si="7"/>
        <v>0</v>
      </c>
    </row>
    <row r="126" ht="15.0" customHeight="1">
      <c r="A126" s="6"/>
      <c r="B126" s="39"/>
      <c r="C126" s="6"/>
      <c r="D126" s="6"/>
      <c r="E126" s="6"/>
      <c r="F126" s="6"/>
      <c r="G126" s="6"/>
      <c r="H126" s="3"/>
      <c r="I126" s="6"/>
      <c r="J126" s="3"/>
      <c r="K126" s="3"/>
      <c r="L126" s="42"/>
      <c r="M126" s="3"/>
      <c r="N126" s="3"/>
      <c r="O126" s="3"/>
      <c r="P126" s="3"/>
      <c r="Q126" s="3"/>
      <c r="R126" s="6"/>
      <c r="S126" s="6"/>
      <c r="T126" s="6"/>
      <c r="U126" s="6"/>
      <c r="V126" s="6"/>
      <c r="W126" s="46"/>
      <c r="X126" s="3"/>
      <c r="Y126" s="47"/>
      <c r="Z126" s="48" t="str">
        <f t="shared" si="5"/>
        <v/>
      </c>
      <c r="AA126" s="6"/>
      <c r="AB126" s="6"/>
      <c r="AC126" s="49">
        <f t="shared" si="6"/>
        <v>0</v>
      </c>
      <c r="AD126" s="49">
        <f t="shared" si="7"/>
        <v>0</v>
      </c>
    </row>
    <row r="127">
      <c r="A127" s="6"/>
      <c r="B127" s="39"/>
      <c r="C127" s="6"/>
      <c r="D127" s="6"/>
      <c r="E127" s="6"/>
      <c r="F127" s="6"/>
      <c r="G127" s="6"/>
      <c r="H127" s="3"/>
      <c r="I127" s="6"/>
      <c r="J127" s="3"/>
      <c r="K127" s="3"/>
      <c r="L127" s="42"/>
      <c r="M127" s="3"/>
      <c r="N127" s="3"/>
      <c r="O127" s="3"/>
      <c r="P127" s="3"/>
      <c r="Q127" s="3"/>
      <c r="R127" s="6"/>
      <c r="S127" s="6"/>
      <c r="T127" s="6"/>
      <c r="U127" s="6"/>
      <c r="V127" s="6"/>
      <c r="W127" s="46"/>
      <c r="X127" s="3"/>
      <c r="Y127" s="47"/>
      <c r="Z127" s="48" t="str">
        <f t="shared" si="5"/>
        <v/>
      </c>
      <c r="AA127" s="6"/>
      <c r="AB127" s="6"/>
      <c r="AC127" s="49">
        <f t="shared" si="6"/>
        <v>0</v>
      </c>
      <c r="AD127" s="49">
        <f t="shared" si="7"/>
        <v>0</v>
      </c>
    </row>
    <row r="128">
      <c r="A128" s="6"/>
      <c r="B128" s="39"/>
      <c r="C128" s="6"/>
      <c r="D128" s="6"/>
      <c r="E128" s="6"/>
      <c r="F128" s="6"/>
      <c r="G128" s="6"/>
      <c r="H128" s="3"/>
      <c r="I128" s="6"/>
      <c r="J128" s="3"/>
      <c r="K128" s="3"/>
      <c r="L128" s="42"/>
      <c r="M128" s="3"/>
      <c r="N128" s="3"/>
      <c r="O128" s="3"/>
      <c r="P128" s="3"/>
      <c r="Q128" s="3"/>
      <c r="R128" s="6"/>
      <c r="S128" s="6"/>
      <c r="T128" s="6"/>
      <c r="U128" s="6"/>
      <c r="V128" s="6"/>
      <c r="W128" s="46"/>
      <c r="X128" s="3"/>
      <c r="Y128" s="47"/>
      <c r="Z128" s="48" t="str">
        <f t="shared" si="5"/>
        <v/>
      </c>
      <c r="AA128" s="6"/>
      <c r="AB128" s="6"/>
      <c r="AC128" s="49">
        <f t="shared" si="6"/>
        <v>0</v>
      </c>
      <c r="AD128" s="49">
        <f t="shared" si="7"/>
        <v>0</v>
      </c>
    </row>
    <row r="129">
      <c r="A129" s="6"/>
      <c r="B129" s="39"/>
      <c r="C129" s="6"/>
      <c r="D129" s="6"/>
      <c r="E129" s="6"/>
      <c r="F129" s="6"/>
      <c r="G129" s="6"/>
      <c r="H129" s="3"/>
      <c r="I129" s="6"/>
      <c r="J129" s="3"/>
      <c r="K129" s="3"/>
      <c r="L129" s="42"/>
      <c r="M129" s="3"/>
      <c r="N129" s="3"/>
      <c r="O129" s="3"/>
      <c r="P129" s="3"/>
      <c r="Q129" s="3"/>
      <c r="R129" s="6"/>
      <c r="S129" s="6"/>
      <c r="T129" s="6"/>
      <c r="U129" s="6"/>
      <c r="V129" s="6"/>
      <c r="W129" s="46"/>
      <c r="X129" s="3"/>
      <c r="Y129" s="47"/>
      <c r="Z129" s="48" t="str">
        <f t="shared" si="5"/>
        <v/>
      </c>
      <c r="AA129" s="3"/>
      <c r="AB129" s="6"/>
      <c r="AC129" s="49">
        <f t="shared" si="6"/>
        <v>0</v>
      </c>
      <c r="AD129" s="49">
        <f t="shared" si="7"/>
        <v>0</v>
      </c>
    </row>
    <row r="130">
      <c r="A130" s="6"/>
      <c r="B130" s="39"/>
      <c r="C130" s="6"/>
      <c r="D130" s="6"/>
      <c r="E130" s="6"/>
      <c r="F130" s="6"/>
      <c r="G130" s="6"/>
      <c r="H130" s="3"/>
      <c r="I130" s="6"/>
      <c r="J130" s="3"/>
      <c r="K130" s="3"/>
      <c r="L130" s="42"/>
      <c r="M130" s="3"/>
      <c r="N130" s="3"/>
      <c r="O130" s="3"/>
      <c r="P130" s="3"/>
      <c r="Q130" s="3"/>
      <c r="R130" s="6"/>
      <c r="S130" s="6"/>
      <c r="T130" s="6"/>
      <c r="U130" s="6"/>
      <c r="V130" s="6"/>
      <c r="W130" s="46"/>
      <c r="X130" s="3"/>
      <c r="Y130" s="47"/>
      <c r="Z130" s="48" t="str">
        <f t="shared" si="5"/>
        <v/>
      </c>
      <c r="AA130" s="6"/>
      <c r="AB130" s="6"/>
      <c r="AC130" s="49">
        <f t="shared" si="6"/>
        <v>0</v>
      </c>
      <c r="AD130" s="49">
        <f t="shared" si="7"/>
        <v>0</v>
      </c>
    </row>
    <row r="131">
      <c r="A131" s="6"/>
      <c r="B131" s="39"/>
      <c r="C131" s="6"/>
      <c r="D131" s="6"/>
      <c r="E131" s="6"/>
      <c r="F131" s="6"/>
      <c r="G131" s="6"/>
      <c r="H131" s="3"/>
      <c r="I131" s="6"/>
      <c r="J131" s="3"/>
      <c r="K131" s="3"/>
      <c r="L131" s="42"/>
      <c r="M131" s="3"/>
      <c r="N131" s="3"/>
      <c r="O131" s="3"/>
      <c r="P131" s="3"/>
      <c r="Q131" s="3"/>
      <c r="R131" s="6"/>
      <c r="S131" s="6"/>
      <c r="T131" s="6"/>
      <c r="U131" s="6"/>
      <c r="V131" s="132"/>
      <c r="W131" s="46"/>
      <c r="X131" s="3"/>
      <c r="Y131" s="47"/>
      <c r="Z131" s="48" t="str">
        <f t="shared" si="5"/>
        <v/>
      </c>
      <c r="AA131" s="6"/>
      <c r="AB131" s="6"/>
      <c r="AC131" s="49">
        <f t="shared" si="6"/>
        <v>0</v>
      </c>
      <c r="AD131" s="49">
        <f t="shared" si="7"/>
        <v>0</v>
      </c>
    </row>
    <row r="132" ht="15.0" customHeight="1">
      <c r="A132" s="6"/>
      <c r="B132" s="39"/>
      <c r="C132" s="6"/>
      <c r="D132" s="6"/>
      <c r="E132" s="6"/>
      <c r="F132" s="6"/>
      <c r="G132" s="6"/>
      <c r="H132" s="3"/>
      <c r="I132" s="6"/>
      <c r="J132" s="3"/>
      <c r="K132" s="3"/>
      <c r="L132" s="42"/>
      <c r="M132" s="3"/>
      <c r="N132" s="3"/>
      <c r="O132" s="3"/>
      <c r="P132" s="3"/>
      <c r="Q132" s="3"/>
      <c r="R132" s="6"/>
      <c r="S132" s="6"/>
      <c r="T132" s="6"/>
      <c r="U132" s="6"/>
      <c r="V132" s="6"/>
      <c r="W132" s="46"/>
      <c r="X132" s="3"/>
      <c r="Y132" s="47"/>
      <c r="Z132" s="48" t="str">
        <f t="shared" si="5"/>
        <v/>
      </c>
      <c r="AA132" s="6"/>
      <c r="AB132" s="6"/>
      <c r="AC132" s="49">
        <f t="shared" si="6"/>
        <v>0</v>
      </c>
      <c r="AD132" s="49">
        <f t="shared" si="7"/>
        <v>0</v>
      </c>
    </row>
    <row r="133" ht="15.0" customHeight="1">
      <c r="A133" s="6"/>
      <c r="B133" s="39"/>
      <c r="C133" s="6"/>
      <c r="D133" s="6"/>
      <c r="E133" s="6"/>
      <c r="F133" s="6"/>
      <c r="G133" s="6"/>
      <c r="H133" s="3"/>
      <c r="I133" s="6"/>
      <c r="J133" s="3"/>
      <c r="K133" s="3"/>
      <c r="L133" s="42"/>
      <c r="M133" s="3"/>
      <c r="N133" s="3"/>
      <c r="O133" s="3"/>
      <c r="P133" s="3"/>
      <c r="Q133" s="3"/>
      <c r="R133" s="6"/>
      <c r="S133" s="6"/>
      <c r="T133" s="6"/>
      <c r="U133" s="6"/>
      <c r="V133" s="6"/>
      <c r="W133" s="95"/>
      <c r="X133" s="3"/>
      <c r="Y133" s="47"/>
      <c r="Z133" s="48" t="str">
        <f t="shared" si="5"/>
        <v/>
      </c>
      <c r="AA133" s="6"/>
      <c r="AB133" s="6"/>
      <c r="AC133" s="49">
        <f t="shared" si="6"/>
        <v>0</v>
      </c>
      <c r="AD133" s="49">
        <f t="shared" si="7"/>
        <v>0</v>
      </c>
    </row>
    <row r="134" ht="15.0" customHeight="1">
      <c r="A134" s="6"/>
      <c r="B134" s="39"/>
      <c r="C134" s="6"/>
      <c r="D134" s="6"/>
      <c r="E134" s="6"/>
      <c r="F134" s="6"/>
      <c r="G134" s="6"/>
      <c r="H134" s="3"/>
      <c r="I134" s="6"/>
      <c r="J134" s="3"/>
      <c r="K134" s="3"/>
      <c r="L134" s="42"/>
      <c r="M134" s="3"/>
      <c r="N134" s="3"/>
      <c r="O134" s="3"/>
      <c r="P134" s="3"/>
      <c r="Q134" s="3"/>
      <c r="R134" s="6"/>
      <c r="S134" s="6"/>
      <c r="T134" s="6"/>
      <c r="U134" s="6"/>
      <c r="V134" s="6"/>
      <c r="W134" s="46"/>
      <c r="X134" s="3"/>
      <c r="Y134" s="47"/>
      <c r="Z134" s="48" t="str">
        <f t="shared" si="5"/>
        <v/>
      </c>
      <c r="AA134" s="6"/>
      <c r="AB134" s="6"/>
      <c r="AC134" s="49">
        <f t="shared" si="6"/>
        <v>0</v>
      </c>
      <c r="AD134" s="49">
        <f t="shared" si="7"/>
        <v>0</v>
      </c>
    </row>
    <row r="135">
      <c r="A135" s="6"/>
      <c r="B135" s="39"/>
      <c r="C135" s="6"/>
      <c r="D135" s="6"/>
      <c r="E135" s="6"/>
      <c r="F135" s="6"/>
      <c r="G135" s="6"/>
      <c r="H135" s="3"/>
      <c r="I135" s="6"/>
      <c r="J135" s="3"/>
      <c r="K135" s="3"/>
      <c r="L135" s="42"/>
      <c r="M135" s="3"/>
      <c r="N135" s="3"/>
      <c r="O135" s="3"/>
      <c r="P135" s="3"/>
      <c r="Q135" s="3"/>
      <c r="R135" s="6"/>
      <c r="S135" s="6"/>
      <c r="T135" s="6"/>
      <c r="U135" s="6"/>
      <c r="V135" s="6"/>
      <c r="W135" s="46"/>
      <c r="X135" s="3"/>
      <c r="Y135" s="47"/>
      <c r="Z135" s="48" t="str">
        <f t="shared" si="5"/>
        <v/>
      </c>
      <c r="AA135" s="6"/>
      <c r="AB135" s="6"/>
      <c r="AC135" s="49">
        <f t="shared" si="6"/>
        <v>0</v>
      </c>
      <c r="AD135" s="49">
        <f t="shared" si="7"/>
        <v>0</v>
      </c>
    </row>
    <row r="136">
      <c r="A136" s="6"/>
      <c r="B136" s="39"/>
      <c r="C136" s="6"/>
      <c r="D136" s="6"/>
      <c r="E136" s="6"/>
      <c r="F136" s="6"/>
      <c r="G136" s="6"/>
      <c r="H136" s="3"/>
      <c r="I136" s="6"/>
      <c r="J136" s="3"/>
      <c r="K136" s="3"/>
      <c r="L136" s="42"/>
      <c r="M136" s="3"/>
      <c r="N136" s="3"/>
      <c r="O136" s="3"/>
      <c r="P136" s="3"/>
      <c r="Q136" s="3"/>
      <c r="R136" s="6"/>
      <c r="S136" s="6"/>
      <c r="T136" s="6"/>
      <c r="U136" s="6"/>
      <c r="V136" s="6"/>
      <c r="W136" s="95"/>
      <c r="X136" s="3"/>
      <c r="Y136" s="47"/>
      <c r="Z136" s="48" t="str">
        <f t="shared" si="5"/>
        <v/>
      </c>
      <c r="AA136" s="6"/>
      <c r="AB136" s="6"/>
      <c r="AC136" s="49">
        <f t="shared" si="6"/>
        <v>0</v>
      </c>
      <c r="AD136" s="49">
        <f t="shared" si="7"/>
        <v>0</v>
      </c>
    </row>
    <row r="137">
      <c r="A137" s="6"/>
      <c r="B137" s="39"/>
      <c r="C137" s="6"/>
      <c r="D137" s="6"/>
      <c r="E137" s="6"/>
      <c r="F137" s="6"/>
      <c r="G137" s="6"/>
      <c r="H137" s="3"/>
      <c r="I137" s="6"/>
      <c r="J137" s="3"/>
      <c r="K137" s="3"/>
      <c r="L137" s="42"/>
      <c r="M137" s="3"/>
      <c r="N137" s="3"/>
      <c r="O137" s="3"/>
      <c r="P137" s="3"/>
      <c r="Q137" s="3"/>
      <c r="R137" s="6"/>
      <c r="S137" s="6"/>
      <c r="T137" s="6"/>
      <c r="U137" s="6"/>
      <c r="V137" s="6"/>
      <c r="W137" s="46"/>
      <c r="X137" s="3"/>
      <c r="Y137" s="47"/>
      <c r="Z137" s="48" t="str">
        <f t="shared" si="5"/>
        <v/>
      </c>
      <c r="AA137" s="6"/>
      <c r="AB137" s="6"/>
      <c r="AC137" s="49">
        <f t="shared" si="6"/>
        <v>0</v>
      </c>
      <c r="AD137" s="49">
        <f t="shared" si="7"/>
        <v>0</v>
      </c>
    </row>
    <row r="138" ht="15.0" customHeight="1">
      <c r="A138" s="6"/>
      <c r="B138" s="39"/>
      <c r="C138" s="6"/>
      <c r="D138" s="6"/>
      <c r="E138" s="6"/>
      <c r="F138" s="6"/>
      <c r="G138" s="6"/>
      <c r="H138" s="3"/>
      <c r="I138" s="6"/>
      <c r="J138" s="3"/>
      <c r="K138" s="3"/>
      <c r="L138" s="42"/>
      <c r="M138" s="3"/>
      <c r="N138" s="3"/>
      <c r="O138" s="3"/>
      <c r="P138" s="3"/>
      <c r="Q138" s="3"/>
      <c r="R138" s="6"/>
      <c r="S138" s="6"/>
      <c r="T138" s="6"/>
      <c r="U138" s="6"/>
      <c r="V138" s="6"/>
      <c r="W138" s="46"/>
      <c r="X138" s="3"/>
      <c r="Y138" s="47"/>
      <c r="Z138" s="48" t="str">
        <f t="shared" si="5"/>
        <v/>
      </c>
      <c r="AA138" s="6"/>
      <c r="AB138" s="6"/>
      <c r="AC138" s="49">
        <f t="shared" si="6"/>
        <v>0</v>
      </c>
      <c r="AD138" s="49">
        <f t="shared" si="7"/>
        <v>0</v>
      </c>
    </row>
    <row r="139" ht="15.0" customHeight="1">
      <c r="A139" s="6"/>
      <c r="B139" s="39"/>
      <c r="C139" s="6"/>
      <c r="D139" s="6"/>
      <c r="E139" s="6"/>
      <c r="F139" s="6"/>
      <c r="G139" s="6"/>
      <c r="H139" s="3"/>
      <c r="I139" s="6"/>
      <c r="J139" s="3"/>
      <c r="K139" s="3"/>
      <c r="L139" s="42"/>
      <c r="M139" s="3"/>
      <c r="N139" s="3"/>
      <c r="O139" s="3"/>
      <c r="P139" s="3"/>
      <c r="Q139" s="3"/>
      <c r="R139" s="6"/>
      <c r="S139" s="6"/>
      <c r="T139" s="6"/>
      <c r="U139" s="6"/>
      <c r="V139" s="6"/>
      <c r="W139" s="95"/>
      <c r="X139" s="3"/>
      <c r="Y139" s="47"/>
      <c r="Z139" s="48" t="str">
        <f t="shared" si="5"/>
        <v/>
      </c>
      <c r="AA139" s="6"/>
      <c r="AB139" s="133"/>
      <c r="AC139" s="49">
        <f t="shared" si="6"/>
        <v>0</v>
      </c>
      <c r="AD139" s="49">
        <f t="shared" si="7"/>
        <v>0</v>
      </c>
    </row>
    <row r="140" ht="15.0" customHeight="1">
      <c r="A140" s="6"/>
      <c r="B140" s="39"/>
      <c r="C140" s="6"/>
      <c r="D140" s="6"/>
      <c r="E140" s="6"/>
      <c r="F140" s="6"/>
      <c r="G140" s="6"/>
      <c r="H140" s="3"/>
      <c r="I140" s="6"/>
      <c r="J140" s="3"/>
      <c r="K140" s="3"/>
      <c r="L140" s="42"/>
      <c r="M140" s="3"/>
      <c r="N140" s="3"/>
      <c r="O140" s="3"/>
      <c r="P140" s="3"/>
      <c r="Q140" s="3"/>
      <c r="R140" s="6"/>
      <c r="S140" s="6"/>
      <c r="T140" s="6"/>
      <c r="U140" s="6"/>
      <c r="V140" s="6"/>
      <c r="W140" s="46"/>
      <c r="X140" s="3"/>
      <c r="Y140" s="47"/>
      <c r="Z140" s="48" t="str">
        <f t="shared" si="5"/>
        <v/>
      </c>
      <c r="AA140" s="6"/>
      <c r="AB140" s="6"/>
      <c r="AC140" s="49">
        <f t="shared" si="6"/>
        <v>0</v>
      </c>
      <c r="AD140" s="49">
        <f t="shared" si="7"/>
        <v>0</v>
      </c>
    </row>
    <row r="141" ht="15.0" customHeight="1">
      <c r="A141" s="6"/>
      <c r="B141" s="39"/>
      <c r="C141" s="6"/>
      <c r="D141" s="6"/>
      <c r="E141" s="6"/>
      <c r="F141" s="6"/>
      <c r="G141" s="6"/>
      <c r="H141" s="3"/>
      <c r="I141" s="6"/>
      <c r="J141" s="3"/>
      <c r="K141" s="3"/>
      <c r="L141" s="42"/>
      <c r="M141" s="3"/>
      <c r="N141" s="3"/>
      <c r="O141" s="3"/>
      <c r="P141" s="3"/>
      <c r="Q141" s="3"/>
      <c r="R141" s="6"/>
      <c r="S141" s="6"/>
      <c r="T141" s="6"/>
      <c r="U141" s="6"/>
      <c r="V141" s="6"/>
      <c r="W141" s="46"/>
      <c r="X141" s="3"/>
      <c r="Y141" s="47"/>
      <c r="Z141" s="48" t="str">
        <f t="shared" si="5"/>
        <v/>
      </c>
      <c r="AA141" s="6"/>
      <c r="AB141" s="6"/>
      <c r="AC141" s="49">
        <f t="shared" si="6"/>
        <v>0</v>
      </c>
      <c r="AD141" s="49">
        <f t="shared" si="7"/>
        <v>0</v>
      </c>
    </row>
    <row r="142" ht="18.75" customHeight="1">
      <c r="A142" s="6"/>
      <c r="B142" s="39"/>
      <c r="C142" s="6"/>
      <c r="D142" s="6"/>
      <c r="E142" s="6"/>
      <c r="F142" s="6"/>
      <c r="G142" s="6"/>
      <c r="H142" s="3"/>
      <c r="I142" s="6"/>
      <c r="J142" s="3"/>
      <c r="K142" s="3"/>
      <c r="L142" s="42"/>
      <c r="M142" s="3"/>
      <c r="N142" s="3"/>
      <c r="O142" s="3"/>
      <c r="P142" s="3"/>
      <c r="Q142" s="3"/>
      <c r="R142" s="6"/>
      <c r="S142" s="6"/>
      <c r="T142" s="6"/>
      <c r="U142" s="3"/>
      <c r="V142" s="6"/>
      <c r="W142" s="46"/>
      <c r="X142" s="3"/>
      <c r="Y142" s="47"/>
      <c r="Z142" s="48" t="str">
        <f t="shared" si="5"/>
        <v/>
      </c>
      <c r="AA142" s="6"/>
      <c r="AB142" s="6"/>
      <c r="AC142" s="49">
        <f t="shared" si="6"/>
        <v>0</v>
      </c>
      <c r="AD142" s="49">
        <f t="shared" si="7"/>
        <v>0</v>
      </c>
    </row>
    <row r="143" ht="15.0" customHeight="1">
      <c r="A143" s="6"/>
      <c r="B143" s="39"/>
      <c r="C143" s="6"/>
      <c r="D143" s="6"/>
      <c r="E143" s="6"/>
      <c r="F143" s="6"/>
      <c r="G143" s="6"/>
      <c r="H143" s="3"/>
      <c r="I143" s="6"/>
      <c r="J143" s="3"/>
      <c r="K143" s="3"/>
      <c r="L143" s="42"/>
      <c r="M143" s="3"/>
      <c r="N143" s="3"/>
      <c r="O143" s="3"/>
      <c r="P143" s="3"/>
      <c r="Q143" s="3"/>
      <c r="R143" s="6"/>
      <c r="S143" s="6"/>
      <c r="T143" s="6"/>
      <c r="U143" s="6"/>
      <c r="V143" s="6"/>
      <c r="W143" s="51"/>
      <c r="X143" s="3"/>
      <c r="Y143" s="47"/>
      <c r="Z143" s="48" t="str">
        <f t="shared" si="5"/>
        <v/>
      </c>
      <c r="AA143" s="3"/>
      <c r="AB143" s="3"/>
      <c r="AC143" s="49">
        <f t="shared" si="6"/>
        <v>0</v>
      </c>
      <c r="AD143" s="49">
        <f t="shared" si="7"/>
        <v>0</v>
      </c>
    </row>
    <row r="144" ht="15.0" customHeight="1">
      <c r="A144" s="6"/>
      <c r="B144" s="39"/>
      <c r="C144" s="6"/>
      <c r="D144" s="6"/>
      <c r="E144" s="6"/>
      <c r="F144" s="6"/>
      <c r="G144" s="6"/>
      <c r="H144" s="3"/>
      <c r="I144" s="6"/>
      <c r="J144" s="3"/>
      <c r="K144" s="3"/>
      <c r="L144" s="42"/>
      <c r="M144" s="3"/>
      <c r="N144" s="3"/>
      <c r="O144" s="3"/>
      <c r="P144" s="3"/>
      <c r="Q144" s="3"/>
      <c r="R144" s="6"/>
      <c r="S144" s="6"/>
      <c r="T144" s="6"/>
      <c r="U144" s="6"/>
      <c r="V144" s="6"/>
      <c r="W144" s="51"/>
      <c r="X144" s="3"/>
      <c r="Y144" s="47"/>
      <c r="Z144" s="48" t="str">
        <f t="shared" si="5"/>
        <v/>
      </c>
      <c r="AA144" s="3"/>
      <c r="AB144" s="3"/>
      <c r="AC144" s="49">
        <f t="shared" si="6"/>
        <v>0</v>
      </c>
      <c r="AD144" s="49">
        <f t="shared" si="7"/>
        <v>0</v>
      </c>
    </row>
    <row r="145" ht="15.0" customHeight="1">
      <c r="A145" s="6"/>
      <c r="B145" s="39"/>
      <c r="C145" s="6"/>
      <c r="D145" s="6"/>
      <c r="E145" s="6"/>
      <c r="F145" s="6"/>
      <c r="G145" s="6"/>
      <c r="H145" s="3"/>
      <c r="I145" s="119"/>
      <c r="J145" s="3"/>
      <c r="K145" s="3"/>
      <c r="L145" s="42"/>
      <c r="M145" s="3"/>
      <c r="N145" s="3"/>
      <c r="O145" s="3"/>
      <c r="P145" s="3"/>
      <c r="Q145" s="3"/>
      <c r="R145" s="118"/>
      <c r="S145" s="118"/>
      <c r="T145" s="119"/>
      <c r="U145" s="6"/>
      <c r="V145" s="6"/>
      <c r="W145" s="46"/>
      <c r="X145" s="3"/>
      <c r="Y145" s="47"/>
      <c r="Z145" s="48" t="str">
        <f t="shared" si="5"/>
        <v/>
      </c>
      <c r="AA145" s="6"/>
      <c r="AB145" s="6"/>
      <c r="AC145" s="49">
        <f t="shared" si="6"/>
        <v>0</v>
      </c>
      <c r="AD145" s="49">
        <f t="shared" si="7"/>
        <v>0</v>
      </c>
    </row>
    <row r="146" ht="15.0" customHeight="1">
      <c r="A146" s="6"/>
      <c r="B146" s="39"/>
      <c r="C146" s="6"/>
      <c r="D146" s="6"/>
      <c r="E146" s="6"/>
      <c r="F146" s="6"/>
      <c r="G146" s="6"/>
      <c r="H146" s="3"/>
      <c r="I146" s="119"/>
      <c r="J146" s="3"/>
      <c r="K146" s="3"/>
      <c r="L146" s="42"/>
      <c r="M146" s="3"/>
      <c r="N146" s="3"/>
      <c r="O146" s="3"/>
      <c r="P146" s="3"/>
      <c r="Q146" s="3"/>
      <c r="R146" s="118"/>
      <c r="S146" s="118"/>
      <c r="T146" s="119"/>
      <c r="U146" s="3"/>
      <c r="V146" s="6"/>
      <c r="W146" s="46"/>
      <c r="X146" s="3"/>
      <c r="Y146" s="47"/>
      <c r="Z146" s="48" t="str">
        <f t="shared" si="5"/>
        <v/>
      </c>
      <c r="AA146" s="6"/>
      <c r="AB146" s="6"/>
      <c r="AC146" s="49">
        <f t="shared" si="6"/>
        <v>0</v>
      </c>
      <c r="AD146" s="49">
        <f t="shared" si="7"/>
        <v>0</v>
      </c>
    </row>
    <row r="147" ht="15.0" customHeight="1">
      <c r="A147" s="6"/>
      <c r="B147" s="39"/>
      <c r="C147" s="6"/>
      <c r="D147" s="6"/>
      <c r="E147" s="6"/>
      <c r="F147" s="6"/>
      <c r="G147" s="6"/>
      <c r="H147" s="3"/>
      <c r="I147" s="119"/>
      <c r="J147" s="3"/>
      <c r="K147" s="3"/>
      <c r="L147" s="42"/>
      <c r="M147" s="3"/>
      <c r="N147" s="3"/>
      <c r="O147" s="3"/>
      <c r="P147" s="3"/>
      <c r="Q147" s="3"/>
      <c r="R147" s="118"/>
      <c r="S147" s="118"/>
      <c r="T147" s="119"/>
      <c r="U147" s="3"/>
      <c r="V147" s="6"/>
      <c r="W147" s="46"/>
      <c r="X147" s="3"/>
      <c r="Y147" s="47"/>
      <c r="Z147" s="48" t="str">
        <f t="shared" si="5"/>
        <v/>
      </c>
      <c r="AA147" s="6"/>
      <c r="AB147" s="6"/>
      <c r="AC147" s="49">
        <f t="shared" si="6"/>
        <v>0</v>
      </c>
      <c r="AD147" s="49">
        <f t="shared" si="7"/>
        <v>0</v>
      </c>
    </row>
    <row r="148" ht="15.0" customHeight="1">
      <c r="A148" s="6"/>
      <c r="B148" s="39"/>
      <c r="C148" s="6"/>
      <c r="D148" s="6"/>
      <c r="E148" s="6"/>
      <c r="F148" s="6"/>
      <c r="G148" s="6"/>
      <c r="H148" s="3"/>
      <c r="I148" s="6"/>
      <c r="J148" s="3"/>
      <c r="K148" s="3"/>
      <c r="L148" s="42"/>
      <c r="M148" s="3"/>
      <c r="N148" s="3"/>
      <c r="O148" s="3"/>
      <c r="P148" s="3"/>
      <c r="Q148" s="3"/>
      <c r="R148" s="6"/>
      <c r="S148" s="6"/>
      <c r="T148" s="6"/>
      <c r="U148" s="6"/>
      <c r="V148" s="6"/>
      <c r="W148" s="46"/>
      <c r="X148" s="3"/>
      <c r="Y148" s="47"/>
      <c r="Z148" s="48" t="str">
        <f t="shared" si="5"/>
        <v/>
      </c>
      <c r="AA148" s="6"/>
      <c r="AB148" s="6"/>
      <c r="AC148" s="49">
        <f t="shared" si="6"/>
        <v>0</v>
      </c>
      <c r="AD148" s="49">
        <f t="shared" si="7"/>
        <v>0</v>
      </c>
    </row>
    <row r="149" ht="15.0" customHeight="1">
      <c r="A149" s="6"/>
      <c r="B149" s="39"/>
      <c r="C149" s="6"/>
      <c r="D149" s="6"/>
      <c r="E149" s="6"/>
      <c r="F149" s="6"/>
      <c r="G149" s="6"/>
      <c r="H149" s="3"/>
      <c r="I149" s="6"/>
      <c r="J149" s="3"/>
      <c r="K149" s="3"/>
      <c r="L149" s="42"/>
      <c r="M149" s="3"/>
      <c r="N149" s="3"/>
      <c r="O149" s="3"/>
      <c r="P149" s="3"/>
      <c r="Q149" s="3"/>
      <c r="R149" s="6"/>
      <c r="S149" s="6"/>
      <c r="T149" s="6"/>
      <c r="U149" s="3"/>
      <c r="V149" s="6"/>
      <c r="W149" s="46"/>
      <c r="X149" s="3"/>
      <c r="Y149" s="47"/>
      <c r="Z149" s="48" t="str">
        <f t="shared" si="5"/>
        <v/>
      </c>
      <c r="AA149" s="6"/>
      <c r="AB149" s="6"/>
      <c r="AC149" s="49">
        <f t="shared" si="6"/>
        <v>0</v>
      </c>
      <c r="AD149" s="49">
        <f t="shared" si="7"/>
        <v>0</v>
      </c>
      <c r="AE149" s="19"/>
    </row>
    <row r="150" ht="15.0" customHeight="1">
      <c r="A150" s="6"/>
      <c r="B150" s="39"/>
      <c r="C150" s="6"/>
      <c r="D150" s="6"/>
      <c r="E150" s="6"/>
      <c r="F150" s="6"/>
      <c r="G150" s="6"/>
      <c r="H150" s="3"/>
      <c r="I150" s="6"/>
      <c r="J150" s="3"/>
      <c r="K150" s="3"/>
      <c r="L150" s="42"/>
      <c r="M150" s="3"/>
      <c r="N150" s="3"/>
      <c r="O150" s="3"/>
      <c r="P150" s="3"/>
      <c r="Q150" s="3"/>
      <c r="R150" s="6"/>
      <c r="S150" s="6"/>
      <c r="T150" s="6"/>
      <c r="U150" s="6"/>
      <c r="V150" s="6"/>
      <c r="W150" s="51"/>
      <c r="X150" s="3"/>
      <c r="Y150" s="47"/>
      <c r="Z150" s="48" t="str">
        <f t="shared" si="5"/>
        <v/>
      </c>
      <c r="AA150" s="3"/>
      <c r="AB150" s="3"/>
      <c r="AC150" s="49">
        <f t="shared" si="6"/>
        <v>0</v>
      </c>
      <c r="AD150" s="49">
        <f t="shared" si="7"/>
        <v>0</v>
      </c>
    </row>
    <row r="151" ht="15.0" customHeight="1">
      <c r="A151" s="118"/>
      <c r="B151" s="39"/>
      <c r="C151" s="119"/>
      <c r="D151" s="119"/>
      <c r="E151" s="119"/>
      <c r="F151" s="119"/>
      <c r="G151" s="120"/>
      <c r="H151" s="64"/>
      <c r="I151" s="120"/>
      <c r="J151" s="64"/>
      <c r="K151" s="121"/>
      <c r="L151" s="42"/>
      <c r="M151" s="120"/>
      <c r="N151" s="64"/>
      <c r="O151" s="121"/>
      <c r="P151" s="121"/>
      <c r="Q151" s="121"/>
      <c r="R151" s="118"/>
      <c r="S151" s="118"/>
      <c r="T151" s="119"/>
      <c r="U151" s="3"/>
      <c r="V151" s="6"/>
      <c r="W151" s="46"/>
      <c r="X151" s="3"/>
      <c r="Y151" s="47"/>
      <c r="Z151" s="48" t="str">
        <f t="shared" si="5"/>
        <v/>
      </c>
      <c r="AA151" s="3"/>
      <c r="AB151" s="6"/>
      <c r="AC151" s="49">
        <f t="shared" si="6"/>
        <v>0</v>
      </c>
      <c r="AD151" s="49">
        <f t="shared" si="7"/>
        <v>0</v>
      </c>
    </row>
    <row r="152" ht="15.0" customHeight="1">
      <c r="A152" s="6"/>
      <c r="B152" s="39"/>
      <c r="C152" s="6"/>
      <c r="D152" s="6"/>
      <c r="E152" s="6"/>
      <c r="F152" s="6"/>
      <c r="G152" s="6"/>
      <c r="H152" s="3"/>
      <c r="I152" s="6"/>
      <c r="J152" s="3"/>
      <c r="K152" s="3"/>
      <c r="L152" s="134"/>
      <c r="M152" s="3"/>
      <c r="N152" s="3"/>
      <c r="O152" s="3"/>
      <c r="P152" s="3"/>
      <c r="Q152" s="3"/>
      <c r="R152" s="6"/>
      <c r="S152" s="6"/>
      <c r="T152" s="6"/>
      <c r="U152" s="3"/>
      <c r="V152" s="6"/>
      <c r="W152" s="46"/>
      <c r="X152" s="3"/>
      <c r="Y152" s="47"/>
      <c r="Z152" s="48" t="str">
        <f t="shared" si="5"/>
        <v/>
      </c>
      <c r="AA152" s="6"/>
      <c r="AB152" s="6"/>
      <c r="AC152" s="49">
        <f t="shared" si="6"/>
        <v>0</v>
      </c>
      <c r="AD152" s="49">
        <f t="shared" si="7"/>
        <v>0</v>
      </c>
    </row>
    <row r="153" ht="15.0" customHeight="1">
      <c r="A153" s="6"/>
      <c r="B153" s="39"/>
      <c r="C153" s="6"/>
      <c r="D153" s="6"/>
      <c r="E153" s="6"/>
      <c r="F153" s="6"/>
      <c r="G153" s="6"/>
      <c r="H153" s="3"/>
      <c r="I153" s="6"/>
      <c r="J153" s="3"/>
      <c r="K153" s="3"/>
      <c r="L153" s="42"/>
      <c r="M153" s="3"/>
      <c r="N153" s="3"/>
      <c r="O153" s="3"/>
      <c r="P153" s="3"/>
      <c r="Q153" s="3"/>
      <c r="R153" s="6"/>
      <c r="S153" s="6"/>
      <c r="T153" s="6"/>
      <c r="U153" s="6"/>
      <c r="V153" s="3"/>
      <c r="W153" s="51"/>
      <c r="X153" s="3"/>
      <c r="Y153" s="47"/>
      <c r="Z153" s="48" t="str">
        <f t="shared" si="5"/>
        <v/>
      </c>
      <c r="AA153" s="3"/>
      <c r="AB153" s="3"/>
      <c r="AC153" s="49">
        <f t="shared" si="6"/>
        <v>0</v>
      </c>
      <c r="AD153" s="49">
        <f t="shared" si="7"/>
        <v>0</v>
      </c>
    </row>
    <row r="154" ht="15.0" customHeight="1">
      <c r="A154" s="6"/>
      <c r="B154" s="39"/>
      <c r="C154" s="6"/>
      <c r="D154" s="6"/>
      <c r="E154" s="6"/>
      <c r="F154" s="6"/>
      <c r="G154" s="6"/>
      <c r="H154" s="3"/>
      <c r="I154" s="6"/>
      <c r="J154" s="3"/>
      <c r="K154" s="3"/>
      <c r="L154" s="134"/>
      <c r="M154" s="3"/>
      <c r="N154" s="3"/>
      <c r="O154" s="3"/>
      <c r="P154" s="3"/>
      <c r="Q154" s="3"/>
      <c r="R154" s="6"/>
      <c r="S154" s="6"/>
      <c r="T154" s="6"/>
      <c r="U154" s="3"/>
      <c r="V154" s="3"/>
      <c r="W154" s="51"/>
      <c r="X154" s="3"/>
      <c r="Y154" s="47"/>
      <c r="Z154" s="48" t="str">
        <f t="shared" si="5"/>
        <v/>
      </c>
      <c r="AA154" s="3"/>
      <c r="AB154" s="6"/>
      <c r="AC154" s="49">
        <f t="shared" si="6"/>
        <v>0</v>
      </c>
      <c r="AD154" s="49">
        <f t="shared" si="7"/>
        <v>0</v>
      </c>
    </row>
    <row r="155" ht="15.0" customHeight="1">
      <c r="A155" s="6"/>
      <c r="B155" s="39"/>
      <c r="C155" s="6"/>
      <c r="D155" s="6"/>
      <c r="E155" s="6"/>
      <c r="F155" s="6"/>
      <c r="G155" s="6"/>
      <c r="H155" s="3"/>
      <c r="I155" s="6"/>
      <c r="J155" s="3"/>
      <c r="K155" s="3"/>
      <c r="L155" s="134"/>
      <c r="M155" s="3"/>
      <c r="N155" s="3"/>
      <c r="O155" s="3"/>
      <c r="P155" s="3"/>
      <c r="Q155" s="3"/>
      <c r="R155" s="6"/>
      <c r="S155" s="6"/>
      <c r="T155" s="6"/>
      <c r="U155" s="6"/>
      <c r="V155" s="6"/>
      <c r="W155" s="46"/>
      <c r="X155" s="3"/>
      <c r="Y155" s="47"/>
      <c r="Z155" s="48" t="str">
        <f t="shared" si="5"/>
        <v/>
      </c>
      <c r="AA155" s="6"/>
      <c r="AB155" s="6"/>
      <c r="AC155" s="49">
        <f t="shared" si="6"/>
        <v>0</v>
      </c>
      <c r="AD155" s="49">
        <f t="shared" si="7"/>
        <v>0</v>
      </c>
    </row>
    <row r="156" ht="15.0" customHeight="1">
      <c r="A156" s="6"/>
      <c r="B156" s="39"/>
      <c r="C156" s="6"/>
      <c r="D156" s="6"/>
      <c r="E156" s="6"/>
      <c r="F156" s="6"/>
      <c r="G156" s="6"/>
      <c r="H156" s="3"/>
      <c r="I156" s="6"/>
      <c r="J156" s="3"/>
      <c r="K156" s="3"/>
      <c r="L156" s="134"/>
      <c r="M156" s="3"/>
      <c r="N156" s="3"/>
      <c r="O156" s="3"/>
      <c r="P156" s="3"/>
      <c r="Q156" s="3"/>
      <c r="R156" s="6"/>
      <c r="S156" s="6"/>
      <c r="T156" s="6"/>
      <c r="U156" s="6"/>
      <c r="V156" s="6"/>
      <c r="W156" s="51"/>
      <c r="X156" s="3"/>
      <c r="Y156" s="47"/>
      <c r="Z156" s="48" t="str">
        <f t="shared" si="5"/>
        <v/>
      </c>
      <c r="AA156" s="3"/>
      <c r="AB156" s="3"/>
      <c r="AC156" s="49">
        <f t="shared" si="6"/>
        <v>0</v>
      </c>
      <c r="AD156" s="49">
        <f t="shared" si="7"/>
        <v>0</v>
      </c>
    </row>
    <row r="157" ht="15.0" customHeight="1">
      <c r="A157" s="6"/>
      <c r="B157" s="39"/>
      <c r="C157" s="6"/>
      <c r="D157" s="6"/>
      <c r="E157" s="6"/>
      <c r="F157" s="6"/>
      <c r="G157" s="6"/>
      <c r="I157" s="6"/>
      <c r="J157" s="3"/>
      <c r="K157" s="3"/>
      <c r="L157" s="134"/>
      <c r="M157" s="3"/>
      <c r="N157" s="3"/>
      <c r="O157" s="3"/>
      <c r="P157" s="3"/>
      <c r="Q157" s="3"/>
      <c r="R157" s="6"/>
      <c r="S157" s="6"/>
      <c r="T157" s="6"/>
      <c r="U157" s="6"/>
      <c r="V157" s="6"/>
      <c r="W157" s="51"/>
      <c r="X157" s="3"/>
      <c r="Y157" s="47"/>
      <c r="Z157" s="48" t="str">
        <f t="shared" si="5"/>
        <v/>
      </c>
      <c r="AA157" s="3"/>
      <c r="AB157" s="3"/>
      <c r="AC157" s="49">
        <f t="shared" si="6"/>
        <v>0</v>
      </c>
      <c r="AD157" s="49">
        <f t="shared" si="7"/>
        <v>0</v>
      </c>
    </row>
    <row r="158" ht="15.0" customHeight="1">
      <c r="A158" s="6"/>
      <c r="B158" s="39"/>
      <c r="C158" s="6"/>
      <c r="D158" s="6"/>
      <c r="E158" s="6"/>
      <c r="F158" s="6"/>
      <c r="G158" s="6"/>
      <c r="H158" s="3"/>
      <c r="I158" s="6"/>
      <c r="J158" s="3"/>
      <c r="K158" s="3"/>
      <c r="L158" s="134"/>
      <c r="M158" s="3"/>
      <c r="N158" s="3"/>
      <c r="O158" s="3"/>
      <c r="P158" s="3"/>
      <c r="Q158" s="3"/>
      <c r="R158" s="6"/>
      <c r="S158" s="6"/>
      <c r="T158" s="6"/>
      <c r="U158" s="3"/>
      <c r="V158" s="6"/>
      <c r="W158" s="46"/>
      <c r="X158" s="3"/>
      <c r="Y158" s="47"/>
      <c r="Z158" s="48" t="str">
        <f t="shared" si="5"/>
        <v/>
      </c>
      <c r="AA158" s="6"/>
      <c r="AB158" s="6"/>
      <c r="AC158" s="49">
        <f t="shared" si="6"/>
        <v>0</v>
      </c>
      <c r="AD158" s="49">
        <f t="shared" si="7"/>
        <v>0</v>
      </c>
    </row>
    <row r="159" ht="15.0" customHeight="1">
      <c r="A159" s="6"/>
      <c r="B159" s="39"/>
      <c r="C159" s="6"/>
      <c r="D159" s="6"/>
      <c r="E159" s="6"/>
      <c r="F159" s="6"/>
      <c r="G159" s="6"/>
      <c r="I159" s="6"/>
      <c r="J159" s="3"/>
      <c r="K159" s="3"/>
      <c r="L159" s="134"/>
      <c r="M159" s="3"/>
      <c r="N159" s="3"/>
      <c r="O159" s="3"/>
      <c r="P159" s="3"/>
      <c r="Q159" s="3"/>
      <c r="R159" s="6"/>
      <c r="S159" s="6"/>
      <c r="T159" s="6"/>
      <c r="U159" s="3"/>
      <c r="V159" s="6"/>
      <c r="W159" s="46"/>
      <c r="X159" s="3"/>
      <c r="Y159" s="47"/>
      <c r="Z159" s="48" t="str">
        <f t="shared" si="5"/>
        <v/>
      </c>
      <c r="AA159" s="6"/>
      <c r="AB159" s="6"/>
      <c r="AC159" s="49">
        <f t="shared" si="6"/>
        <v>0</v>
      </c>
      <c r="AD159" s="49">
        <f t="shared" si="7"/>
        <v>0</v>
      </c>
    </row>
    <row r="160" ht="15.0" customHeight="1">
      <c r="A160" s="6"/>
      <c r="B160" s="39"/>
      <c r="C160" s="6"/>
      <c r="D160" s="6"/>
      <c r="E160" s="6"/>
      <c r="F160" s="6"/>
      <c r="G160" s="6"/>
      <c r="I160" s="6"/>
      <c r="J160" s="3"/>
      <c r="K160" s="3"/>
      <c r="L160" s="134"/>
      <c r="M160" s="3"/>
      <c r="N160" s="3"/>
      <c r="O160" s="3"/>
      <c r="P160" s="3"/>
      <c r="Q160" s="3"/>
      <c r="R160" s="6"/>
      <c r="S160" s="6"/>
      <c r="T160" s="6"/>
      <c r="U160" s="6"/>
      <c r="V160" s="6"/>
      <c r="W160" s="51"/>
      <c r="X160" s="3"/>
      <c r="Y160" s="47"/>
      <c r="Z160" s="48" t="str">
        <f t="shared" si="5"/>
        <v/>
      </c>
      <c r="AA160" s="3"/>
      <c r="AB160" s="3"/>
      <c r="AC160" s="49">
        <f t="shared" si="6"/>
        <v>0</v>
      </c>
      <c r="AD160" s="49">
        <f t="shared" si="7"/>
        <v>0</v>
      </c>
    </row>
    <row r="161" ht="15.0" customHeight="1">
      <c r="A161" s="6"/>
      <c r="B161" s="39"/>
      <c r="C161" s="6"/>
      <c r="D161" s="6"/>
      <c r="E161" s="6"/>
      <c r="F161" s="6"/>
      <c r="G161" s="6"/>
      <c r="I161" s="6"/>
      <c r="L161" s="134"/>
      <c r="M161" s="3"/>
      <c r="N161" s="3"/>
      <c r="O161" s="3"/>
      <c r="P161" s="3"/>
      <c r="Q161" s="3"/>
      <c r="R161" s="6"/>
      <c r="S161" s="6"/>
      <c r="T161" s="6"/>
      <c r="U161" s="3"/>
      <c r="V161" s="6"/>
      <c r="W161" s="46"/>
      <c r="X161" s="3"/>
      <c r="Y161" s="47"/>
      <c r="Z161" s="48" t="str">
        <f t="shared" si="5"/>
        <v/>
      </c>
      <c r="AA161" s="6"/>
      <c r="AB161" s="6"/>
      <c r="AC161" s="49">
        <f t="shared" si="6"/>
        <v>0</v>
      </c>
      <c r="AD161" s="49">
        <f t="shared" si="7"/>
        <v>0</v>
      </c>
    </row>
    <row r="162" ht="15.0" customHeight="1">
      <c r="A162" s="6"/>
      <c r="B162" s="39"/>
      <c r="C162" s="6"/>
      <c r="D162" s="6"/>
      <c r="E162" s="6"/>
      <c r="F162" s="6"/>
      <c r="G162" s="6"/>
      <c r="H162" s="3"/>
      <c r="I162" s="6"/>
      <c r="J162" s="3"/>
      <c r="K162" s="3"/>
      <c r="L162" s="134"/>
      <c r="M162" s="3"/>
      <c r="N162" s="3"/>
      <c r="O162" s="3"/>
      <c r="P162" s="3"/>
      <c r="Q162" s="3"/>
      <c r="R162" s="6"/>
      <c r="S162" s="6"/>
      <c r="T162" s="6"/>
      <c r="U162" s="3"/>
      <c r="V162" s="6"/>
      <c r="W162" s="46"/>
      <c r="X162" s="3"/>
      <c r="Y162" s="47"/>
      <c r="Z162" s="48" t="str">
        <f t="shared" si="5"/>
        <v/>
      </c>
      <c r="AA162" s="6"/>
      <c r="AB162" s="6"/>
      <c r="AC162" s="49">
        <f t="shared" si="6"/>
        <v>0</v>
      </c>
      <c r="AD162" s="49">
        <f t="shared" si="7"/>
        <v>0</v>
      </c>
    </row>
    <row r="163" ht="15.0" customHeight="1">
      <c r="A163" s="6"/>
      <c r="B163" s="39"/>
      <c r="C163" s="6"/>
      <c r="D163" s="6"/>
      <c r="E163" s="6"/>
      <c r="F163" s="6"/>
      <c r="G163" s="6"/>
      <c r="H163" s="3"/>
      <c r="I163" s="6"/>
      <c r="J163" s="3"/>
      <c r="K163" s="3"/>
      <c r="L163" s="134"/>
      <c r="M163" s="3"/>
      <c r="N163" s="3"/>
      <c r="O163" s="3"/>
      <c r="P163" s="3"/>
      <c r="Q163" s="3"/>
      <c r="R163" s="6"/>
      <c r="S163" s="6"/>
      <c r="T163" s="6"/>
      <c r="U163" s="3"/>
      <c r="V163" s="3"/>
      <c r="W163" s="51"/>
      <c r="X163" s="3"/>
      <c r="Y163" s="47"/>
      <c r="Z163" s="48" t="str">
        <f t="shared" si="5"/>
        <v/>
      </c>
      <c r="AA163" s="3"/>
      <c r="AB163" s="3"/>
      <c r="AC163" s="49">
        <f t="shared" si="6"/>
        <v>0</v>
      </c>
      <c r="AD163" s="49">
        <f t="shared" si="7"/>
        <v>0</v>
      </c>
    </row>
    <row r="164" ht="15.0" customHeight="1">
      <c r="A164" s="6"/>
      <c r="B164" s="39"/>
      <c r="C164" s="6"/>
      <c r="D164" s="6"/>
      <c r="E164" s="6"/>
      <c r="F164" s="6"/>
      <c r="G164" s="6"/>
      <c r="H164" s="3"/>
      <c r="I164" s="6"/>
      <c r="J164" s="3"/>
      <c r="K164" s="3"/>
      <c r="L164" s="134"/>
      <c r="M164" s="3"/>
      <c r="N164" s="3"/>
      <c r="O164" s="3"/>
      <c r="P164" s="3"/>
      <c r="Q164" s="3"/>
      <c r="R164" s="6"/>
      <c r="S164" s="6"/>
      <c r="T164" s="6"/>
      <c r="U164" s="3"/>
      <c r="V164" s="3"/>
      <c r="W164" s="51"/>
      <c r="X164" s="3"/>
      <c r="Y164" s="47"/>
      <c r="Z164" s="48" t="str">
        <f t="shared" si="5"/>
        <v/>
      </c>
      <c r="AA164" s="3"/>
      <c r="AB164" s="3"/>
      <c r="AC164" s="49">
        <f t="shared" si="6"/>
        <v>0</v>
      </c>
      <c r="AD164" s="49">
        <f t="shared" si="7"/>
        <v>0</v>
      </c>
    </row>
    <row r="165" ht="15.0" customHeight="1">
      <c r="A165" s="6"/>
      <c r="B165" s="39"/>
      <c r="C165" s="6"/>
      <c r="D165" s="6"/>
      <c r="E165" s="6"/>
      <c r="F165" s="6"/>
      <c r="G165" s="6"/>
      <c r="H165" s="3"/>
      <c r="I165" s="6"/>
      <c r="J165" s="3"/>
      <c r="K165" s="3"/>
      <c r="L165" s="134"/>
      <c r="M165" s="3"/>
      <c r="N165" s="3"/>
      <c r="O165" s="3"/>
      <c r="P165" s="3"/>
      <c r="Q165" s="3"/>
      <c r="R165" s="6"/>
      <c r="S165" s="6"/>
      <c r="T165" s="6"/>
      <c r="U165" s="3"/>
      <c r="V165" s="6"/>
      <c r="W165" s="46"/>
      <c r="X165" s="3"/>
      <c r="Y165" s="47"/>
      <c r="Z165" s="48" t="str">
        <f t="shared" si="5"/>
        <v/>
      </c>
      <c r="AA165" s="6"/>
      <c r="AB165" s="6"/>
      <c r="AC165" s="147">
        <f t="shared" si="6"/>
        <v>0</v>
      </c>
      <c r="AD165" s="147">
        <f t="shared" si="7"/>
        <v>0</v>
      </c>
    </row>
    <row r="166" ht="15.0" customHeight="1">
      <c r="A166" s="6"/>
      <c r="B166" s="39"/>
      <c r="C166" s="6"/>
      <c r="D166" s="6"/>
      <c r="E166" s="6"/>
      <c r="F166" s="6"/>
      <c r="G166" s="6"/>
      <c r="H166" s="3"/>
      <c r="I166" s="6"/>
      <c r="J166" s="3"/>
      <c r="K166" s="3"/>
      <c r="L166" s="134"/>
      <c r="M166" s="3"/>
      <c r="N166" s="3"/>
      <c r="O166" s="3"/>
      <c r="P166" s="3"/>
      <c r="Q166" s="3"/>
      <c r="R166" s="6"/>
      <c r="S166" s="6"/>
      <c r="T166" s="6"/>
      <c r="U166" s="3"/>
      <c r="V166" s="6"/>
      <c r="W166" s="46"/>
      <c r="X166" s="3"/>
      <c r="Y166" s="47"/>
      <c r="Z166" s="48" t="str">
        <f t="shared" si="5"/>
        <v/>
      </c>
      <c r="AA166" s="6"/>
      <c r="AB166" s="6"/>
      <c r="AC166" s="49">
        <f t="shared" si="6"/>
        <v>0</v>
      </c>
      <c r="AD166" s="49">
        <f t="shared" si="7"/>
        <v>0</v>
      </c>
    </row>
    <row r="167" ht="15.0" customHeight="1">
      <c r="A167" s="6"/>
      <c r="B167" s="39"/>
      <c r="C167" s="6"/>
      <c r="D167" s="6"/>
      <c r="E167" s="6"/>
      <c r="F167" s="6"/>
      <c r="G167" s="6"/>
      <c r="H167" s="3"/>
      <c r="I167" s="6"/>
      <c r="J167" s="3"/>
      <c r="K167" s="3"/>
      <c r="L167" s="134"/>
      <c r="M167" s="3"/>
      <c r="N167" s="3"/>
      <c r="O167" s="3"/>
      <c r="P167" s="3"/>
      <c r="Q167" s="3"/>
      <c r="R167" s="6"/>
      <c r="S167" s="6"/>
      <c r="T167" s="6"/>
      <c r="U167" s="6"/>
      <c r="V167" s="6"/>
      <c r="W167" s="51"/>
      <c r="X167" s="3"/>
      <c r="Y167" s="47"/>
      <c r="Z167" s="48" t="str">
        <f t="shared" si="5"/>
        <v/>
      </c>
      <c r="AA167" s="3"/>
      <c r="AB167" s="3"/>
      <c r="AC167" s="49">
        <f t="shared" si="6"/>
        <v>0</v>
      </c>
      <c r="AD167" s="49">
        <f t="shared" si="7"/>
        <v>0</v>
      </c>
    </row>
    <row r="168" ht="15.0" customHeight="1">
      <c r="A168" s="6"/>
      <c r="B168" s="39"/>
      <c r="C168" s="6"/>
      <c r="D168" s="6"/>
      <c r="E168" s="6"/>
      <c r="F168" s="6"/>
      <c r="G168" s="6"/>
      <c r="H168" s="3"/>
      <c r="I168" s="6"/>
      <c r="J168" s="3"/>
      <c r="K168" s="3"/>
      <c r="L168" s="134"/>
      <c r="M168" s="3"/>
      <c r="N168" s="3"/>
      <c r="O168" s="3"/>
      <c r="P168" s="3"/>
      <c r="Q168" s="3"/>
      <c r="R168" s="6"/>
      <c r="S168" s="6"/>
      <c r="T168" s="6"/>
      <c r="U168" s="3"/>
      <c r="V168" s="6"/>
      <c r="W168" s="46"/>
      <c r="X168" s="3"/>
      <c r="Y168" s="47"/>
      <c r="Z168" s="48" t="str">
        <f t="shared" si="5"/>
        <v/>
      </c>
      <c r="AA168" s="6"/>
      <c r="AB168" s="6"/>
      <c r="AC168" s="49">
        <f t="shared" si="6"/>
        <v>0</v>
      </c>
      <c r="AD168" s="49">
        <f t="shared" si="7"/>
        <v>0</v>
      </c>
    </row>
    <row r="169" ht="15.0" customHeight="1">
      <c r="A169" s="6"/>
      <c r="B169" s="39"/>
      <c r="C169" s="6"/>
      <c r="D169" s="6"/>
      <c r="E169" s="6"/>
      <c r="F169" s="6"/>
      <c r="G169" s="6"/>
      <c r="H169" s="3"/>
      <c r="I169" s="6"/>
      <c r="J169" s="3"/>
      <c r="K169" s="3"/>
      <c r="L169" s="134"/>
      <c r="M169" s="3"/>
      <c r="N169" s="3"/>
      <c r="O169" s="3"/>
      <c r="P169" s="3"/>
      <c r="Q169" s="3"/>
      <c r="R169" s="6"/>
      <c r="S169" s="6"/>
      <c r="T169" s="6"/>
      <c r="U169" s="3"/>
      <c r="V169" s="3"/>
      <c r="W169" s="51"/>
      <c r="X169" s="3"/>
      <c r="Y169" s="47"/>
      <c r="Z169" s="48" t="str">
        <f t="shared" si="5"/>
        <v/>
      </c>
      <c r="AA169" s="3"/>
      <c r="AB169" s="3"/>
      <c r="AC169" s="49">
        <f t="shared" si="6"/>
        <v>0</v>
      </c>
      <c r="AD169" s="49">
        <f t="shared" si="7"/>
        <v>0</v>
      </c>
    </row>
    <row r="170" ht="15.0" customHeight="1">
      <c r="A170" s="6"/>
      <c r="B170" s="39"/>
      <c r="C170" s="6"/>
      <c r="D170" s="6"/>
      <c r="E170" s="6"/>
      <c r="F170" s="6"/>
      <c r="G170" s="6"/>
      <c r="H170" s="3"/>
      <c r="I170" s="6"/>
      <c r="J170" s="3"/>
      <c r="K170" s="3"/>
      <c r="L170" s="134"/>
      <c r="M170" s="3"/>
      <c r="N170" s="3"/>
      <c r="O170" s="3"/>
      <c r="P170" s="3"/>
      <c r="Q170" s="3"/>
      <c r="R170" s="6"/>
      <c r="S170" s="6"/>
      <c r="T170" s="6"/>
      <c r="U170" s="6"/>
      <c r="V170" s="3"/>
      <c r="W170" s="51"/>
      <c r="X170" s="3"/>
      <c r="Y170" s="47"/>
      <c r="Z170" s="48" t="str">
        <f t="shared" si="5"/>
        <v/>
      </c>
      <c r="AA170" s="3"/>
      <c r="AB170" s="3"/>
      <c r="AC170" s="49">
        <f t="shared" si="6"/>
        <v>0</v>
      </c>
      <c r="AD170" s="49">
        <f t="shared" si="7"/>
        <v>0</v>
      </c>
    </row>
    <row r="171" ht="15.0" customHeight="1">
      <c r="A171" s="6"/>
      <c r="B171" s="39"/>
      <c r="C171" s="6"/>
      <c r="D171" s="6"/>
      <c r="E171" s="6"/>
      <c r="F171" s="6"/>
      <c r="G171" s="6"/>
      <c r="H171" s="3"/>
      <c r="I171" s="6"/>
      <c r="J171" s="3"/>
      <c r="K171" s="3"/>
      <c r="L171" s="134"/>
      <c r="M171" s="3"/>
      <c r="N171" s="3"/>
      <c r="O171" s="3"/>
      <c r="P171" s="3"/>
      <c r="Q171" s="3"/>
      <c r="R171" s="6"/>
      <c r="S171" s="6"/>
      <c r="T171" s="6"/>
      <c r="U171" s="6"/>
      <c r="V171" s="6"/>
      <c r="W171" s="51"/>
      <c r="X171" s="3"/>
      <c r="Y171" s="47"/>
      <c r="Z171" s="48" t="str">
        <f t="shared" si="5"/>
        <v/>
      </c>
      <c r="AA171" s="6"/>
      <c r="AB171" s="6"/>
      <c r="AC171" s="49">
        <f t="shared" si="6"/>
        <v>0</v>
      </c>
      <c r="AD171" s="49">
        <f t="shared" si="7"/>
        <v>0</v>
      </c>
    </row>
    <row r="172" ht="15.0" customHeight="1">
      <c r="A172" s="6"/>
      <c r="B172" s="39"/>
      <c r="C172" s="6"/>
      <c r="D172" s="6"/>
      <c r="E172" s="6"/>
      <c r="F172" s="6"/>
      <c r="G172" s="6"/>
      <c r="H172" s="3"/>
      <c r="I172" s="6"/>
      <c r="J172" s="3"/>
      <c r="K172" s="3"/>
      <c r="L172" s="134"/>
      <c r="M172" s="3"/>
      <c r="N172" s="3"/>
      <c r="O172" s="3"/>
      <c r="P172" s="3"/>
      <c r="Q172" s="3"/>
      <c r="R172" s="6"/>
      <c r="S172" s="6"/>
      <c r="T172" s="6"/>
      <c r="U172" s="6"/>
      <c r="V172" s="6"/>
      <c r="W172" s="51"/>
      <c r="X172" s="3"/>
      <c r="Y172" s="47"/>
      <c r="Z172" s="48" t="str">
        <f t="shared" si="5"/>
        <v/>
      </c>
      <c r="AA172" s="6"/>
      <c r="AB172" s="6"/>
      <c r="AC172" s="49">
        <f t="shared" si="6"/>
        <v>0</v>
      </c>
      <c r="AD172" s="49">
        <f t="shared" si="7"/>
        <v>0</v>
      </c>
    </row>
    <row r="173" ht="15.0" customHeight="1">
      <c r="A173" s="6"/>
      <c r="B173" s="39"/>
      <c r="C173" s="6"/>
      <c r="D173" s="6"/>
      <c r="E173" s="6"/>
      <c r="F173" s="6"/>
      <c r="G173" s="6"/>
      <c r="H173" s="3"/>
      <c r="I173" s="6"/>
      <c r="J173" s="3"/>
      <c r="K173" s="3"/>
      <c r="L173" s="134"/>
      <c r="M173" s="3"/>
      <c r="N173" s="3"/>
      <c r="O173" s="3"/>
      <c r="P173" s="3"/>
      <c r="Q173" s="3"/>
      <c r="R173" s="6"/>
      <c r="S173" s="6"/>
      <c r="T173" s="6"/>
      <c r="U173" s="6"/>
      <c r="V173" s="6"/>
      <c r="W173" s="51"/>
      <c r="X173" s="3"/>
      <c r="Y173" s="47"/>
      <c r="Z173" s="48" t="str">
        <f t="shared" si="5"/>
        <v/>
      </c>
      <c r="AA173" s="3"/>
      <c r="AB173" s="3"/>
      <c r="AC173" s="49">
        <f t="shared" si="6"/>
        <v>0</v>
      </c>
      <c r="AD173" s="49">
        <f t="shared" si="7"/>
        <v>0</v>
      </c>
    </row>
    <row r="174" ht="15.0" customHeight="1">
      <c r="A174" s="6"/>
      <c r="B174" s="39"/>
      <c r="C174" s="6"/>
      <c r="D174" s="6"/>
      <c r="E174" s="6"/>
      <c r="F174" s="6"/>
      <c r="G174" s="6"/>
      <c r="H174" s="3"/>
      <c r="I174" s="6"/>
      <c r="J174" s="3"/>
      <c r="K174" s="3"/>
      <c r="L174" s="134"/>
      <c r="M174" s="3"/>
      <c r="N174" s="3"/>
      <c r="O174" s="3"/>
      <c r="P174" s="3"/>
      <c r="Q174" s="3"/>
      <c r="R174" s="6"/>
      <c r="S174" s="6"/>
      <c r="T174" s="6"/>
      <c r="U174" s="6"/>
      <c r="V174" s="6"/>
      <c r="W174" s="46"/>
      <c r="X174" s="3"/>
      <c r="Y174" s="47"/>
      <c r="Z174" s="48" t="str">
        <f t="shared" si="5"/>
        <v/>
      </c>
      <c r="AA174" s="6"/>
      <c r="AB174" s="6"/>
      <c r="AC174" s="49">
        <f t="shared" si="6"/>
        <v>0</v>
      </c>
      <c r="AD174" s="49">
        <f t="shared" si="7"/>
        <v>0</v>
      </c>
    </row>
    <row r="175">
      <c r="A175" s="6"/>
      <c r="B175" s="39"/>
      <c r="C175" s="6"/>
      <c r="D175" s="6"/>
      <c r="E175" s="6"/>
      <c r="F175" s="6"/>
      <c r="G175" s="6"/>
      <c r="H175" s="3"/>
      <c r="I175" s="6"/>
      <c r="J175" s="3"/>
      <c r="K175" s="3"/>
      <c r="L175" s="134"/>
      <c r="M175" s="3"/>
      <c r="N175" s="3"/>
      <c r="O175" s="3"/>
      <c r="P175" s="3"/>
      <c r="Q175" s="3"/>
      <c r="R175" s="6"/>
      <c r="S175" s="6"/>
      <c r="T175" s="6"/>
      <c r="U175" s="6"/>
      <c r="V175" s="6"/>
      <c r="W175" s="51"/>
      <c r="X175" s="3"/>
      <c r="Y175" s="47"/>
      <c r="Z175" s="48" t="str">
        <f t="shared" si="5"/>
        <v/>
      </c>
      <c r="AA175" s="3"/>
      <c r="AB175" s="3"/>
      <c r="AC175" s="49">
        <f t="shared" si="6"/>
        <v>0</v>
      </c>
      <c r="AD175" s="49">
        <f t="shared" si="7"/>
        <v>0</v>
      </c>
    </row>
    <row r="176">
      <c r="A176" s="6"/>
      <c r="B176" s="39"/>
      <c r="C176" s="6"/>
      <c r="D176" s="6"/>
      <c r="E176" s="6"/>
      <c r="F176" s="6"/>
      <c r="G176" s="6"/>
      <c r="H176" s="3"/>
      <c r="I176" s="6"/>
      <c r="J176" s="3"/>
      <c r="K176" s="3"/>
      <c r="L176" s="134"/>
      <c r="M176" s="3"/>
      <c r="N176" s="3"/>
      <c r="O176" s="3"/>
      <c r="P176" s="3"/>
      <c r="Q176" s="3"/>
      <c r="R176" s="6"/>
      <c r="S176" s="6"/>
      <c r="T176" s="6"/>
      <c r="U176" s="3"/>
      <c r="V176" s="6"/>
      <c r="W176" s="46"/>
      <c r="X176" s="3"/>
      <c r="Y176" s="47"/>
      <c r="Z176" s="48" t="str">
        <f t="shared" si="5"/>
        <v/>
      </c>
      <c r="AA176" s="6"/>
      <c r="AB176" s="6"/>
      <c r="AC176" s="49">
        <f t="shared" si="6"/>
        <v>0</v>
      </c>
      <c r="AD176" s="49">
        <f t="shared" si="7"/>
        <v>0</v>
      </c>
    </row>
    <row r="177">
      <c r="A177" s="6"/>
      <c r="B177" s="39"/>
      <c r="C177" s="6"/>
      <c r="D177" s="6"/>
      <c r="E177" s="6"/>
      <c r="F177" s="6"/>
      <c r="G177" s="6"/>
      <c r="H177" s="3"/>
      <c r="I177" s="6"/>
      <c r="J177" s="3"/>
      <c r="K177" s="3"/>
      <c r="L177" s="134"/>
      <c r="M177" s="3"/>
      <c r="N177" s="3"/>
      <c r="O177" s="3"/>
      <c r="P177" s="3"/>
      <c r="Q177" s="3"/>
      <c r="R177" s="6"/>
      <c r="S177" s="6"/>
      <c r="T177" s="6"/>
      <c r="U177" s="6"/>
      <c r="V177" s="6"/>
      <c r="W177" s="51"/>
      <c r="X177" s="3"/>
      <c r="Y177" s="47"/>
      <c r="Z177" s="48" t="str">
        <f t="shared" si="5"/>
        <v/>
      </c>
      <c r="AA177" s="3"/>
      <c r="AB177" s="3"/>
      <c r="AC177" s="49">
        <f t="shared" si="6"/>
        <v>0</v>
      </c>
      <c r="AD177" s="49">
        <f t="shared" si="7"/>
        <v>0</v>
      </c>
    </row>
    <row r="178">
      <c r="A178" s="6"/>
      <c r="B178" s="39"/>
      <c r="C178" s="6"/>
      <c r="D178" s="6"/>
      <c r="E178" s="6"/>
      <c r="F178" s="6"/>
      <c r="G178" s="6"/>
      <c r="H178" s="3"/>
      <c r="I178" s="6"/>
      <c r="J178" s="3"/>
      <c r="K178" s="3"/>
      <c r="L178" s="134"/>
      <c r="M178" s="3"/>
      <c r="N178" s="3"/>
      <c r="O178" s="3"/>
      <c r="P178" s="3"/>
      <c r="Q178" s="3"/>
      <c r="R178" s="6"/>
      <c r="S178" s="6"/>
      <c r="T178" s="6"/>
      <c r="U178" s="6"/>
      <c r="V178" s="6"/>
      <c r="W178" s="51"/>
      <c r="X178" s="3"/>
      <c r="Y178" s="47"/>
      <c r="Z178" s="48" t="str">
        <f t="shared" si="5"/>
        <v/>
      </c>
      <c r="AA178" s="6"/>
      <c r="AB178" s="6"/>
      <c r="AC178" s="49">
        <f t="shared" si="6"/>
        <v>0</v>
      </c>
      <c r="AD178" s="49">
        <f t="shared" si="7"/>
        <v>0</v>
      </c>
    </row>
    <row r="179">
      <c r="A179" s="6"/>
      <c r="B179" s="39"/>
      <c r="C179" s="6"/>
      <c r="D179" s="6"/>
      <c r="E179" s="6"/>
      <c r="F179" s="6"/>
      <c r="G179" s="6"/>
      <c r="H179" s="3"/>
      <c r="I179" s="6"/>
      <c r="J179" s="3"/>
      <c r="K179" s="3"/>
      <c r="L179" s="134"/>
      <c r="M179" s="3"/>
      <c r="N179" s="3"/>
      <c r="O179" s="3"/>
      <c r="P179" s="3"/>
      <c r="Q179" s="3"/>
      <c r="R179" s="6"/>
      <c r="S179" s="6"/>
      <c r="T179" s="6"/>
      <c r="U179" s="6"/>
      <c r="V179" s="6"/>
      <c r="W179" s="51"/>
      <c r="X179" s="3"/>
      <c r="Y179" s="47"/>
      <c r="Z179" s="48" t="str">
        <f t="shared" si="5"/>
        <v/>
      </c>
      <c r="AA179" s="6"/>
      <c r="AB179" s="6"/>
      <c r="AC179" s="49">
        <f t="shared" si="6"/>
        <v>0</v>
      </c>
      <c r="AD179" s="49">
        <f t="shared" si="7"/>
        <v>0</v>
      </c>
    </row>
    <row r="180">
      <c r="A180" s="6"/>
      <c r="B180" s="39"/>
      <c r="C180" s="6"/>
      <c r="D180" s="6"/>
      <c r="E180" s="6"/>
      <c r="F180" s="6"/>
      <c r="G180" s="6"/>
      <c r="H180" s="3"/>
      <c r="I180" s="6"/>
      <c r="J180" s="3"/>
      <c r="K180" s="3"/>
      <c r="L180" s="134"/>
      <c r="M180" s="3"/>
      <c r="N180" s="3"/>
      <c r="O180" s="3"/>
      <c r="P180" s="3"/>
      <c r="Q180" s="3"/>
      <c r="R180" s="6"/>
      <c r="S180" s="6"/>
      <c r="T180" s="6"/>
      <c r="U180" s="6"/>
      <c r="V180" s="3"/>
      <c r="W180" s="51"/>
      <c r="X180" s="3"/>
      <c r="Y180" s="47"/>
      <c r="Z180" s="48" t="str">
        <f t="shared" si="5"/>
        <v/>
      </c>
      <c r="AA180" s="3"/>
      <c r="AB180" s="3"/>
      <c r="AC180" s="49">
        <f t="shared" si="6"/>
        <v>0</v>
      </c>
      <c r="AD180" s="49">
        <f t="shared" si="7"/>
        <v>0</v>
      </c>
    </row>
    <row r="181">
      <c r="A181" s="6"/>
      <c r="B181" s="39"/>
      <c r="C181" s="6"/>
      <c r="D181" s="6"/>
      <c r="E181" s="6"/>
      <c r="F181" s="6"/>
      <c r="G181" s="6"/>
      <c r="H181" s="3"/>
      <c r="I181" s="6"/>
      <c r="J181" s="3"/>
      <c r="K181" s="3"/>
      <c r="L181" s="134"/>
      <c r="M181" s="3"/>
      <c r="N181" s="3"/>
      <c r="O181" s="3"/>
      <c r="P181" s="3"/>
      <c r="Q181" s="3"/>
      <c r="R181" s="6"/>
      <c r="S181" s="6"/>
      <c r="T181" s="6"/>
      <c r="U181" s="3"/>
      <c r="V181" s="6"/>
      <c r="W181" s="46"/>
      <c r="X181" s="3"/>
      <c r="Y181" s="47"/>
      <c r="Z181" s="48" t="str">
        <f t="shared" si="5"/>
        <v/>
      </c>
      <c r="AA181" s="6"/>
      <c r="AB181" s="6"/>
      <c r="AC181" s="49">
        <f t="shared" si="6"/>
        <v>0</v>
      </c>
      <c r="AD181" s="49">
        <f t="shared" si="7"/>
        <v>0</v>
      </c>
    </row>
    <row r="182">
      <c r="A182" s="6"/>
      <c r="B182" s="39"/>
      <c r="C182" s="6"/>
      <c r="D182" s="119"/>
      <c r="E182" s="119"/>
      <c r="F182" s="119"/>
      <c r="G182" s="120"/>
      <c r="H182" s="64"/>
      <c r="I182" s="120"/>
      <c r="J182" s="64"/>
      <c r="K182" s="121"/>
      <c r="L182" s="158"/>
      <c r="M182" s="121"/>
      <c r="N182" s="121"/>
      <c r="O182" s="121"/>
      <c r="P182" s="121"/>
      <c r="Q182" s="121"/>
      <c r="R182" s="118"/>
      <c r="S182" s="118"/>
      <c r="T182" s="119"/>
      <c r="U182" s="3"/>
      <c r="V182" s="6"/>
      <c r="W182" s="46"/>
      <c r="X182" s="3"/>
      <c r="Y182" s="47"/>
      <c r="Z182" s="48" t="str">
        <f t="shared" si="5"/>
        <v/>
      </c>
      <c r="AA182" s="6"/>
      <c r="AB182" s="6"/>
      <c r="AC182" s="49">
        <f t="shared" si="6"/>
        <v>0</v>
      </c>
      <c r="AD182" s="49">
        <f t="shared" si="7"/>
        <v>0</v>
      </c>
    </row>
    <row r="183">
      <c r="A183" s="118"/>
      <c r="B183" s="39"/>
      <c r="C183" s="119"/>
      <c r="D183" s="119"/>
      <c r="E183" s="119"/>
      <c r="F183" s="119"/>
      <c r="G183" s="120"/>
      <c r="H183" s="64"/>
      <c r="I183" s="119"/>
      <c r="J183" s="121"/>
      <c r="K183" s="121"/>
      <c r="L183" s="42"/>
      <c r="M183" s="121"/>
      <c r="N183" s="121"/>
      <c r="O183" s="121"/>
      <c r="P183" s="121"/>
      <c r="Q183" s="121"/>
      <c r="R183" s="118"/>
      <c r="S183" s="118"/>
      <c r="T183" s="119"/>
      <c r="U183" s="6"/>
      <c r="V183" s="6"/>
      <c r="W183" s="51"/>
      <c r="X183" s="3"/>
      <c r="Y183" s="160"/>
      <c r="Z183" s="48" t="str">
        <f t="shared" si="5"/>
        <v/>
      </c>
      <c r="AA183" s="3"/>
      <c r="AB183" s="3"/>
      <c r="AC183" s="49">
        <f t="shared" si="6"/>
        <v>0</v>
      </c>
      <c r="AD183" s="49">
        <f t="shared" si="7"/>
        <v>0</v>
      </c>
    </row>
    <row r="184">
      <c r="A184" s="6"/>
      <c r="B184" s="39"/>
      <c r="C184" s="6"/>
      <c r="D184" s="6"/>
      <c r="E184" s="6"/>
      <c r="F184" s="6"/>
      <c r="G184" s="6"/>
      <c r="H184" s="3"/>
      <c r="I184" s="3"/>
      <c r="J184" s="3"/>
      <c r="K184" s="3"/>
      <c r="L184" s="134"/>
      <c r="M184" s="3"/>
      <c r="N184" s="3"/>
      <c r="O184" s="3"/>
      <c r="P184" s="3"/>
      <c r="Q184" s="3"/>
      <c r="R184" s="6"/>
      <c r="S184" s="6"/>
      <c r="T184" s="6"/>
      <c r="U184" s="6"/>
      <c r="V184" s="6"/>
      <c r="W184" s="51"/>
      <c r="X184" s="3"/>
      <c r="Y184" s="160"/>
      <c r="Z184" s="48" t="str">
        <f t="shared" si="5"/>
        <v/>
      </c>
      <c r="AA184" s="3"/>
      <c r="AB184" s="3"/>
      <c r="AC184" s="49">
        <f t="shared" si="6"/>
        <v>0</v>
      </c>
      <c r="AD184" s="49">
        <f t="shared" si="7"/>
        <v>0</v>
      </c>
    </row>
    <row r="185">
      <c r="A185" s="6"/>
      <c r="B185" s="39"/>
      <c r="C185" s="6"/>
      <c r="D185" s="6"/>
      <c r="E185" s="6"/>
      <c r="F185" s="6"/>
      <c r="G185" s="6"/>
      <c r="H185" s="3"/>
      <c r="I185" s="6"/>
      <c r="J185" s="3"/>
      <c r="K185" s="3"/>
      <c r="L185" s="134"/>
      <c r="M185" s="3"/>
      <c r="N185" s="3"/>
      <c r="O185" s="3"/>
      <c r="P185" s="3"/>
      <c r="Q185" s="3"/>
      <c r="R185" s="6"/>
      <c r="S185" s="6"/>
      <c r="T185" s="6"/>
      <c r="U185" s="6"/>
      <c r="V185" s="6"/>
      <c r="W185" s="51"/>
      <c r="X185" s="3"/>
      <c r="Y185" s="160"/>
      <c r="Z185" s="48" t="str">
        <f t="shared" si="5"/>
        <v/>
      </c>
      <c r="AA185" s="3"/>
      <c r="AB185" s="3"/>
      <c r="AC185" s="49">
        <f t="shared" si="6"/>
        <v>0</v>
      </c>
      <c r="AD185" s="49">
        <f t="shared" si="7"/>
        <v>0</v>
      </c>
    </row>
    <row r="186">
      <c r="A186" s="6"/>
      <c r="B186" s="39"/>
      <c r="C186" s="6"/>
      <c r="D186" s="6"/>
      <c r="E186" s="6"/>
      <c r="F186" s="6"/>
      <c r="G186" s="6"/>
      <c r="H186" s="3"/>
      <c r="I186" s="6"/>
      <c r="J186" s="3"/>
      <c r="K186" s="3"/>
      <c r="L186" s="134"/>
      <c r="M186" s="3"/>
      <c r="N186" s="3"/>
      <c r="O186" s="3"/>
      <c r="P186" s="3"/>
      <c r="Q186" s="3"/>
      <c r="R186" s="6"/>
      <c r="S186" s="6"/>
      <c r="T186" s="6"/>
      <c r="U186" s="6"/>
      <c r="V186" s="6"/>
      <c r="W186" s="46"/>
      <c r="X186" s="3"/>
      <c r="Y186" s="47"/>
      <c r="Z186" s="48" t="str">
        <f t="shared" si="5"/>
        <v/>
      </c>
      <c r="AA186" s="6"/>
      <c r="AB186" s="6"/>
      <c r="AC186" s="49">
        <f t="shared" si="6"/>
        <v>0</v>
      </c>
      <c r="AD186" s="49">
        <f t="shared" si="7"/>
        <v>0</v>
      </c>
    </row>
    <row r="187">
      <c r="A187" s="6"/>
      <c r="B187" s="39"/>
      <c r="C187" s="6"/>
      <c r="D187" s="6"/>
      <c r="E187" s="6"/>
      <c r="F187" s="6"/>
      <c r="G187" s="6"/>
      <c r="H187" s="3"/>
      <c r="I187" s="6"/>
      <c r="J187" s="3"/>
      <c r="K187" s="3"/>
      <c r="L187" s="134"/>
      <c r="M187" s="3"/>
      <c r="N187" s="3"/>
      <c r="O187" s="3"/>
      <c r="P187" s="3"/>
      <c r="Q187" s="3"/>
      <c r="R187" s="6"/>
      <c r="S187" s="6"/>
      <c r="T187" s="6"/>
      <c r="U187" s="6"/>
      <c r="V187" s="6"/>
      <c r="W187" s="51"/>
      <c r="X187" s="3"/>
      <c r="Y187" s="160"/>
      <c r="Z187" s="48" t="str">
        <f t="shared" si="5"/>
        <v/>
      </c>
      <c r="AA187" s="3"/>
      <c r="AB187" s="3"/>
      <c r="AC187" s="49">
        <f t="shared" si="6"/>
        <v>0</v>
      </c>
      <c r="AD187" s="49">
        <f t="shared" si="7"/>
        <v>0</v>
      </c>
    </row>
    <row r="188">
      <c r="A188" s="6"/>
      <c r="B188" s="39"/>
      <c r="C188" s="6"/>
      <c r="D188" s="6"/>
      <c r="E188" s="6"/>
      <c r="F188" s="6"/>
      <c r="G188" s="6"/>
      <c r="H188" s="3"/>
      <c r="I188" s="6"/>
      <c r="J188" s="3"/>
      <c r="K188" s="3"/>
      <c r="L188" s="134"/>
      <c r="M188" s="3"/>
      <c r="N188" s="3"/>
      <c r="O188" s="3"/>
      <c r="P188" s="3"/>
      <c r="Q188" s="3"/>
      <c r="R188" s="6"/>
      <c r="S188" s="6"/>
      <c r="T188" s="6"/>
      <c r="U188" s="6"/>
      <c r="V188" s="6"/>
      <c r="W188" s="51"/>
      <c r="X188" s="3"/>
      <c r="Y188" s="160"/>
      <c r="Z188" s="48" t="str">
        <f t="shared" si="5"/>
        <v/>
      </c>
      <c r="AA188" s="3"/>
      <c r="AB188" s="3"/>
      <c r="AC188" s="49">
        <f t="shared" si="6"/>
        <v>0</v>
      </c>
      <c r="AD188" s="49">
        <f t="shared" si="7"/>
        <v>0</v>
      </c>
    </row>
    <row r="189">
      <c r="A189" s="6"/>
      <c r="B189" s="39"/>
      <c r="C189" s="6"/>
      <c r="D189" s="6"/>
      <c r="E189" s="6"/>
      <c r="F189" s="6"/>
      <c r="G189" s="6"/>
      <c r="H189" s="3"/>
      <c r="I189" s="6"/>
      <c r="J189" s="3"/>
      <c r="K189" s="3"/>
      <c r="L189" s="134"/>
      <c r="M189" s="3"/>
      <c r="N189" s="3"/>
      <c r="O189" s="3"/>
      <c r="P189" s="3"/>
      <c r="Q189" s="3"/>
      <c r="R189" s="6"/>
      <c r="S189" s="6"/>
      <c r="T189" s="6"/>
      <c r="U189" s="6"/>
      <c r="V189" s="6"/>
      <c r="W189" s="51"/>
      <c r="X189" s="3"/>
      <c r="Y189" s="160"/>
      <c r="Z189" s="48" t="str">
        <f t="shared" si="5"/>
        <v/>
      </c>
      <c r="AA189" s="3"/>
      <c r="AB189" s="3"/>
      <c r="AC189" s="49">
        <f t="shared" si="6"/>
        <v>0</v>
      </c>
      <c r="AD189" s="49">
        <f t="shared" si="7"/>
        <v>0</v>
      </c>
    </row>
    <row r="190">
      <c r="A190" s="6"/>
      <c r="B190" s="39"/>
      <c r="C190" s="6"/>
      <c r="D190" s="6"/>
      <c r="E190" s="6"/>
      <c r="F190" s="6"/>
      <c r="G190" s="6"/>
      <c r="H190" s="3"/>
      <c r="I190" s="6"/>
      <c r="J190" s="3"/>
      <c r="K190" s="3"/>
      <c r="L190" s="134"/>
      <c r="M190" s="3"/>
      <c r="N190" s="3"/>
      <c r="O190" s="3"/>
      <c r="P190" s="3"/>
      <c r="Q190" s="3"/>
      <c r="R190" s="6"/>
      <c r="S190" s="6"/>
      <c r="T190" s="6"/>
      <c r="U190" s="6"/>
      <c r="V190" s="6"/>
      <c r="W190" s="51"/>
      <c r="X190" s="3"/>
      <c r="Y190" s="160"/>
      <c r="Z190" s="48" t="str">
        <f t="shared" si="5"/>
        <v/>
      </c>
      <c r="AA190" s="3"/>
      <c r="AB190" s="3"/>
      <c r="AC190" s="49">
        <f t="shared" si="6"/>
        <v>0</v>
      </c>
      <c r="AD190" s="49">
        <f t="shared" si="7"/>
        <v>0</v>
      </c>
    </row>
    <row r="191">
      <c r="A191" s="6"/>
      <c r="B191" s="39"/>
      <c r="C191" s="6"/>
      <c r="D191" s="6"/>
      <c r="E191" s="6"/>
      <c r="F191" s="6"/>
      <c r="G191" s="6"/>
      <c r="H191" s="3"/>
      <c r="I191" s="6"/>
      <c r="J191" s="3"/>
      <c r="K191" s="3"/>
      <c r="L191" s="134"/>
      <c r="M191" s="3"/>
      <c r="N191" s="3"/>
      <c r="O191" s="3"/>
      <c r="P191" s="3"/>
      <c r="Q191" s="3"/>
      <c r="R191" s="6"/>
      <c r="S191" s="6"/>
      <c r="T191" s="6"/>
      <c r="U191" s="6"/>
      <c r="V191" s="6"/>
      <c r="W191" s="51"/>
      <c r="X191" s="3"/>
      <c r="Y191" s="160"/>
      <c r="Z191" s="48" t="str">
        <f t="shared" si="5"/>
        <v/>
      </c>
      <c r="AA191" s="3"/>
      <c r="AB191" s="3"/>
      <c r="AC191" s="49">
        <f t="shared" si="6"/>
        <v>0</v>
      </c>
      <c r="AD191" s="49">
        <f t="shared" si="7"/>
        <v>0</v>
      </c>
    </row>
    <row r="192">
      <c r="A192" s="6"/>
      <c r="B192" s="39"/>
      <c r="C192" s="6"/>
      <c r="D192" s="6"/>
      <c r="E192" s="6"/>
      <c r="F192" s="6"/>
      <c r="G192" s="6"/>
      <c r="H192" s="3"/>
      <c r="I192" s="6"/>
      <c r="J192" s="3"/>
      <c r="K192" s="3"/>
      <c r="L192" s="134"/>
      <c r="M192" s="3"/>
      <c r="N192" s="3"/>
      <c r="O192" s="3"/>
      <c r="P192" s="3"/>
      <c r="Q192" s="3"/>
      <c r="R192" s="6"/>
      <c r="S192" s="6"/>
      <c r="T192" s="6"/>
      <c r="U192" s="6"/>
      <c r="V192" s="6"/>
      <c r="W192" s="51"/>
      <c r="X192" s="3"/>
      <c r="Y192" s="160"/>
      <c r="Z192" s="48" t="str">
        <f t="shared" si="5"/>
        <v/>
      </c>
      <c r="AA192" s="3"/>
      <c r="AB192" s="3"/>
      <c r="AC192" s="49">
        <f t="shared" si="6"/>
        <v>0</v>
      </c>
      <c r="AD192" s="49">
        <f t="shared" si="7"/>
        <v>0</v>
      </c>
    </row>
    <row r="193">
      <c r="A193" s="6"/>
      <c r="B193" s="39"/>
      <c r="C193" s="6"/>
      <c r="D193" s="6"/>
      <c r="E193" s="6"/>
      <c r="F193" s="6"/>
      <c r="G193" s="6"/>
      <c r="H193" s="3"/>
      <c r="I193" s="6"/>
      <c r="J193" s="3"/>
      <c r="K193" s="3"/>
      <c r="L193" s="134"/>
      <c r="M193" s="3"/>
      <c r="N193" s="3"/>
      <c r="O193" s="3"/>
      <c r="P193" s="3"/>
      <c r="Q193" s="3"/>
      <c r="R193" s="6"/>
      <c r="S193" s="6"/>
      <c r="T193" s="6"/>
      <c r="U193" s="6"/>
      <c r="V193" s="6"/>
      <c r="W193" s="51"/>
      <c r="X193" s="3"/>
      <c r="Y193" s="160"/>
      <c r="Z193" s="48" t="str">
        <f t="shared" si="5"/>
        <v/>
      </c>
      <c r="AA193" s="3"/>
      <c r="AB193" s="3"/>
      <c r="AC193" s="49">
        <f t="shared" si="6"/>
        <v>0</v>
      </c>
      <c r="AD193" s="49">
        <f t="shared" si="7"/>
        <v>0</v>
      </c>
    </row>
    <row r="194">
      <c r="A194" s="6"/>
      <c r="B194" s="39"/>
      <c r="C194" s="6"/>
      <c r="D194" s="6"/>
      <c r="E194" s="6"/>
      <c r="F194" s="6"/>
      <c r="G194" s="6"/>
      <c r="H194" s="3"/>
      <c r="I194" s="6"/>
      <c r="J194" s="3"/>
      <c r="K194" s="3"/>
      <c r="L194" s="134"/>
      <c r="M194" s="3"/>
      <c r="N194" s="3"/>
      <c r="O194" s="3"/>
      <c r="P194" s="3"/>
      <c r="Q194" s="3"/>
      <c r="R194" s="6"/>
      <c r="S194" s="6"/>
      <c r="T194" s="6"/>
      <c r="U194" s="6"/>
      <c r="V194" s="6"/>
      <c r="W194" s="51"/>
      <c r="X194" s="3"/>
      <c r="Y194" s="160"/>
      <c r="Z194" s="48" t="str">
        <f t="shared" si="5"/>
        <v/>
      </c>
      <c r="AA194" s="3"/>
      <c r="AB194" s="3"/>
      <c r="AC194" s="49">
        <f t="shared" si="6"/>
        <v>0</v>
      </c>
      <c r="AD194" s="49">
        <f t="shared" si="7"/>
        <v>0</v>
      </c>
    </row>
    <row r="195">
      <c r="A195" s="6"/>
      <c r="B195" s="39"/>
      <c r="C195" s="6"/>
      <c r="D195" s="6"/>
      <c r="E195" s="6"/>
      <c r="F195" s="6"/>
      <c r="G195" s="6"/>
      <c r="H195" s="3"/>
      <c r="I195" s="6"/>
      <c r="J195" s="3"/>
      <c r="K195" s="3"/>
      <c r="L195" s="134"/>
      <c r="M195" s="3"/>
      <c r="N195" s="3"/>
      <c r="O195" s="3"/>
      <c r="P195" s="3"/>
      <c r="Q195" s="3"/>
      <c r="R195" s="6"/>
      <c r="S195" s="6"/>
      <c r="T195" s="6"/>
      <c r="U195" s="6"/>
      <c r="V195" s="6"/>
      <c r="W195" s="51"/>
      <c r="X195" s="3"/>
      <c r="Y195" s="160"/>
      <c r="Z195" s="48" t="str">
        <f t="shared" si="5"/>
        <v/>
      </c>
      <c r="AA195" s="3"/>
      <c r="AB195" s="3"/>
      <c r="AC195" s="49">
        <f t="shared" si="6"/>
        <v>0</v>
      </c>
      <c r="AD195" s="49">
        <f t="shared" si="7"/>
        <v>0</v>
      </c>
    </row>
    <row r="196">
      <c r="A196" s="6"/>
      <c r="B196" s="39"/>
      <c r="C196" s="6"/>
      <c r="D196" s="6"/>
      <c r="E196" s="6"/>
      <c r="F196" s="6"/>
      <c r="G196" s="6"/>
      <c r="H196" s="3"/>
      <c r="I196" s="6"/>
      <c r="J196" s="3"/>
      <c r="K196" s="3"/>
      <c r="L196" s="134"/>
      <c r="M196" s="3"/>
      <c r="N196" s="3"/>
      <c r="O196" s="3"/>
      <c r="P196" s="3"/>
      <c r="Q196" s="3"/>
      <c r="R196" s="6"/>
      <c r="S196" s="6"/>
      <c r="T196" s="6"/>
      <c r="U196" s="6"/>
      <c r="V196" s="6"/>
      <c r="W196" s="51"/>
      <c r="X196" s="3"/>
      <c r="Y196" s="160"/>
      <c r="Z196" s="48" t="str">
        <f t="shared" si="5"/>
        <v/>
      </c>
      <c r="AA196" s="3"/>
      <c r="AB196" s="3"/>
      <c r="AC196" s="49">
        <f t="shared" si="6"/>
        <v>0</v>
      </c>
      <c r="AD196" s="49">
        <f t="shared" si="7"/>
        <v>0</v>
      </c>
    </row>
    <row r="197">
      <c r="A197" s="6"/>
      <c r="B197" s="6"/>
      <c r="C197" s="3"/>
      <c r="D197" s="3"/>
      <c r="E197" s="3"/>
      <c r="F197" s="6"/>
      <c r="G197" s="3"/>
      <c r="H197" s="3"/>
      <c r="I197" s="3"/>
      <c r="J197" s="3"/>
      <c r="K197" s="3"/>
      <c r="L197" s="44"/>
      <c r="M197" s="3"/>
      <c r="N197" s="3"/>
      <c r="O197" s="3"/>
      <c r="P197" s="3"/>
      <c r="Q197" s="3"/>
      <c r="R197" s="6"/>
      <c r="S197" s="6"/>
      <c r="T197" s="6"/>
      <c r="U197" s="6"/>
      <c r="V197" s="6"/>
      <c r="W197" s="51"/>
      <c r="X197" s="3"/>
      <c r="Y197" s="160"/>
      <c r="Z197" s="48" t="str">
        <f t="shared" si="5"/>
        <v/>
      </c>
      <c r="AA197" s="3"/>
      <c r="AB197" s="3"/>
      <c r="AC197" s="49">
        <f t="shared" si="6"/>
        <v>0</v>
      </c>
      <c r="AD197" s="49">
        <f t="shared" si="7"/>
        <v>0</v>
      </c>
    </row>
    <row r="198">
      <c r="A198" s="6"/>
      <c r="B198" s="6"/>
      <c r="C198" s="3"/>
      <c r="D198" s="3"/>
      <c r="E198" s="3"/>
      <c r="F198" s="6"/>
      <c r="G198" s="3"/>
      <c r="H198" s="3"/>
      <c r="I198" s="3"/>
      <c r="J198" s="3"/>
      <c r="K198" s="3"/>
      <c r="L198" s="44"/>
      <c r="M198" s="3"/>
      <c r="N198" s="3"/>
      <c r="O198" s="3"/>
      <c r="P198" s="3"/>
      <c r="Q198" s="3"/>
      <c r="R198" s="6"/>
      <c r="S198" s="6"/>
      <c r="T198" s="6"/>
      <c r="U198" s="6"/>
      <c r="V198" s="6"/>
      <c r="W198" s="51"/>
      <c r="X198" s="3"/>
      <c r="Y198" s="160"/>
      <c r="Z198" s="48" t="str">
        <f t="shared" si="5"/>
        <v/>
      </c>
      <c r="AA198" s="3"/>
      <c r="AB198" s="3"/>
      <c r="AC198" s="49">
        <f t="shared" si="6"/>
        <v>0</v>
      </c>
      <c r="AD198" s="49">
        <f t="shared" si="7"/>
        <v>0</v>
      </c>
    </row>
    <row r="199">
      <c r="A199" s="6"/>
      <c r="B199" s="6"/>
      <c r="C199" s="3"/>
      <c r="D199" s="3"/>
      <c r="E199" s="3"/>
      <c r="F199" s="6"/>
      <c r="G199" s="3"/>
      <c r="H199" s="3"/>
      <c r="I199" s="3"/>
      <c r="J199" s="3"/>
      <c r="K199" s="3"/>
      <c r="L199" s="44"/>
      <c r="M199" s="3"/>
      <c r="N199" s="3"/>
      <c r="O199" s="3"/>
      <c r="P199" s="3"/>
      <c r="Q199" s="3"/>
      <c r="R199" s="6"/>
      <c r="S199" s="6"/>
      <c r="T199" s="6"/>
      <c r="U199" s="6"/>
      <c r="V199" s="6"/>
      <c r="W199" s="51"/>
      <c r="X199" s="3"/>
      <c r="Y199" s="160"/>
      <c r="Z199" s="48" t="str">
        <f t="shared" si="5"/>
        <v/>
      </c>
      <c r="AA199" s="3"/>
      <c r="AB199" s="3"/>
      <c r="AC199" s="49">
        <f t="shared" si="6"/>
        <v>0</v>
      </c>
      <c r="AD199" s="49">
        <f t="shared" si="7"/>
        <v>0</v>
      </c>
    </row>
    <row r="200">
      <c r="A200" s="6"/>
      <c r="B200" s="6"/>
      <c r="C200" s="3"/>
      <c r="D200" s="3"/>
      <c r="E200" s="3"/>
      <c r="F200" s="6"/>
      <c r="G200" s="3"/>
      <c r="H200" s="3"/>
      <c r="I200" s="3"/>
      <c r="J200" s="3"/>
      <c r="K200" s="3"/>
      <c r="L200" s="44"/>
      <c r="R200" s="6"/>
      <c r="S200" s="6"/>
      <c r="T200" s="6"/>
      <c r="U200" s="6"/>
      <c r="V200" s="6"/>
      <c r="W200" s="51"/>
      <c r="X200" s="3"/>
      <c r="Y200" s="160"/>
      <c r="Z200" s="48" t="str">
        <f t="shared" si="5"/>
        <v/>
      </c>
      <c r="AA200" s="3"/>
      <c r="AB200" s="3"/>
      <c r="AC200" s="49">
        <f t="shared" ref="AC200:AC201" si="8">(IF(ISERR(FIND("|",#REF!)),"0",MID(#REF!,FIND("|",#REF!)+3,1))*1)</f>
        <v>0</v>
      </c>
      <c r="AD200" s="49">
        <f t="shared" ref="AD200:AD201" si="9">(IF(ISERR(FIND("||",#REF!,4)),"0",MID(#REF!,FIND("||",#REF!,4)+4,1))*1)</f>
        <v>0</v>
      </c>
    </row>
    <row r="201">
      <c r="A201" s="6"/>
      <c r="B201" s="6"/>
      <c r="C201" s="3"/>
      <c r="D201" s="3"/>
      <c r="E201" s="3"/>
      <c r="F201" s="6"/>
      <c r="G201" s="3"/>
      <c r="H201" s="3"/>
      <c r="I201" s="3"/>
      <c r="J201" s="3"/>
      <c r="K201" s="3"/>
      <c r="L201" s="44"/>
      <c r="R201" s="6"/>
      <c r="S201" s="6"/>
      <c r="T201" s="6"/>
      <c r="U201" s="6"/>
      <c r="V201" s="6"/>
      <c r="W201" s="51"/>
      <c r="X201" s="3"/>
      <c r="Y201" s="160"/>
      <c r="Z201" s="48" t="str">
        <f t="shared" si="5"/>
        <v/>
      </c>
      <c r="AA201" s="3"/>
      <c r="AB201" s="3"/>
      <c r="AC201" s="49">
        <f t="shared" si="8"/>
        <v>0</v>
      </c>
      <c r="AD201" s="49">
        <f t="shared" si="9"/>
        <v>0</v>
      </c>
    </row>
    <row r="202">
      <c r="A202" s="3"/>
      <c r="B202" s="165"/>
      <c r="C202" s="3"/>
      <c r="D202" s="3"/>
      <c r="E202" s="3"/>
      <c r="F202" s="3"/>
      <c r="G202" s="3"/>
      <c r="H202" s="3"/>
      <c r="I202" s="3"/>
      <c r="J202" s="3"/>
      <c r="K202" s="3"/>
      <c r="L202" s="44"/>
      <c r="M202" s="3"/>
      <c r="N202" s="3"/>
      <c r="O202" s="3"/>
      <c r="P202" s="3"/>
      <c r="Q202" s="3"/>
      <c r="R202" s="3"/>
      <c r="S202" s="3"/>
      <c r="T202" s="3"/>
      <c r="U202" s="6"/>
      <c r="V202" s="6"/>
      <c r="W202" s="51"/>
      <c r="X202" s="3"/>
      <c r="Y202" s="160"/>
      <c r="Z202" s="48" t="str">
        <f t="shared" si="5"/>
        <v/>
      </c>
      <c r="AA202" s="3"/>
      <c r="AB202" s="3"/>
      <c r="AC202" s="49">
        <f t="shared" ref="AC202:AC249" si="10">(IF(ISERR(FIND("|",$T202)),"0",MID($T202,FIND("|",$T202)+3,1))*1)</f>
        <v>0</v>
      </c>
      <c r="AD202" s="49">
        <f t="shared" ref="AD202:AD249" si="11">(IF(ISERR(FIND("||",$T202,4)),"0",MID($T202,FIND("||",$T202,4)+4,1))*1)</f>
        <v>0</v>
      </c>
    </row>
    <row r="203">
      <c r="A203" s="3"/>
      <c r="B203" s="165"/>
      <c r="C203" s="3"/>
      <c r="D203" s="3"/>
      <c r="E203" s="3"/>
      <c r="F203" s="3"/>
      <c r="G203" s="3"/>
      <c r="H203" s="3"/>
      <c r="I203" s="3"/>
      <c r="J203" s="3"/>
      <c r="K203" s="3"/>
      <c r="L203" s="44"/>
      <c r="M203" s="3"/>
      <c r="N203" s="3"/>
      <c r="O203" s="3"/>
      <c r="P203" s="3"/>
      <c r="Q203" s="3"/>
      <c r="R203" s="3"/>
      <c r="S203" s="3"/>
      <c r="T203" s="3"/>
      <c r="U203" s="6"/>
      <c r="V203" s="6"/>
      <c r="W203" s="51"/>
      <c r="X203" s="3"/>
      <c r="Y203" s="160"/>
      <c r="Z203" s="48" t="str">
        <f t="shared" si="5"/>
        <v/>
      </c>
      <c r="AA203" s="3"/>
      <c r="AB203" s="3"/>
      <c r="AC203" s="49">
        <f t="shared" si="10"/>
        <v>0</v>
      </c>
      <c r="AD203" s="49">
        <f t="shared" si="11"/>
        <v>0</v>
      </c>
    </row>
    <row r="204">
      <c r="A204" s="3"/>
      <c r="B204" s="165"/>
      <c r="C204" s="3"/>
      <c r="D204" s="3"/>
      <c r="E204" s="3"/>
      <c r="F204" s="3"/>
      <c r="G204" s="3"/>
      <c r="H204" s="3"/>
      <c r="I204" s="3"/>
      <c r="J204" s="3"/>
      <c r="K204" s="3"/>
      <c r="L204" s="44"/>
      <c r="M204" s="3"/>
      <c r="N204" s="3"/>
      <c r="O204" s="3"/>
      <c r="P204" s="3"/>
      <c r="Q204" s="3"/>
      <c r="R204" s="3"/>
      <c r="S204" s="3"/>
      <c r="T204" s="3"/>
      <c r="U204" s="6"/>
      <c r="V204" s="6"/>
      <c r="W204" s="51"/>
      <c r="X204" s="3"/>
      <c r="Y204" s="160"/>
      <c r="Z204" s="48" t="str">
        <f t="shared" si="5"/>
        <v/>
      </c>
      <c r="AA204" s="3"/>
      <c r="AB204" s="3"/>
      <c r="AC204" s="49">
        <f t="shared" si="10"/>
        <v>0</v>
      </c>
      <c r="AD204" s="49">
        <f t="shared" si="11"/>
        <v>0</v>
      </c>
    </row>
    <row r="205">
      <c r="A205" s="3"/>
      <c r="B205" s="165"/>
      <c r="C205" s="3"/>
      <c r="D205" s="3"/>
      <c r="E205" s="3"/>
      <c r="F205" s="3"/>
      <c r="G205" s="3"/>
      <c r="H205" s="3"/>
      <c r="I205" s="3"/>
      <c r="J205" s="3"/>
      <c r="K205" s="3"/>
      <c r="L205" s="44"/>
      <c r="M205" s="3"/>
      <c r="N205" s="3"/>
      <c r="O205" s="3"/>
      <c r="P205" s="3"/>
      <c r="Q205" s="3"/>
      <c r="R205" s="3"/>
      <c r="S205" s="3"/>
      <c r="T205" s="3"/>
      <c r="U205" s="6"/>
      <c r="V205" s="6"/>
      <c r="W205" s="51"/>
      <c r="X205" s="3"/>
      <c r="Y205" s="160"/>
      <c r="Z205" s="48" t="str">
        <f t="shared" si="5"/>
        <v/>
      </c>
      <c r="AA205" s="3"/>
      <c r="AB205" s="3"/>
      <c r="AC205" s="49">
        <f t="shared" si="10"/>
        <v>0</v>
      </c>
      <c r="AD205" s="49">
        <f t="shared" si="11"/>
        <v>0</v>
      </c>
    </row>
    <row r="206">
      <c r="A206" s="3"/>
      <c r="B206" s="165"/>
      <c r="C206" s="3"/>
      <c r="D206" s="3"/>
      <c r="E206" s="3"/>
      <c r="F206" s="3"/>
      <c r="G206" s="3"/>
      <c r="H206" s="3"/>
      <c r="I206" s="3"/>
      <c r="J206" s="3"/>
      <c r="K206" s="3"/>
      <c r="L206" s="44"/>
      <c r="M206" s="3"/>
      <c r="N206" s="3"/>
      <c r="O206" s="3"/>
      <c r="P206" s="3"/>
      <c r="Q206" s="3"/>
      <c r="R206" s="3"/>
      <c r="S206" s="3"/>
      <c r="T206" s="3"/>
      <c r="U206" s="6"/>
      <c r="V206" s="6"/>
      <c r="W206" s="51"/>
      <c r="X206" s="3"/>
      <c r="Y206" s="160"/>
      <c r="Z206" s="48" t="str">
        <f t="shared" si="5"/>
        <v/>
      </c>
      <c r="AA206" s="3"/>
      <c r="AB206" s="3"/>
      <c r="AC206" s="49">
        <f t="shared" si="10"/>
        <v>0</v>
      </c>
      <c r="AD206" s="49">
        <f t="shared" si="11"/>
        <v>0</v>
      </c>
    </row>
    <row r="207">
      <c r="A207" s="3"/>
      <c r="B207" s="165"/>
      <c r="C207" s="3"/>
      <c r="D207" s="3"/>
      <c r="E207" s="3"/>
      <c r="F207" s="3"/>
      <c r="G207" s="3"/>
      <c r="H207" s="3"/>
      <c r="I207" s="3"/>
      <c r="J207" s="3"/>
      <c r="K207" s="3"/>
      <c r="L207" s="44"/>
      <c r="M207" s="3"/>
      <c r="N207" s="3"/>
      <c r="O207" s="3"/>
      <c r="P207" s="3"/>
      <c r="Q207" s="3"/>
      <c r="R207" s="3"/>
      <c r="S207" s="3"/>
      <c r="T207" s="3"/>
      <c r="U207" s="6"/>
      <c r="V207" s="6"/>
      <c r="W207" s="51"/>
      <c r="X207" s="3"/>
      <c r="Y207" s="160"/>
      <c r="Z207" s="48" t="str">
        <f t="shared" si="5"/>
        <v/>
      </c>
      <c r="AA207" s="3"/>
      <c r="AB207" s="3"/>
      <c r="AC207" s="49">
        <f t="shared" si="10"/>
        <v>0</v>
      </c>
      <c r="AD207" s="49">
        <f t="shared" si="11"/>
        <v>0</v>
      </c>
    </row>
    <row r="208">
      <c r="A208" s="3"/>
      <c r="B208" s="165"/>
      <c r="C208" s="3"/>
      <c r="D208" s="3"/>
      <c r="E208" s="3"/>
      <c r="F208" s="3"/>
      <c r="G208" s="3"/>
      <c r="H208" s="3"/>
      <c r="I208" s="3"/>
      <c r="J208" s="3"/>
      <c r="K208" s="3"/>
      <c r="L208" s="44"/>
      <c r="M208" s="3"/>
      <c r="N208" s="3"/>
      <c r="O208" s="3"/>
      <c r="P208" s="3"/>
      <c r="Q208" s="3"/>
      <c r="R208" s="3"/>
      <c r="S208" s="3"/>
      <c r="T208" s="3"/>
      <c r="U208" s="6"/>
      <c r="V208" s="6"/>
      <c r="W208" s="51"/>
      <c r="X208" s="3"/>
      <c r="Y208" s="160"/>
      <c r="Z208" s="48" t="str">
        <f t="shared" si="5"/>
        <v/>
      </c>
      <c r="AA208" s="3"/>
      <c r="AB208" s="3"/>
      <c r="AC208" s="49">
        <f t="shared" si="10"/>
        <v>0</v>
      </c>
      <c r="AD208" s="49">
        <f t="shared" si="11"/>
        <v>0</v>
      </c>
    </row>
    <row r="209">
      <c r="A209" s="3"/>
      <c r="B209" s="165"/>
      <c r="C209" s="3"/>
      <c r="D209" s="3"/>
      <c r="E209" s="3"/>
      <c r="F209" s="3"/>
      <c r="G209" s="3"/>
      <c r="H209" s="3"/>
      <c r="I209" s="3"/>
      <c r="J209" s="3"/>
      <c r="K209" s="3"/>
      <c r="L209" s="44"/>
      <c r="M209" s="3"/>
      <c r="N209" s="3"/>
      <c r="O209" s="3"/>
      <c r="P209" s="3"/>
      <c r="Q209" s="3"/>
      <c r="R209" s="3"/>
      <c r="S209" s="3"/>
      <c r="T209" s="3"/>
      <c r="U209" s="6"/>
      <c r="V209" s="6"/>
      <c r="W209" s="51"/>
      <c r="X209" s="3"/>
      <c r="Y209" s="160"/>
      <c r="Z209" s="48" t="str">
        <f t="shared" si="5"/>
        <v/>
      </c>
      <c r="AA209" s="3"/>
      <c r="AB209" s="3"/>
      <c r="AC209" s="49">
        <f t="shared" si="10"/>
        <v>0</v>
      </c>
      <c r="AD209" s="49">
        <f t="shared" si="11"/>
        <v>0</v>
      </c>
    </row>
    <row r="210">
      <c r="A210" s="3"/>
      <c r="B210" s="165"/>
      <c r="C210" s="3"/>
      <c r="D210" s="3"/>
      <c r="E210" s="3"/>
      <c r="F210" s="3"/>
      <c r="G210" s="3"/>
      <c r="H210" s="3"/>
      <c r="I210" s="3"/>
      <c r="J210" s="3"/>
      <c r="K210" s="3"/>
      <c r="L210" s="44"/>
      <c r="M210" s="3"/>
      <c r="N210" s="3"/>
      <c r="O210" s="3"/>
      <c r="P210" s="3"/>
      <c r="Q210" s="3"/>
      <c r="R210" s="3"/>
      <c r="S210" s="3"/>
      <c r="T210" s="3"/>
      <c r="U210" s="6"/>
      <c r="V210" s="6"/>
      <c r="W210" s="51"/>
      <c r="X210" s="3"/>
      <c r="Y210" s="160"/>
      <c r="Z210" s="48" t="str">
        <f t="shared" si="5"/>
        <v/>
      </c>
      <c r="AA210" s="3"/>
      <c r="AB210" s="3"/>
      <c r="AC210" s="49">
        <f t="shared" si="10"/>
        <v>0</v>
      </c>
      <c r="AD210" s="49">
        <f t="shared" si="11"/>
        <v>0</v>
      </c>
    </row>
    <row r="211">
      <c r="A211" s="3"/>
      <c r="B211" s="165"/>
      <c r="C211" s="3"/>
      <c r="D211" s="3"/>
      <c r="E211" s="3"/>
      <c r="F211" s="3"/>
      <c r="G211" s="3"/>
      <c r="H211" s="3"/>
      <c r="I211" s="3"/>
      <c r="J211" s="3"/>
      <c r="K211" s="3"/>
      <c r="L211" s="44"/>
      <c r="M211" s="3"/>
      <c r="N211" s="3"/>
      <c r="O211" s="3"/>
      <c r="P211" s="3"/>
      <c r="Q211" s="3"/>
      <c r="R211" s="3"/>
      <c r="S211" s="3"/>
      <c r="T211" s="3"/>
      <c r="U211" s="6"/>
      <c r="V211" s="6"/>
      <c r="W211" s="51"/>
      <c r="X211" s="3"/>
      <c r="Y211" s="160"/>
      <c r="Z211" s="48" t="str">
        <f t="shared" si="5"/>
        <v/>
      </c>
      <c r="AA211" s="3"/>
      <c r="AB211" s="3"/>
      <c r="AC211" s="49">
        <f t="shared" si="10"/>
        <v>0</v>
      </c>
      <c r="AD211" s="49">
        <f t="shared" si="11"/>
        <v>0</v>
      </c>
    </row>
    <row r="212">
      <c r="A212" s="3"/>
      <c r="B212" s="165"/>
      <c r="C212" s="3"/>
      <c r="D212" s="3"/>
      <c r="E212" s="3"/>
      <c r="F212" s="3"/>
      <c r="G212" s="3"/>
      <c r="H212" s="3"/>
      <c r="I212" s="3"/>
      <c r="J212" s="3"/>
      <c r="K212" s="3"/>
      <c r="L212" s="44"/>
      <c r="M212" s="3"/>
      <c r="N212" s="3"/>
      <c r="O212" s="3"/>
      <c r="P212" s="3"/>
      <c r="Q212" s="3"/>
      <c r="R212" s="3"/>
      <c r="S212" s="3"/>
      <c r="T212" s="3"/>
      <c r="U212" s="6"/>
      <c r="V212" s="6"/>
      <c r="W212" s="51"/>
      <c r="X212" s="3"/>
      <c r="Y212" s="160"/>
      <c r="Z212" s="48" t="str">
        <f t="shared" si="5"/>
        <v/>
      </c>
      <c r="AA212" s="3"/>
      <c r="AB212" s="3"/>
      <c r="AC212" s="49">
        <f t="shared" si="10"/>
        <v>0</v>
      </c>
      <c r="AD212" s="49">
        <f t="shared" si="11"/>
        <v>0</v>
      </c>
    </row>
    <row r="213">
      <c r="A213" s="3"/>
      <c r="B213" s="165"/>
      <c r="C213" s="3"/>
      <c r="D213" s="3"/>
      <c r="E213" s="3"/>
      <c r="F213" s="3"/>
      <c r="G213" s="3"/>
      <c r="H213" s="3"/>
      <c r="I213" s="3"/>
      <c r="J213" s="3"/>
      <c r="K213" s="3"/>
      <c r="L213" s="44"/>
      <c r="M213" s="3"/>
      <c r="N213" s="3"/>
      <c r="O213" s="3"/>
      <c r="P213" s="3"/>
      <c r="Q213" s="3"/>
      <c r="R213" s="3"/>
      <c r="S213" s="3"/>
      <c r="T213" s="3"/>
      <c r="U213" s="6"/>
      <c r="V213" s="6"/>
      <c r="W213" s="51"/>
      <c r="X213" s="3"/>
      <c r="Y213" s="160"/>
      <c r="Z213" s="48" t="str">
        <f t="shared" si="5"/>
        <v/>
      </c>
      <c r="AA213" s="3"/>
      <c r="AB213" s="3"/>
      <c r="AC213" s="49">
        <f t="shared" si="10"/>
        <v>0</v>
      </c>
      <c r="AD213" s="49">
        <f t="shared" si="11"/>
        <v>0</v>
      </c>
    </row>
    <row r="214">
      <c r="A214" s="3"/>
      <c r="B214" s="165"/>
      <c r="C214" s="3"/>
      <c r="D214" s="3"/>
      <c r="E214" s="3"/>
      <c r="F214" s="3"/>
      <c r="G214" s="3"/>
      <c r="H214" s="3"/>
      <c r="I214" s="3"/>
      <c r="J214" s="3"/>
      <c r="K214" s="3"/>
      <c r="L214" s="44"/>
      <c r="M214" s="3"/>
      <c r="N214" s="3"/>
      <c r="O214" s="3"/>
      <c r="P214" s="3"/>
      <c r="Q214" s="3"/>
      <c r="R214" s="3"/>
      <c r="S214" s="3"/>
      <c r="T214" s="3"/>
      <c r="U214" s="6"/>
      <c r="V214" s="6"/>
      <c r="W214" s="51"/>
      <c r="X214" s="3"/>
      <c r="Y214" s="160"/>
      <c r="Z214" s="48" t="str">
        <f t="shared" si="5"/>
        <v/>
      </c>
      <c r="AA214" s="3"/>
      <c r="AB214" s="3"/>
      <c r="AC214" s="49">
        <f t="shared" si="10"/>
        <v>0</v>
      </c>
      <c r="AD214" s="49">
        <f t="shared" si="11"/>
        <v>0</v>
      </c>
    </row>
    <row r="215">
      <c r="A215" s="3"/>
      <c r="B215" s="165"/>
      <c r="C215" s="3"/>
      <c r="D215" s="3"/>
      <c r="E215" s="3"/>
      <c r="F215" s="3"/>
      <c r="G215" s="3"/>
      <c r="H215" s="3"/>
      <c r="I215" s="3"/>
      <c r="J215" s="3"/>
      <c r="K215" s="3"/>
      <c r="L215" s="44"/>
      <c r="M215" s="3"/>
      <c r="N215" s="3"/>
      <c r="O215" s="3"/>
      <c r="P215" s="3"/>
      <c r="Q215" s="3"/>
      <c r="R215" s="3"/>
      <c r="S215" s="3"/>
      <c r="T215" s="3"/>
      <c r="U215" s="6"/>
      <c r="V215" s="6"/>
      <c r="W215" s="51"/>
      <c r="X215" s="3"/>
      <c r="Y215" s="160"/>
      <c r="Z215" s="48" t="str">
        <f t="shared" si="5"/>
        <v/>
      </c>
      <c r="AA215" s="3"/>
      <c r="AB215" s="3"/>
      <c r="AC215" s="49">
        <f t="shared" si="10"/>
        <v>0</v>
      </c>
      <c r="AD215" s="49">
        <f t="shared" si="11"/>
        <v>0</v>
      </c>
    </row>
    <row r="216">
      <c r="A216" s="3"/>
      <c r="B216" s="165"/>
      <c r="C216" s="3"/>
      <c r="D216" s="3"/>
      <c r="E216" s="3"/>
      <c r="F216" s="3"/>
      <c r="G216" s="3"/>
      <c r="H216" s="3"/>
      <c r="I216" s="3"/>
      <c r="J216" s="3"/>
      <c r="K216" s="3"/>
      <c r="L216" s="44"/>
      <c r="M216" s="3"/>
      <c r="N216" s="3"/>
      <c r="O216" s="3"/>
      <c r="P216" s="3"/>
      <c r="Q216" s="3"/>
      <c r="R216" s="3"/>
      <c r="S216" s="3"/>
      <c r="T216" s="3"/>
      <c r="U216" s="6"/>
      <c r="V216" s="6"/>
      <c r="W216" s="51"/>
      <c r="X216" s="3"/>
      <c r="Y216" s="160"/>
      <c r="Z216" s="48" t="str">
        <f t="shared" si="5"/>
        <v/>
      </c>
      <c r="AA216" s="3"/>
      <c r="AB216" s="3"/>
      <c r="AC216" s="49">
        <f t="shared" si="10"/>
        <v>0</v>
      </c>
      <c r="AD216" s="49">
        <f t="shared" si="11"/>
        <v>0</v>
      </c>
    </row>
    <row r="217">
      <c r="A217" s="3"/>
      <c r="B217" s="165"/>
      <c r="C217" s="3"/>
      <c r="D217" s="3"/>
      <c r="E217" s="3"/>
      <c r="F217" s="3"/>
      <c r="G217" s="3"/>
      <c r="H217" s="3"/>
      <c r="I217" s="3"/>
      <c r="J217" s="3"/>
      <c r="K217" s="3"/>
      <c r="L217" s="44"/>
      <c r="M217" s="3"/>
      <c r="N217" s="3"/>
      <c r="O217" s="3"/>
      <c r="P217" s="3"/>
      <c r="Q217" s="3"/>
      <c r="R217" s="3"/>
      <c r="S217" s="3"/>
      <c r="T217" s="3"/>
      <c r="U217" s="6"/>
      <c r="V217" s="6"/>
      <c r="W217" s="51"/>
      <c r="X217" s="3"/>
      <c r="Y217" s="160"/>
      <c r="Z217" s="48" t="str">
        <f t="shared" si="5"/>
        <v/>
      </c>
      <c r="AA217" s="3"/>
      <c r="AB217" s="3"/>
      <c r="AC217" s="49">
        <f t="shared" si="10"/>
        <v>0</v>
      </c>
      <c r="AD217" s="49">
        <f t="shared" si="11"/>
        <v>0</v>
      </c>
    </row>
    <row r="218">
      <c r="A218" s="3"/>
      <c r="B218" s="165"/>
      <c r="C218" s="3"/>
      <c r="D218" s="3"/>
      <c r="E218" s="3"/>
      <c r="F218" s="3"/>
      <c r="G218" s="3"/>
      <c r="H218" s="3"/>
      <c r="I218" s="3"/>
      <c r="J218" s="3"/>
      <c r="K218" s="3"/>
      <c r="L218" s="44"/>
      <c r="M218" s="3"/>
      <c r="N218" s="3"/>
      <c r="O218" s="3"/>
      <c r="P218" s="3"/>
      <c r="Q218" s="3"/>
      <c r="R218" s="3"/>
      <c r="S218" s="3"/>
      <c r="T218" s="3"/>
      <c r="U218" s="6"/>
      <c r="V218" s="6"/>
      <c r="W218" s="51"/>
      <c r="X218" s="3"/>
      <c r="Y218" s="160"/>
      <c r="Z218" s="48" t="str">
        <f t="shared" si="5"/>
        <v/>
      </c>
      <c r="AA218" s="3"/>
      <c r="AB218" s="3"/>
      <c r="AC218" s="49">
        <f t="shared" si="10"/>
        <v>0</v>
      </c>
      <c r="AD218" s="49">
        <f t="shared" si="11"/>
        <v>0</v>
      </c>
    </row>
    <row r="219">
      <c r="A219" s="3"/>
      <c r="B219" s="165"/>
      <c r="C219" s="3"/>
      <c r="D219" s="3"/>
      <c r="E219" s="3"/>
      <c r="F219" s="3"/>
      <c r="G219" s="3"/>
      <c r="H219" s="3"/>
      <c r="I219" s="3"/>
      <c r="J219" s="3"/>
      <c r="K219" s="3"/>
      <c r="L219" s="44"/>
      <c r="M219" s="3"/>
      <c r="N219" s="3"/>
      <c r="O219" s="3"/>
      <c r="P219" s="3"/>
      <c r="Q219" s="3"/>
      <c r="R219" s="3"/>
      <c r="S219" s="3"/>
      <c r="T219" s="3"/>
      <c r="U219" s="6"/>
      <c r="V219" s="6"/>
      <c r="W219" s="51"/>
      <c r="X219" s="3"/>
      <c r="Y219" s="160"/>
      <c r="Z219" s="48" t="str">
        <f t="shared" si="5"/>
        <v/>
      </c>
      <c r="AA219" s="3"/>
      <c r="AB219" s="3"/>
      <c r="AC219" s="49">
        <f t="shared" si="10"/>
        <v>0</v>
      </c>
      <c r="AD219" s="49">
        <f t="shared" si="11"/>
        <v>0</v>
      </c>
    </row>
    <row r="220">
      <c r="A220" s="3"/>
      <c r="B220" s="165"/>
      <c r="C220" s="3"/>
      <c r="D220" s="3"/>
      <c r="E220" s="3"/>
      <c r="F220" s="3"/>
      <c r="G220" s="3"/>
      <c r="H220" s="3"/>
      <c r="I220" s="3"/>
      <c r="J220" s="3"/>
      <c r="K220" s="3"/>
      <c r="L220" s="44"/>
      <c r="M220" s="3"/>
      <c r="N220" s="3"/>
      <c r="O220" s="3"/>
      <c r="P220" s="3"/>
      <c r="Q220" s="3"/>
      <c r="R220" s="3"/>
      <c r="S220" s="3"/>
      <c r="T220" s="3"/>
      <c r="U220" s="6"/>
      <c r="V220" s="6"/>
      <c r="W220" s="51"/>
      <c r="X220" s="3"/>
      <c r="Y220" s="160"/>
      <c r="Z220" s="48" t="str">
        <f t="shared" si="5"/>
        <v/>
      </c>
      <c r="AA220" s="3"/>
      <c r="AB220" s="3"/>
      <c r="AC220" s="49">
        <f t="shared" si="10"/>
        <v>0</v>
      </c>
      <c r="AD220" s="49">
        <f t="shared" si="11"/>
        <v>0</v>
      </c>
    </row>
    <row r="221">
      <c r="A221" s="3"/>
      <c r="B221" s="165"/>
      <c r="C221" s="3"/>
      <c r="D221" s="3"/>
      <c r="E221" s="3"/>
      <c r="F221" s="3"/>
      <c r="G221" s="3"/>
      <c r="H221" s="3"/>
      <c r="I221" s="3"/>
      <c r="J221" s="3"/>
      <c r="K221" s="3"/>
      <c r="L221" s="44"/>
      <c r="M221" s="3"/>
      <c r="N221" s="3"/>
      <c r="O221" s="3"/>
      <c r="P221" s="3"/>
      <c r="Q221" s="3"/>
      <c r="R221" s="3"/>
      <c r="S221" s="3"/>
      <c r="T221" s="3"/>
      <c r="U221" s="6"/>
      <c r="V221" s="6"/>
      <c r="W221" s="51"/>
      <c r="X221" s="3"/>
      <c r="Y221" s="160"/>
      <c r="Z221" s="48" t="str">
        <f t="shared" si="5"/>
        <v/>
      </c>
      <c r="AA221" s="3"/>
      <c r="AB221" s="3"/>
      <c r="AC221" s="49">
        <f t="shared" si="10"/>
        <v>0</v>
      </c>
      <c r="AD221" s="49">
        <f t="shared" si="11"/>
        <v>0</v>
      </c>
    </row>
    <row r="222">
      <c r="A222" s="3"/>
      <c r="B222" s="165"/>
      <c r="C222" s="3"/>
      <c r="D222" s="3"/>
      <c r="E222" s="3"/>
      <c r="F222" s="3"/>
      <c r="G222" s="3"/>
      <c r="H222" s="3"/>
      <c r="I222" s="3"/>
      <c r="J222" s="3"/>
      <c r="K222" s="3"/>
      <c r="L222" s="44"/>
      <c r="M222" s="3"/>
      <c r="N222" s="3"/>
      <c r="O222" s="3"/>
      <c r="P222" s="3"/>
      <c r="Q222" s="3"/>
      <c r="R222" s="3"/>
      <c r="S222" s="3"/>
      <c r="T222" s="3"/>
      <c r="U222" s="6"/>
      <c r="V222" s="6"/>
      <c r="W222" s="51"/>
      <c r="X222" s="3"/>
      <c r="Y222" s="160"/>
      <c r="Z222" s="48" t="str">
        <f t="shared" si="5"/>
        <v/>
      </c>
      <c r="AA222" s="3"/>
      <c r="AB222" s="3"/>
      <c r="AC222" s="49">
        <f t="shared" si="10"/>
        <v>0</v>
      </c>
      <c r="AD222" s="49">
        <f t="shared" si="11"/>
        <v>0</v>
      </c>
    </row>
    <row r="223">
      <c r="A223" s="3"/>
      <c r="B223" s="165"/>
      <c r="C223" s="3"/>
      <c r="D223" s="3"/>
      <c r="E223" s="3"/>
      <c r="F223" s="3"/>
      <c r="G223" s="3"/>
      <c r="H223" s="3"/>
      <c r="I223" s="3"/>
      <c r="J223" s="3"/>
      <c r="K223" s="3"/>
      <c r="L223" s="44"/>
      <c r="M223" s="3"/>
      <c r="N223" s="3"/>
      <c r="O223" s="3"/>
      <c r="P223" s="3"/>
      <c r="Q223" s="3"/>
      <c r="R223" s="3"/>
      <c r="S223" s="3"/>
      <c r="T223" s="3"/>
      <c r="U223" s="6"/>
      <c r="V223" s="6"/>
      <c r="W223" s="51"/>
      <c r="X223" s="3"/>
      <c r="Y223" s="160"/>
      <c r="Z223" s="48" t="str">
        <f t="shared" si="5"/>
        <v/>
      </c>
      <c r="AA223" s="3"/>
      <c r="AB223" s="3"/>
      <c r="AC223" s="49">
        <f t="shared" si="10"/>
        <v>0</v>
      </c>
      <c r="AD223" s="49">
        <f t="shared" si="11"/>
        <v>0</v>
      </c>
    </row>
    <row r="224">
      <c r="A224" s="3"/>
      <c r="B224" s="165"/>
      <c r="C224" s="3"/>
      <c r="D224" s="3"/>
      <c r="E224" s="3"/>
      <c r="F224" s="3"/>
      <c r="G224" s="3"/>
      <c r="H224" s="3"/>
      <c r="I224" s="3"/>
      <c r="J224" s="3"/>
      <c r="K224" s="3"/>
      <c r="L224" s="44"/>
      <c r="M224" s="3"/>
      <c r="N224" s="3"/>
      <c r="O224" s="3"/>
      <c r="P224" s="3"/>
      <c r="Q224" s="3"/>
      <c r="R224" s="3"/>
      <c r="S224" s="3"/>
      <c r="T224" s="3"/>
      <c r="U224" s="6"/>
      <c r="V224" s="6"/>
      <c r="W224" s="51"/>
      <c r="X224" s="3"/>
      <c r="Y224" s="160"/>
      <c r="Z224" s="48" t="str">
        <f t="shared" si="5"/>
        <v/>
      </c>
      <c r="AA224" s="3"/>
      <c r="AB224" s="3"/>
      <c r="AC224" s="49">
        <f t="shared" si="10"/>
        <v>0</v>
      </c>
      <c r="AD224" s="49">
        <f t="shared" si="11"/>
        <v>0</v>
      </c>
    </row>
    <row r="225">
      <c r="A225" s="3"/>
      <c r="B225" s="165"/>
      <c r="C225" s="3"/>
      <c r="D225" s="3"/>
      <c r="E225" s="3"/>
      <c r="F225" s="3"/>
      <c r="G225" s="3"/>
      <c r="H225" s="3"/>
      <c r="I225" s="3"/>
      <c r="J225" s="3"/>
      <c r="K225" s="3"/>
      <c r="L225" s="44"/>
      <c r="M225" s="3"/>
      <c r="N225" s="3"/>
      <c r="O225" s="3"/>
      <c r="P225" s="3"/>
      <c r="Q225" s="3"/>
      <c r="R225" s="3"/>
      <c r="S225" s="3"/>
      <c r="T225" s="3"/>
      <c r="U225" s="6"/>
      <c r="V225" s="6"/>
      <c r="W225" s="51"/>
      <c r="X225" s="3"/>
      <c r="Y225" s="160"/>
      <c r="Z225" s="48" t="str">
        <f t="shared" si="5"/>
        <v/>
      </c>
      <c r="AA225" s="3"/>
      <c r="AB225" s="3"/>
      <c r="AC225" s="49">
        <f t="shared" si="10"/>
        <v>0</v>
      </c>
      <c r="AD225" s="49">
        <f t="shared" si="11"/>
        <v>0</v>
      </c>
    </row>
    <row r="226">
      <c r="A226" s="3"/>
      <c r="B226" s="165"/>
      <c r="C226" s="3"/>
      <c r="D226" s="3"/>
      <c r="E226" s="3"/>
      <c r="F226" s="3"/>
      <c r="G226" s="3"/>
      <c r="H226" s="3"/>
      <c r="I226" s="3"/>
      <c r="J226" s="3"/>
      <c r="K226" s="3"/>
      <c r="L226" s="44"/>
      <c r="M226" s="3"/>
      <c r="N226" s="3"/>
      <c r="O226" s="3"/>
      <c r="P226" s="3"/>
      <c r="Q226" s="3"/>
      <c r="R226" s="3"/>
      <c r="S226" s="3"/>
      <c r="T226" s="3"/>
      <c r="U226" s="6"/>
      <c r="V226" s="6"/>
      <c r="W226" s="51"/>
      <c r="X226" s="3"/>
      <c r="Y226" s="160"/>
      <c r="Z226" s="48" t="str">
        <f t="shared" si="5"/>
        <v/>
      </c>
      <c r="AA226" s="3"/>
      <c r="AB226" s="3"/>
      <c r="AC226" s="49">
        <f t="shared" si="10"/>
        <v>0</v>
      </c>
      <c r="AD226" s="49">
        <f t="shared" si="11"/>
        <v>0</v>
      </c>
    </row>
    <row r="227">
      <c r="A227" s="3"/>
      <c r="B227" s="165"/>
      <c r="C227" s="3"/>
      <c r="D227" s="3"/>
      <c r="E227" s="3"/>
      <c r="F227" s="3"/>
      <c r="G227" s="3"/>
      <c r="H227" s="3"/>
      <c r="I227" s="3"/>
      <c r="J227" s="3"/>
      <c r="K227" s="3"/>
      <c r="L227" s="44"/>
      <c r="M227" s="3"/>
      <c r="N227" s="3"/>
      <c r="O227" s="3"/>
      <c r="P227" s="3"/>
      <c r="Q227" s="3"/>
      <c r="R227" s="3"/>
      <c r="S227" s="3"/>
      <c r="T227" s="3"/>
      <c r="U227" s="6"/>
      <c r="V227" s="6"/>
      <c r="W227" s="51"/>
      <c r="X227" s="3"/>
      <c r="Y227" s="160"/>
      <c r="Z227" s="48" t="str">
        <f t="shared" si="5"/>
        <v/>
      </c>
      <c r="AA227" s="3"/>
      <c r="AB227" s="3"/>
      <c r="AC227" s="49">
        <f t="shared" si="10"/>
        <v>0</v>
      </c>
      <c r="AD227" s="49">
        <f t="shared" si="11"/>
        <v>0</v>
      </c>
    </row>
    <row r="228">
      <c r="A228" s="3"/>
      <c r="B228" s="165"/>
      <c r="C228" s="3"/>
      <c r="D228" s="3"/>
      <c r="E228" s="3"/>
      <c r="F228" s="3"/>
      <c r="G228" s="3"/>
      <c r="H228" s="3"/>
      <c r="I228" s="3"/>
      <c r="J228" s="3"/>
      <c r="K228" s="3"/>
      <c r="L228" s="44"/>
      <c r="M228" s="3"/>
      <c r="N228" s="3"/>
      <c r="O228" s="3"/>
      <c r="P228" s="3"/>
      <c r="Q228" s="3"/>
      <c r="R228" s="3"/>
      <c r="S228" s="3"/>
      <c r="T228" s="3"/>
      <c r="U228" s="6"/>
      <c r="V228" s="6"/>
      <c r="W228" s="51"/>
      <c r="X228" s="3"/>
      <c r="Y228" s="160"/>
      <c r="Z228" s="48" t="str">
        <f t="shared" si="5"/>
        <v/>
      </c>
      <c r="AA228" s="3"/>
      <c r="AB228" s="3"/>
      <c r="AC228" s="49">
        <f t="shared" si="10"/>
        <v>0</v>
      </c>
      <c r="AD228" s="49">
        <f t="shared" si="11"/>
        <v>0</v>
      </c>
    </row>
    <row r="229">
      <c r="A229" s="3"/>
      <c r="B229" s="165"/>
      <c r="C229" s="3"/>
      <c r="D229" s="3"/>
      <c r="E229" s="3"/>
      <c r="F229" s="3"/>
      <c r="G229" s="3"/>
      <c r="H229" s="3"/>
      <c r="I229" s="3"/>
      <c r="J229" s="3"/>
      <c r="K229" s="3"/>
      <c r="L229" s="44"/>
      <c r="M229" s="3"/>
      <c r="N229" s="3"/>
      <c r="O229" s="3"/>
      <c r="P229" s="3"/>
      <c r="Q229" s="3"/>
      <c r="R229" s="3"/>
      <c r="S229" s="3"/>
      <c r="T229" s="3"/>
      <c r="U229" s="6"/>
      <c r="V229" s="6"/>
      <c r="W229" s="51"/>
      <c r="X229" s="3"/>
      <c r="Y229" s="160"/>
      <c r="Z229" s="48" t="str">
        <f t="shared" si="5"/>
        <v/>
      </c>
      <c r="AA229" s="3"/>
      <c r="AB229" s="3"/>
      <c r="AC229" s="49">
        <f t="shared" si="10"/>
        <v>0</v>
      </c>
      <c r="AD229" s="49">
        <f t="shared" si="11"/>
        <v>0</v>
      </c>
    </row>
    <row r="230">
      <c r="A230" s="3"/>
      <c r="B230" s="165"/>
      <c r="C230" s="3"/>
      <c r="D230" s="3"/>
      <c r="E230" s="3"/>
      <c r="F230" s="3"/>
      <c r="G230" s="3"/>
      <c r="H230" s="3"/>
      <c r="I230" s="3"/>
      <c r="J230" s="3"/>
      <c r="K230" s="3"/>
      <c r="L230" s="44"/>
      <c r="M230" s="3"/>
      <c r="N230" s="3"/>
      <c r="O230" s="3"/>
      <c r="P230" s="3"/>
      <c r="Q230" s="3"/>
      <c r="R230" s="3"/>
      <c r="S230" s="3"/>
      <c r="T230" s="3"/>
      <c r="U230" s="6"/>
      <c r="V230" s="6"/>
      <c r="W230" s="51"/>
      <c r="X230" s="3"/>
      <c r="Y230" s="160"/>
      <c r="Z230" s="48" t="str">
        <f t="shared" si="5"/>
        <v/>
      </c>
      <c r="AA230" s="3"/>
      <c r="AB230" s="3"/>
      <c r="AC230" s="49">
        <f t="shared" si="10"/>
        <v>0</v>
      </c>
      <c r="AD230" s="49">
        <f t="shared" si="11"/>
        <v>0</v>
      </c>
    </row>
    <row r="231">
      <c r="A231" s="3"/>
      <c r="B231" s="165"/>
      <c r="C231" s="3"/>
      <c r="D231" s="3"/>
      <c r="E231" s="3"/>
      <c r="F231" s="3"/>
      <c r="G231" s="3"/>
      <c r="H231" s="3"/>
      <c r="I231" s="3"/>
      <c r="J231" s="3"/>
      <c r="K231" s="3"/>
      <c r="L231" s="44"/>
      <c r="M231" s="3"/>
      <c r="N231" s="3"/>
      <c r="O231" s="3"/>
      <c r="P231" s="3"/>
      <c r="Q231" s="3"/>
      <c r="R231" s="3"/>
      <c r="S231" s="3"/>
      <c r="T231" s="3"/>
      <c r="U231" s="6"/>
      <c r="V231" s="6"/>
      <c r="W231" s="51"/>
      <c r="X231" s="3"/>
      <c r="Y231" s="160"/>
      <c r="Z231" s="48" t="str">
        <f t="shared" si="5"/>
        <v/>
      </c>
      <c r="AA231" s="3"/>
      <c r="AB231" s="3"/>
      <c r="AC231" s="49">
        <f t="shared" si="10"/>
        <v>0</v>
      </c>
      <c r="AD231" s="49">
        <f t="shared" si="11"/>
        <v>0</v>
      </c>
    </row>
    <row r="232">
      <c r="A232" s="3"/>
      <c r="B232" s="165"/>
      <c r="C232" s="3"/>
      <c r="D232" s="3"/>
      <c r="E232" s="3"/>
      <c r="F232" s="3"/>
      <c r="G232" s="3"/>
      <c r="H232" s="3"/>
      <c r="I232" s="3"/>
      <c r="J232" s="3"/>
      <c r="K232" s="3"/>
      <c r="L232" s="44"/>
      <c r="M232" s="3"/>
      <c r="N232" s="3"/>
      <c r="O232" s="3"/>
      <c r="P232" s="3"/>
      <c r="Q232" s="3"/>
      <c r="R232" s="3"/>
      <c r="S232" s="3"/>
      <c r="T232" s="3"/>
      <c r="U232" s="6"/>
      <c r="V232" s="6"/>
      <c r="W232" s="51"/>
      <c r="X232" s="3"/>
      <c r="Y232" s="160"/>
      <c r="Z232" s="48" t="str">
        <f t="shared" si="5"/>
        <v/>
      </c>
      <c r="AA232" s="3"/>
      <c r="AB232" s="3"/>
      <c r="AC232" s="49">
        <f t="shared" si="10"/>
        <v>0</v>
      </c>
      <c r="AD232" s="49">
        <f t="shared" si="11"/>
        <v>0</v>
      </c>
    </row>
    <row r="233">
      <c r="A233" s="3"/>
      <c r="B233" s="165"/>
      <c r="C233" s="3"/>
      <c r="D233" s="3"/>
      <c r="E233" s="3"/>
      <c r="F233" s="3"/>
      <c r="G233" s="3"/>
      <c r="H233" s="3"/>
      <c r="I233" s="3"/>
      <c r="J233" s="3"/>
      <c r="K233" s="3"/>
      <c r="L233" s="44"/>
      <c r="M233" s="3"/>
      <c r="N233" s="3"/>
      <c r="O233" s="3"/>
      <c r="P233" s="3"/>
      <c r="Q233" s="3"/>
      <c r="R233" s="3"/>
      <c r="S233" s="3"/>
      <c r="T233" s="3"/>
      <c r="U233" s="6"/>
      <c r="V233" s="6"/>
      <c r="W233" s="51"/>
      <c r="X233" s="3"/>
      <c r="Y233" s="160"/>
      <c r="Z233" s="48" t="str">
        <f t="shared" si="5"/>
        <v/>
      </c>
      <c r="AA233" s="3"/>
      <c r="AB233" s="3"/>
      <c r="AC233" s="49">
        <f t="shared" si="10"/>
        <v>0</v>
      </c>
      <c r="AD233" s="49">
        <f t="shared" si="11"/>
        <v>0</v>
      </c>
    </row>
    <row r="234">
      <c r="A234" s="3"/>
      <c r="B234" s="165"/>
      <c r="C234" s="3"/>
      <c r="D234" s="3"/>
      <c r="E234" s="3"/>
      <c r="F234" s="3"/>
      <c r="G234" s="3"/>
      <c r="H234" s="3"/>
      <c r="I234" s="3"/>
      <c r="J234" s="3"/>
      <c r="K234" s="3"/>
      <c r="L234" s="44"/>
      <c r="M234" s="3"/>
      <c r="N234" s="3"/>
      <c r="O234" s="3"/>
      <c r="P234" s="3"/>
      <c r="Q234" s="3"/>
      <c r="R234" s="3"/>
      <c r="S234" s="3"/>
      <c r="T234" s="3"/>
      <c r="U234" s="6"/>
      <c r="V234" s="6"/>
      <c r="W234" s="51"/>
      <c r="X234" s="3"/>
      <c r="Y234" s="160"/>
      <c r="Z234" s="48" t="str">
        <f t="shared" si="5"/>
        <v/>
      </c>
      <c r="AA234" s="3"/>
      <c r="AB234" s="3"/>
      <c r="AC234" s="49">
        <f t="shared" si="10"/>
        <v>0</v>
      </c>
      <c r="AD234" s="49">
        <f t="shared" si="11"/>
        <v>0</v>
      </c>
    </row>
    <row r="235">
      <c r="A235" s="3"/>
      <c r="B235" s="165"/>
      <c r="C235" s="3"/>
      <c r="D235" s="3"/>
      <c r="E235" s="3"/>
      <c r="F235" s="3"/>
      <c r="G235" s="3"/>
      <c r="H235" s="3"/>
      <c r="I235" s="3"/>
      <c r="J235" s="3"/>
      <c r="K235" s="3"/>
      <c r="L235" s="44"/>
      <c r="M235" s="3"/>
      <c r="N235" s="3"/>
      <c r="O235" s="3"/>
      <c r="P235" s="3"/>
      <c r="Q235" s="3"/>
      <c r="R235" s="3"/>
      <c r="S235" s="3"/>
      <c r="T235" s="3"/>
      <c r="U235" s="6"/>
      <c r="V235" s="6"/>
      <c r="W235" s="51"/>
      <c r="X235" s="3"/>
      <c r="Y235" s="160"/>
      <c r="Z235" s="48" t="str">
        <f t="shared" si="5"/>
        <v/>
      </c>
      <c r="AA235" s="3"/>
      <c r="AB235" s="3"/>
      <c r="AC235" s="49">
        <f t="shared" si="10"/>
        <v>0</v>
      </c>
      <c r="AD235" s="49">
        <f t="shared" si="11"/>
        <v>0</v>
      </c>
    </row>
    <row r="236">
      <c r="A236" s="3"/>
      <c r="B236" s="165"/>
      <c r="C236" s="3"/>
      <c r="D236" s="3"/>
      <c r="E236" s="3"/>
      <c r="F236" s="3"/>
      <c r="G236" s="3"/>
      <c r="H236" s="3"/>
      <c r="I236" s="3"/>
      <c r="J236" s="3"/>
      <c r="K236" s="3"/>
      <c r="L236" s="44"/>
      <c r="M236" s="3"/>
      <c r="N236" s="3"/>
      <c r="O236" s="3"/>
      <c r="P236" s="3"/>
      <c r="Q236" s="3"/>
      <c r="R236" s="3"/>
      <c r="S236" s="3"/>
      <c r="T236" s="3"/>
      <c r="U236" s="6"/>
      <c r="V236" s="6"/>
      <c r="W236" s="51"/>
      <c r="X236" s="3"/>
      <c r="Y236" s="160"/>
      <c r="Z236" s="48" t="str">
        <f t="shared" si="5"/>
        <v/>
      </c>
      <c r="AA236" s="3"/>
      <c r="AB236" s="3"/>
      <c r="AC236" s="49">
        <f t="shared" si="10"/>
        <v>0</v>
      </c>
      <c r="AD236" s="49">
        <f t="shared" si="11"/>
        <v>0</v>
      </c>
    </row>
    <row r="237">
      <c r="A237" s="3"/>
      <c r="B237" s="165"/>
      <c r="C237" s="3"/>
      <c r="D237" s="3"/>
      <c r="E237" s="3"/>
      <c r="F237" s="3"/>
      <c r="G237" s="3"/>
      <c r="H237" s="3"/>
      <c r="I237" s="3"/>
      <c r="J237" s="3"/>
      <c r="K237" s="3"/>
      <c r="L237" s="44"/>
      <c r="M237" s="3"/>
      <c r="N237" s="3"/>
      <c r="O237" s="3"/>
      <c r="P237" s="3"/>
      <c r="Q237" s="3"/>
      <c r="R237" s="3"/>
      <c r="S237" s="3"/>
      <c r="T237" s="3"/>
      <c r="U237" s="6"/>
      <c r="V237" s="6"/>
      <c r="W237" s="51"/>
      <c r="X237" s="3"/>
      <c r="Y237" s="160"/>
      <c r="Z237" s="48" t="str">
        <f t="shared" si="5"/>
        <v/>
      </c>
      <c r="AA237" s="3"/>
      <c r="AB237" s="3"/>
      <c r="AC237" s="49">
        <f t="shared" si="10"/>
        <v>0</v>
      </c>
      <c r="AD237" s="49">
        <f t="shared" si="11"/>
        <v>0</v>
      </c>
    </row>
    <row r="238">
      <c r="A238" s="3"/>
      <c r="B238" s="165"/>
      <c r="C238" s="3"/>
      <c r="D238" s="3"/>
      <c r="E238" s="3"/>
      <c r="F238" s="3"/>
      <c r="G238" s="3"/>
      <c r="H238" s="3"/>
      <c r="I238" s="3"/>
      <c r="J238" s="3"/>
      <c r="K238" s="3"/>
      <c r="L238" s="44"/>
      <c r="M238" s="3"/>
      <c r="N238" s="3"/>
      <c r="O238" s="3"/>
      <c r="P238" s="3"/>
      <c r="Q238" s="3"/>
      <c r="R238" s="3"/>
      <c r="S238" s="3"/>
      <c r="T238" s="3"/>
      <c r="U238" s="6"/>
      <c r="V238" s="6"/>
      <c r="W238" s="51"/>
      <c r="X238" s="3"/>
      <c r="Y238" s="160"/>
      <c r="Z238" s="48" t="str">
        <f t="shared" si="5"/>
        <v/>
      </c>
      <c r="AA238" s="3"/>
      <c r="AB238" s="3"/>
      <c r="AC238" s="49">
        <f t="shared" si="10"/>
        <v>0</v>
      </c>
      <c r="AD238" s="49">
        <f t="shared" si="11"/>
        <v>0</v>
      </c>
    </row>
    <row r="239">
      <c r="A239" s="3"/>
      <c r="B239" s="165"/>
      <c r="C239" s="3"/>
      <c r="D239" s="3"/>
      <c r="E239" s="3"/>
      <c r="F239" s="3"/>
      <c r="G239" s="3"/>
      <c r="H239" s="3"/>
      <c r="I239" s="3"/>
      <c r="J239" s="3"/>
      <c r="K239" s="3"/>
      <c r="L239" s="44"/>
      <c r="M239" s="3"/>
      <c r="N239" s="3"/>
      <c r="O239" s="3"/>
      <c r="P239" s="3"/>
      <c r="Q239" s="3"/>
      <c r="R239" s="3"/>
      <c r="S239" s="3"/>
      <c r="T239" s="3"/>
      <c r="U239" s="6"/>
      <c r="V239" s="6"/>
      <c r="W239" s="51"/>
      <c r="X239" s="3"/>
      <c r="Y239" s="160"/>
      <c r="Z239" s="48" t="str">
        <f t="shared" si="5"/>
        <v/>
      </c>
      <c r="AA239" s="3"/>
      <c r="AB239" s="3"/>
      <c r="AC239" s="49">
        <f t="shared" si="10"/>
        <v>0</v>
      </c>
      <c r="AD239" s="49">
        <f t="shared" si="11"/>
        <v>0</v>
      </c>
    </row>
    <row r="240">
      <c r="A240" s="3"/>
      <c r="B240" s="165"/>
      <c r="C240" s="3"/>
      <c r="D240" s="3"/>
      <c r="E240" s="3"/>
      <c r="F240" s="3"/>
      <c r="G240" s="3"/>
      <c r="H240" s="3"/>
      <c r="I240" s="3"/>
      <c r="J240" s="3"/>
      <c r="K240" s="3"/>
      <c r="L240" s="44"/>
      <c r="M240" s="3"/>
      <c r="N240" s="3"/>
      <c r="O240" s="3"/>
      <c r="P240" s="3"/>
      <c r="Q240" s="3"/>
      <c r="R240" s="3"/>
      <c r="S240" s="3"/>
      <c r="T240" s="3"/>
      <c r="U240" s="6"/>
      <c r="V240" s="6"/>
      <c r="W240" s="51"/>
      <c r="X240" s="3"/>
      <c r="Y240" s="160"/>
      <c r="Z240" s="48" t="str">
        <f t="shared" si="5"/>
        <v/>
      </c>
      <c r="AA240" s="3"/>
      <c r="AB240" s="3"/>
      <c r="AC240" s="49">
        <f t="shared" si="10"/>
        <v>0</v>
      </c>
      <c r="AD240" s="49">
        <f t="shared" si="11"/>
        <v>0</v>
      </c>
    </row>
    <row r="241">
      <c r="A241" s="3"/>
      <c r="B241" s="165"/>
      <c r="C241" s="3"/>
      <c r="D241" s="3"/>
      <c r="E241" s="3"/>
      <c r="F241" s="3"/>
      <c r="G241" s="3"/>
      <c r="H241" s="3"/>
      <c r="I241" s="3"/>
      <c r="J241" s="3"/>
      <c r="K241" s="3"/>
      <c r="L241" s="44"/>
      <c r="M241" s="3"/>
      <c r="N241" s="3"/>
      <c r="O241" s="3"/>
      <c r="P241" s="3"/>
      <c r="Q241" s="3"/>
      <c r="R241" s="3"/>
      <c r="S241" s="3"/>
      <c r="T241" s="3"/>
      <c r="U241" s="6"/>
      <c r="V241" s="6"/>
      <c r="W241" s="51"/>
      <c r="X241" s="3"/>
      <c r="Y241" s="160"/>
      <c r="Z241" s="48" t="str">
        <f t="shared" si="5"/>
        <v/>
      </c>
      <c r="AA241" s="3"/>
      <c r="AB241" s="3"/>
      <c r="AC241" s="49">
        <f t="shared" si="10"/>
        <v>0</v>
      </c>
      <c r="AD241" s="49">
        <f t="shared" si="11"/>
        <v>0</v>
      </c>
    </row>
    <row r="242">
      <c r="A242" s="3"/>
      <c r="B242" s="165"/>
      <c r="C242" s="3"/>
      <c r="D242" s="3"/>
      <c r="E242" s="3"/>
      <c r="F242" s="3"/>
      <c r="G242" s="3"/>
      <c r="H242" s="3"/>
      <c r="I242" s="3"/>
      <c r="J242" s="3"/>
      <c r="K242" s="3"/>
      <c r="L242" s="44"/>
      <c r="M242" s="3"/>
      <c r="N242" s="3"/>
      <c r="O242" s="3"/>
      <c r="P242" s="3"/>
      <c r="Q242" s="3"/>
      <c r="R242" s="3"/>
      <c r="S242" s="3"/>
      <c r="T242" s="3"/>
      <c r="U242" s="6"/>
      <c r="V242" s="6"/>
      <c r="W242" s="51"/>
      <c r="X242" s="3"/>
      <c r="Y242" s="160"/>
      <c r="Z242" s="48" t="str">
        <f t="shared" si="5"/>
        <v/>
      </c>
      <c r="AA242" s="3"/>
      <c r="AB242" s="3"/>
      <c r="AC242" s="49">
        <f t="shared" si="10"/>
        <v>0</v>
      </c>
      <c r="AD242" s="49">
        <f t="shared" si="11"/>
        <v>0</v>
      </c>
    </row>
    <row r="243">
      <c r="A243" s="3"/>
      <c r="B243" s="165"/>
      <c r="C243" s="3"/>
      <c r="D243" s="3"/>
      <c r="E243" s="3"/>
      <c r="F243" s="3"/>
      <c r="G243" s="3"/>
      <c r="H243" s="3"/>
      <c r="I243" s="3"/>
      <c r="J243" s="3"/>
      <c r="K243" s="3"/>
      <c r="L243" s="44"/>
      <c r="M243" s="3"/>
      <c r="N243" s="3"/>
      <c r="O243" s="3"/>
      <c r="P243" s="3"/>
      <c r="Q243" s="3"/>
      <c r="R243" s="3"/>
      <c r="S243" s="3"/>
      <c r="T243" s="3"/>
      <c r="U243" s="6"/>
      <c r="V243" s="6"/>
      <c r="W243" s="51"/>
      <c r="X243" s="3"/>
      <c r="Y243" s="160"/>
      <c r="Z243" s="48" t="str">
        <f t="shared" si="5"/>
        <v/>
      </c>
      <c r="AA243" s="3"/>
      <c r="AB243" s="3"/>
      <c r="AC243" s="49">
        <f t="shared" si="10"/>
        <v>0</v>
      </c>
      <c r="AD243" s="49">
        <f t="shared" si="11"/>
        <v>0</v>
      </c>
    </row>
    <row r="244">
      <c r="A244" s="3"/>
      <c r="B244" s="165"/>
      <c r="C244" s="3"/>
      <c r="D244" s="3"/>
      <c r="E244" s="3"/>
      <c r="F244" s="3"/>
      <c r="G244" s="3"/>
      <c r="H244" s="3"/>
      <c r="I244" s="3"/>
      <c r="J244" s="3"/>
      <c r="K244" s="3"/>
      <c r="L244" s="44"/>
      <c r="M244" s="3"/>
      <c r="N244" s="3"/>
      <c r="O244" s="3"/>
      <c r="P244" s="3"/>
      <c r="Q244" s="3"/>
      <c r="R244" s="3"/>
      <c r="S244" s="3"/>
      <c r="T244" s="3"/>
      <c r="U244" s="6"/>
      <c r="V244" s="6"/>
      <c r="W244" s="51"/>
      <c r="X244" s="3"/>
      <c r="Y244" s="160"/>
      <c r="Z244" s="48" t="str">
        <f t="shared" si="5"/>
        <v/>
      </c>
      <c r="AA244" s="3"/>
      <c r="AB244" s="3"/>
      <c r="AC244" s="49">
        <f t="shared" si="10"/>
        <v>0</v>
      </c>
      <c r="AD244" s="49">
        <f t="shared" si="11"/>
        <v>0</v>
      </c>
    </row>
    <row r="245">
      <c r="A245" s="3"/>
      <c r="B245" s="165"/>
      <c r="C245" s="3"/>
      <c r="D245" s="3"/>
      <c r="E245" s="3"/>
      <c r="F245" s="3"/>
      <c r="G245" s="3"/>
      <c r="H245" s="3"/>
      <c r="I245" s="3"/>
      <c r="J245" s="3"/>
      <c r="K245" s="3"/>
      <c r="L245" s="44"/>
      <c r="M245" s="3"/>
      <c r="N245" s="3"/>
      <c r="O245" s="3"/>
      <c r="P245" s="3"/>
      <c r="Q245" s="3"/>
      <c r="R245" s="3"/>
      <c r="S245" s="3"/>
      <c r="T245" s="3"/>
      <c r="U245" s="6"/>
      <c r="V245" s="6"/>
      <c r="W245" s="51"/>
      <c r="X245" s="3"/>
      <c r="Y245" s="160"/>
      <c r="Z245" s="48" t="str">
        <f t="shared" si="5"/>
        <v/>
      </c>
      <c r="AA245" s="3"/>
      <c r="AB245" s="3"/>
      <c r="AC245" s="49">
        <f t="shared" si="10"/>
        <v>0</v>
      </c>
      <c r="AD245" s="49">
        <f t="shared" si="11"/>
        <v>0</v>
      </c>
    </row>
    <row r="246">
      <c r="A246" s="3"/>
      <c r="B246" s="165"/>
      <c r="C246" s="3"/>
      <c r="D246" s="3"/>
      <c r="E246" s="3"/>
      <c r="F246" s="3"/>
      <c r="G246" s="3"/>
      <c r="H246" s="3"/>
      <c r="I246" s="3"/>
      <c r="J246" s="3"/>
      <c r="K246" s="3"/>
      <c r="L246" s="44"/>
      <c r="M246" s="3"/>
      <c r="N246" s="3"/>
      <c r="O246" s="3"/>
      <c r="P246" s="3"/>
      <c r="Q246" s="3"/>
      <c r="R246" s="3"/>
      <c r="S246" s="3"/>
      <c r="T246" s="3"/>
      <c r="U246" s="6"/>
      <c r="V246" s="6"/>
      <c r="W246" s="51"/>
      <c r="X246" s="3"/>
      <c r="Y246" s="160"/>
      <c r="Z246" s="48" t="str">
        <f t="shared" si="5"/>
        <v/>
      </c>
      <c r="AA246" s="3"/>
      <c r="AB246" s="3"/>
      <c r="AC246" s="49">
        <f t="shared" si="10"/>
        <v>0</v>
      </c>
      <c r="AD246" s="49">
        <f t="shared" si="11"/>
        <v>0</v>
      </c>
    </row>
    <row r="247">
      <c r="A247" s="3"/>
      <c r="B247" s="165"/>
      <c r="C247" s="3"/>
      <c r="D247" s="3"/>
      <c r="E247" s="3"/>
      <c r="F247" s="3"/>
      <c r="G247" s="3"/>
      <c r="H247" s="3"/>
      <c r="I247" s="3"/>
      <c r="J247" s="3"/>
      <c r="K247" s="3"/>
      <c r="L247" s="44"/>
      <c r="M247" s="3"/>
      <c r="N247" s="3"/>
      <c r="O247" s="3"/>
      <c r="P247" s="3"/>
      <c r="Q247" s="3"/>
      <c r="R247" s="3"/>
      <c r="S247" s="3"/>
      <c r="T247" s="3"/>
      <c r="U247" s="6"/>
      <c r="V247" s="6"/>
      <c r="W247" s="51"/>
      <c r="X247" s="3"/>
      <c r="Y247" s="160"/>
      <c r="Z247" s="48" t="str">
        <f t="shared" si="5"/>
        <v/>
      </c>
      <c r="AA247" s="3"/>
      <c r="AB247" s="3"/>
      <c r="AC247" s="49">
        <f t="shared" si="10"/>
        <v>0</v>
      </c>
      <c r="AD247" s="49">
        <f t="shared" si="11"/>
        <v>0</v>
      </c>
    </row>
    <row r="248">
      <c r="A248" s="3"/>
      <c r="B248" s="165"/>
      <c r="C248" s="3"/>
      <c r="D248" s="3"/>
      <c r="E248" s="3"/>
      <c r="F248" s="3"/>
      <c r="G248" s="3"/>
      <c r="H248" s="3"/>
      <c r="I248" s="3"/>
      <c r="J248" s="3"/>
      <c r="K248" s="3"/>
      <c r="L248" s="44"/>
      <c r="M248" s="3"/>
      <c r="N248" s="3"/>
      <c r="O248" s="3"/>
      <c r="P248" s="3"/>
      <c r="Q248" s="3"/>
      <c r="R248" s="3"/>
      <c r="S248" s="3"/>
      <c r="T248" s="3"/>
      <c r="U248" s="6"/>
      <c r="V248" s="6"/>
      <c r="W248" s="51"/>
      <c r="X248" s="3"/>
      <c r="Y248" s="160"/>
      <c r="Z248" s="48" t="str">
        <f t="shared" si="5"/>
        <v/>
      </c>
      <c r="AA248" s="3"/>
      <c r="AB248" s="3"/>
      <c r="AC248" s="49">
        <f t="shared" si="10"/>
        <v>0</v>
      </c>
      <c r="AD248" s="49">
        <f t="shared" si="11"/>
        <v>0</v>
      </c>
    </row>
    <row r="249">
      <c r="A249" s="3"/>
      <c r="B249" s="165"/>
      <c r="C249" s="3"/>
      <c r="D249" s="3"/>
      <c r="E249" s="3"/>
      <c r="F249" s="3"/>
      <c r="G249" s="3"/>
      <c r="H249" s="3"/>
      <c r="I249" s="3"/>
      <c r="J249" s="3"/>
      <c r="K249" s="3"/>
      <c r="L249" s="44"/>
      <c r="M249" s="3"/>
      <c r="N249" s="3"/>
      <c r="O249" s="3"/>
      <c r="P249" s="3"/>
      <c r="Q249" s="3"/>
      <c r="R249" s="3"/>
      <c r="S249" s="3"/>
      <c r="T249" s="3"/>
      <c r="U249" s="6"/>
      <c r="V249" s="6"/>
      <c r="W249" s="51"/>
      <c r="X249" s="3"/>
      <c r="Y249" s="160"/>
      <c r="Z249" s="48" t="str">
        <f t="shared" si="5"/>
        <v/>
      </c>
      <c r="AA249" s="3"/>
      <c r="AB249" s="3"/>
      <c r="AC249" s="49">
        <f t="shared" si="10"/>
        <v>0</v>
      </c>
      <c r="AD249" s="49">
        <f t="shared" si="11"/>
        <v>0</v>
      </c>
    </row>
    <row r="250">
      <c r="A250" s="1"/>
      <c r="B250" s="171"/>
      <c r="C250" s="1"/>
      <c r="D250" s="1"/>
      <c r="E250" s="1"/>
      <c r="F250" s="1"/>
      <c r="G250" s="1"/>
      <c r="I250" s="1"/>
      <c r="L250" s="1"/>
      <c r="R250" s="1"/>
      <c r="S250" s="1"/>
      <c r="Y250" s="152"/>
      <c r="AC250" s="19"/>
      <c r="AD250" s="19"/>
    </row>
    <row r="251">
      <c r="A251" s="1"/>
      <c r="B251" s="171"/>
      <c r="C251" s="1"/>
      <c r="D251" s="1"/>
      <c r="E251" s="1"/>
      <c r="F251" s="1"/>
      <c r="G251" s="1"/>
      <c r="I251" s="1"/>
      <c r="L251" s="1"/>
      <c r="R251" s="1"/>
      <c r="S251" s="1"/>
      <c r="Y251" s="152"/>
      <c r="AC251" s="19"/>
      <c r="AD251" s="19"/>
    </row>
    <row r="252">
      <c r="A252" s="1">
        <v>1018.0</v>
      </c>
      <c r="Y252" s="152"/>
      <c r="AC252" s="19"/>
      <c r="AD252" s="19"/>
    </row>
    <row r="253">
      <c r="AC253" s="19"/>
      <c r="AD253" s="19"/>
    </row>
    <row r="254">
      <c r="AC254" s="19"/>
      <c r="AD254" s="19"/>
    </row>
    <row r="255">
      <c r="Y255" s="152"/>
      <c r="AC255" s="19"/>
      <c r="AD255" s="19"/>
    </row>
    <row r="256">
      <c r="Y256" s="152"/>
      <c r="AC256" s="19"/>
      <c r="AD256" s="19"/>
    </row>
    <row r="257">
      <c r="Y257" s="152"/>
      <c r="AC257" s="19"/>
      <c r="AD257" s="19"/>
    </row>
    <row r="258">
      <c r="Y258" s="152"/>
      <c r="AC258" s="19"/>
      <c r="AD258" s="19"/>
    </row>
    <row r="259">
      <c r="Y259" s="152"/>
      <c r="AC259" s="19"/>
      <c r="AD259" s="19"/>
    </row>
    <row r="260">
      <c r="Y260" s="152"/>
      <c r="AC260" s="19"/>
      <c r="AD260" s="19"/>
    </row>
    <row r="261">
      <c r="Y261" s="152"/>
      <c r="AC261" s="19"/>
      <c r="AD261" s="19"/>
    </row>
    <row r="262">
      <c r="Y262" s="152"/>
      <c r="AC262" s="19"/>
      <c r="AD262" s="19"/>
    </row>
    <row r="263">
      <c r="Y263" s="152"/>
      <c r="AC263" s="19"/>
      <c r="AD263" s="19"/>
    </row>
    <row r="264">
      <c r="Y264" s="152"/>
      <c r="AC264" s="19"/>
      <c r="AD264" s="19"/>
    </row>
    <row r="265">
      <c r="Y265" s="152"/>
      <c r="AC265" s="19"/>
      <c r="AD265" s="19"/>
    </row>
    <row r="266">
      <c r="Y266" s="152"/>
      <c r="AC266" s="19"/>
      <c r="AD266" s="19"/>
    </row>
    <row r="267">
      <c r="Y267" s="152"/>
      <c r="AC267" s="19"/>
      <c r="AD267" s="19"/>
    </row>
    <row r="268">
      <c r="Y268" s="152"/>
      <c r="AC268" s="19"/>
      <c r="AD268" s="19"/>
    </row>
    <row r="269">
      <c r="Y269" s="152"/>
      <c r="AC269" s="19"/>
      <c r="AD269" s="19"/>
    </row>
    <row r="270">
      <c r="Y270" s="152"/>
      <c r="AC270" s="19"/>
      <c r="AD270" s="19"/>
    </row>
    <row r="271">
      <c r="Y271" s="152"/>
      <c r="AC271" s="19"/>
      <c r="AD271" s="19"/>
    </row>
    <row r="272">
      <c r="Y272" s="152"/>
      <c r="AC272" s="19"/>
      <c r="AD272" s="19"/>
    </row>
    <row r="273">
      <c r="Y273" s="152"/>
      <c r="AC273" s="19"/>
      <c r="AD273" s="19"/>
    </row>
    <row r="274">
      <c r="Y274" s="152"/>
      <c r="AC274" s="19"/>
      <c r="AD274" s="19"/>
    </row>
    <row r="275">
      <c r="Y275" s="152"/>
      <c r="AC275" s="19"/>
      <c r="AD275" s="19"/>
    </row>
    <row r="276">
      <c r="Y276" s="152"/>
      <c r="AC276" s="19"/>
      <c r="AD276" s="19"/>
    </row>
    <row r="277">
      <c r="Y277" s="152"/>
      <c r="AC277" s="19"/>
      <c r="AD277" s="19"/>
    </row>
    <row r="278">
      <c r="Y278" s="152"/>
      <c r="AC278" s="19"/>
      <c r="AD278" s="19"/>
    </row>
    <row r="279">
      <c r="Y279" s="152"/>
      <c r="AC279" s="19"/>
      <c r="AD279" s="19"/>
    </row>
    <row r="280">
      <c r="Y280" s="152"/>
      <c r="AC280" s="19"/>
      <c r="AD280" s="19"/>
    </row>
    <row r="281">
      <c r="Y281" s="152"/>
      <c r="AC281" s="19"/>
      <c r="AD281" s="19"/>
    </row>
    <row r="282">
      <c r="Y282" s="152"/>
      <c r="AC282" s="19"/>
      <c r="AD282" s="19"/>
    </row>
    <row r="283">
      <c r="Y283" s="152"/>
      <c r="AC283" s="19"/>
      <c r="AD283" s="19"/>
    </row>
    <row r="284">
      <c r="Y284" s="152"/>
      <c r="AC284" s="19"/>
      <c r="AD284" s="19"/>
    </row>
    <row r="285">
      <c r="Y285" s="152"/>
      <c r="AC285" s="19"/>
      <c r="AD285" s="19"/>
    </row>
    <row r="286">
      <c r="Y286" s="152"/>
      <c r="AC286" s="19"/>
      <c r="AD286" s="19"/>
    </row>
    <row r="287">
      <c r="Y287" s="152"/>
      <c r="AC287" s="19"/>
      <c r="AD287" s="19"/>
    </row>
    <row r="288">
      <c r="Y288" s="152"/>
      <c r="AC288" s="19"/>
      <c r="AD288" s="19"/>
    </row>
    <row r="289">
      <c r="Y289" s="152"/>
      <c r="AC289" s="19"/>
      <c r="AD289" s="19"/>
    </row>
    <row r="290">
      <c r="Y290" s="152"/>
      <c r="AC290" s="19"/>
      <c r="AD290" s="19"/>
    </row>
    <row r="291">
      <c r="Y291" s="152"/>
      <c r="AC291" s="19"/>
      <c r="AD291" s="19"/>
    </row>
    <row r="292">
      <c r="Y292" s="152"/>
      <c r="AC292" s="19"/>
      <c r="AD292" s="19"/>
    </row>
    <row r="293">
      <c r="Y293" s="152"/>
      <c r="AC293" s="19"/>
      <c r="AD293" s="19"/>
    </row>
    <row r="294">
      <c r="Y294" s="152"/>
      <c r="AC294" s="19"/>
      <c r="AD294" s="19"/>
    </row>
    <row r="295">
      <c r="Y295" s="152"/>
      <c r="AC295" s="19"/>
      <c r="AD295" s="19"/>
    </row>
    <row r="296">
      <c r="Y296" s="152"/>
      <c r="AC296" s="19"/>
      <c r="AD296" s="19"/>
    </row>
    <row r="297">
      <c r="Y297" s="152"/>
      <c r="AC297" s="19"/>
      <c r="AD297" s="19"/>
    </row>
    <row r="298">
      <c r="Y298" s="152"/>
      <c r="AC298" s="19"/>
      <c r="AD298" s="19"/>
    </row>
    <row r="299">
      <c r="Y299" s="152"/>
      <c r="AC299" s="19"/>
      <c r="AD299" s="19"/>
    </row>
    <row r="300">
      <c r="Y300" s="152"/>
      <c r="AC300" s="19"/>
      <c r="AD300" s="19"/>
    </row>
    <row r="301">
      <c r="Y301" s="152"/>
      <c r="AC301" s="19"/>
      <c r="AD301" s="19"/>
    </row>
    <row r="302">
      <c r="Y302" s="152"/>
      <c r="AC302" s="19"/>
      <c r="AD302" s="19"/>
    </row>
    <row r="303">
      <c r="Y303" s="152"/>
      <c r="AC303" s="19"/>
      <c r="AD303" s="19"/>
    </row>
    <row r="304">
      <c r="Y304" s="152"/>
      <c r="AC304" s="19"/>
      <c r="AD304" s="19"/>
    </row>
    <row r="305">
      <c r="Y305" s="152"/>
      <c r="AC305" s="19"/>
      <c r="AD305" s="19"/>
    </row>
    <row r="306">
      <c r="Y306" s="152"/>
      <c r="AC306" s="19"/>
      <c r="AD306" s="19"/>
    </row>
    <row r="307">
      <c r="Y307" s="152"/>
      <c r="AC307" s="19"/>
      <c r="AD307" s="19"/>
    </row>
    <row r="308">
      <c r="Y308" s="152"/>
      <c r="AC308" s="19"/>
      <c r="AD308" s="19"/>
    </row>
    <row r="309">
      <c r="Y309" s="152"/>
      <c r="AC309" s="19"/>
      <c r="AD309" s="19"/>
    </row>
    <row r="310">
      <c r="Y310" s="152"/>
      <c r="AC310" s="19"/>
      <c r="AD310" s="19"/>
    </row>
    <row r="311">
      <c r="Y311" s="152"/>
      <c r="AC311" s="19"/>
      <c r="AD311" s="19"/>
    </row>
    <row r="312">
      <c r="Y312" s="152"/>
      <c r="AC312" s="19"/>
      <c r="AD312" s="19"/>
    </row>
    <row r="313">
      <c r="Y313" s="152"/>
      <c r="AC313" s="19"/>
      <c r="AD313" s="19"/>
    </row>
    <row r="314">
      <c r="Y314" s="152"/>
      <c r="AC314" s="19"/>
      <c r="AD314" s="19"/>
    </row>
    <row r="315">
      <c r="Y315" s="152"/>
      <c r="AC315" s="19"/>
      <c r="AD315" s="19"/>
    </row>
    <row r="316">
      <c r="Y316" s="152"/>
      <c r="AC316" s="19"/>
      <c r="AD316" s="19"/>
    </row>
    <row r="317">
      <c r="Y317" s="152"/>
      <c r="AC317" s="19"/>
      <c r="AD317" s="19"/>
    </row>
    <row r="318">
      <c r="Y318" s="152"/>
      <c r="AC318" s="19"/>
      <c r="AD318" s="19"/>
    </row>
    <row r="319">
      <c r="Y319" s="152"/>
      <c r="AC319" s="19"/>
      <c r="AD319" s="19"/>
    </row>
    <row r="320">
      <c r="Y320" s="152"/>
      <c r="AC320" s="19"/>
      <c r="AD320" s="19"/>
    </row>
    <row r="321">
      <c r="Y321" s="152"/>
      <c r="AC321" s="19"/>
      <c r="AD321" s="19"/>
    </row>
    <row r="322">
      <c r="Y322" s="152"/>
      <c r="AC322" s="19"/>
      <c r="AD322" s="19"/>
    </row>
    <row r="323">
      <c r="Y323" s="152"/>
      <c r="AC323" s="19"/>
      <c r="AD323" s="19"/>
    </row>
    <row r="324">
      <c r="Y324" s="152"/>
      <c r="AC324" s="19"/>
      <c r="AD324" s="19"/>
    </row>
    <row r="325">
      <c r="Y325" s="152"/>
      <c r="AC325" s="19"/>
      <c r="AD325" s="19"/>
    </row>
    <row r="326">
      <c r="Y326" s="152"/>
      <c r="AC326" s="19"/>
      <c r="AD326" s="19"/>
    </row>
    <row r="327">
      <c r="Y327" s="152"/>
      <c r="AC327" s="19"/>
      <c r="AD327" s="19"/>
    </row>
    <row r="328">
      <c r="Y328" s="152"/>
      <c r="AC328" s="19"/>
      <c r="AD328" s="19"/>
    </row>
    <row r="329">
      <c r="Y329" s="152"/>
      <c r="AC329" s="19"/>
      <c r="AD329" s="19"/>
    </row>
    <row r="330">
      <c r="Y330" s="152"/>
      <c r="AC330" s="19"/>
      <c r="AD330" s="19"/>
    </row>
    <row r="331">
      <c r="Y331" s="152"/>
      <c r="AC331" s="19"/>
      <c r="AD331" s="19"/>
    </row>
    <row r="332">
      <c r="Y332" s="152"/>
      <c r="AC332" s="19"/>
      <c r="AD332" s="19"/>
    </row>
    <row r="333">
      <c r="Y333" s="152"/>
      <c r="AC333" s="19"/>
      <c r="AD333" s="19"/>
    </row>
    <row r="334">
      <c r="Y334" s="152"/>
      <c r="AC334" s="19"/>
      <c r="AD334" s="19"/>
    </row>
    <row r="335">
      <c r="Y335" s="152"/>
      <c r="AC335" s="19"/>
      <c r="AD335" s="19"/>
    </row>
    <row r="336">
      <c r="Y336" s="152"/>
      <c r="AC336" s="19"/>
      <c r="AD336" s="19"/>
    </row>
    <row r="337">
      <c r="Y337" s="152"/>
      <c r="AC337" s="19"/>
      <c r="AD337" s="19"/>
    </row>
    <row r="338">
      <c r="Y338" s="152"/>
      <c r="AC338" s="19"/>
      <c r="AD338" s="19"/>
    </row>
    <row r="339">
      <c r="Y339" s="152"/>
      <c r="AC339" s="19"/>
      <c r="AD339" s="19"/>
    </row>
    <row r="340">
      <c r="Y340" s="152"/>
      <c r="AC340" s="19"/>
      <c r="AD340" s="19"/>
    </row>
    <row r="341">
      <c r="Y341" s="152"/>
      <c r="AC341" s="19"/>
      <c r="AD341" s="19"/>
    </row>
    <row r="342">
      <c r="Y342" s="152"/>
      <c r="AC342" s="19"/>
      <c r="AD342" s="19"/>
    </row>
    <row r="343">
      <c r="Y343" s="152"/>
      <c r="AC343" s="19"/>
      <c r="AD343" s="19"/>
    </row>
    <row r="344">
      <c r="Y344" s="152"/>
      <c r="AC344" s="19"/>
      <c r="AD344" s="19"/>
    </row>
    <row r="345">
      <c r="Y345" s="152"/>
      <c r="AC345" s="19"/>
      <c r="AD345" s="19"/>
    </row>
    <row r="346">
      <c r="Y346" s="152"/>
      <c r="AC346" s="19"/>
      <c r="AD346" s="19"/>
    </row>
    <row r="347">
      <c r="Y347" s="152"/>
      <c r="AC347" s="19"/>
      <c r="AD347" s="19"/>
    </row>
    <row r="348">
      <c r="Y348" s="152"/>
      <c r="AC348" s="19"/>
      <c r="AD348" s="19"/>
    </row>
    <row r="349">
      <c r="Y349" s="152"/>
      <c r="AC349" s="19"/>
      <c r="AD349" s="19"/>
    </row>
    <row r="350">
      <c r="Y350" s="152"/>
      <c r="AC350" s="19"/>
      <c r="AD350" s="19"/>
    </row>
    <row r="351">
      <c r="Y351" s="152"/>
      <c r="AC351" s="19"/>
      <c r="AD351" s="19"/>
    </row>
    <row r="352">
      <c r="Y352" s="152"/>
      <c r="AC352" s="19"/>
      <c r="AD352" s="19"/>
    </row>
    <row r="353">
      <c r="Y353" s="152"/>
      <c r="AC353" s="19"/>
      <c r="AD353" s="19"/>
    </row>
    <row r="354">
      <c r="Y354" s="152"/>
      <c r="AC354" s="19"/>
      <c r="AD354" s="19"/>
    </row>
    <row r="355">
      <c r="Y355" s="152"/>
      <c r="AC355" s="19"/>
      <c r="AD355" s="19"/>
    </row>
    <row r="356">
      <c r="Y356" s="152"/>
      <c r="AC356" s="19"/>
      <c r="AD356" s="19"/>
    </row>
    <row r="357">
      <c r="Y357" s="152"/>
      <c r="AC357" s="19"/>
      <c r="AD357" s="19"/>
    </row>
    <row r="358">
      <c r="Y358" s="152"/>
      <c r="AC358" s="19"/>
      <c r="AD358" s="19"/>
    </row>
    <row r="359">
      <c r="Y359" s="152"/>
      <c r="AC359" s="19"/>
      <c r="AD359" s="19"/>
    </row>
    <row r="360">
      <c r="Y360" s="152"/>
      <c r="AC360" s="19"/>
      <c r="AD360" s="19"/>
    </row>
    <row r="361">
      <c r="Y361" s="152"/>
      <c r="AC361" s="19"/>
      <c r="AD361" s="19"/>
    </row>
    <row r="362">
      <c r="Y362" s="152"/>
      <c r="AC362" s="19"/>
      <c r="AD362" s="19"/>
    </row>
    <row r="363">
      <c r="Y363" s="152"/>
      <c r="AC363" s="19"/>
      <c r="AD363" s="19"/>
    </row>
    <row r="364">
      <c r="Y364" s="152"/>
      <c r="AC364" s="19"/>
      <c r="AD364" s="19"/>
    </row>
    <row r="365">
      <c r="Y365" s="152"/>
      <c r="AC365" s="19"/>
      <c r="AD365" s="19"/>
    </row>
    <row r="366">
      <c r="Y366" s="152"/>
      <c r="AC366" s="19"/>
      <c r="AD366" s="19"/>
    </row>
    <row r="367">
      <c r="Y367" s="152"/>
      <c r="AC367" s="19"/>
      <c r="AD367" s="19"/>
    </row>
    <row r="368">
      <c r="Y368" s="152"/>
      <c r="AC368" s="19"/>
      <c r="AD368" s="19"/>
    </row>
    <row r="369">
      <c r="Y369" s="152"/>
      <c r="AC369" s="19"/>
      <c r="AD369" s="19"/>
    </row>
    <row r="370">
      <c r="Y370" s="152"/>
      <c r="AC370" s="19"/>
      <c r="AD370" s="19"/>
    </row>
    <row r="371">
      <c r="Y371" s="152"/>
      <c r="AC371" s="19"/>
      <c r="AD371" s="19"/>
    </row>
    <row r="372">
      <c r="Y372" s="152"/>
      <c r="AC372" s="19"/>
      <c r="AD372" s="19"/>
    </row>
    <row r="373">
      <c r="Y373" s="152"/>
      <c r="AC373" s="19"/>
      <c r="AD373" s="19"/>
    </row>
    <row r="374">
      <c r="Y374" s="152"/>
      <c r="AC374" s="19"/>
      <c r="AD374" s="19"/>
    </row>
    <row r="375">
      <c r="Y375" s="152"/>
      <c r="AC375" s="19"/>
      <c r="AD375" s="19"/>
    </row>
    <row r="376">
      <c r="Y376" s="152"/>
      <c r="AC376" s="19"/>
      <c r="AD376" s="19"/>
    </row>
    <row r="377">
      <c r="Y377" s="152"/>
      <c r="AC377" s="19"/>
      <c r="AD377" s="19"/>
    </row>
    <row r="378">
      <c r="Y378" s="152"/>
      <c r="AC378" s="19"/>
      <c r="AD378" s="19"/>
    </row>
    <row r="379">
      <c r="Y379" s="152"/>
      <c r="AC379" s="19"/>
      <c r="AD379" s="19"/>
    </row>
    <row r="380">
      <c r="Y380" s="152"/>
      <c r="AC380" s="19"/>
      <c r="AD380" s="19"/>
    </row>
    <row r="381">
      <c r="Y381" s="152"/>
      <c r="AC381" s="19"/>
      <c r="AD381" s="19"/>
    </row>
    <row r="382">
      <c r="Y382" s="152"/>
      <c r="AC382" s="19"/>
      <c r="AD382" s="19"/>
    </row>
    <row r="383">
      <c r="Y383" s="152"/>
      <c r="AC383" s="19"/>
      <c r="AD383" s="19"/>
    </row>
    <row r="384">
      <c r="Y384" s="152"/>
      <c r="AC384" s="19"/>
      <c r="AD384" s="19"/>
    </row>
    <row r="385">
      <c r="Y385" s="152"/>
      <c r="AC385" s="19"/>
      <c r="AD385" s="19"/>
    </row>
    <row r="386">
      <c r="Y386" s="152"/>
      <c r="AC386" s="19"/>
      <c r="AD386" s="19"/>
    </row>
    <row r="387">
      <c r="Y387" s="152"/>
      <c r="AC387" s="19"/>
      <c r="AD387" s="19"/>
    </row>
    <row r="388">
      <c r="Y388" s="152"/>
      <c r="AC388" s="19"/>
      <c r="AD388" s="19"/>
    </row>
    <row r="389">
      <c r="Y389" s="152"/>
      <c r="AC389" s="19"/>
      <c r="AD389" s="19"/>
    </row>
    <row r="390">
      <c r="Y390" s="152"/>
      <c r="AC390" s="19"/>
      <c r="AD390" s="19"/>
    </row>
    <row r="391">
      <c r="Y391" s="152"/>
      <c r="AC391" s="19"/>
      <c r="AD391" s="19"/>
    </row>
    <row r="392">
      <c r="Y392" s="152"/>
      <c r="AC392" s="19"/>
      <c r="AD392" s="19"/>
    </row>
    <row r="393">
      <c r="Y393" s="152"/>
      <c r="AC393" s="19"/>
      <c r="AD393" s="19"/>
    </row>
    <row r="394">
      <c r="Y394" s="152"/>
      <c r="AC394" s="19"/>
      <c r="AD394" s="19"/>
    </row>
    <row r="395">
      <c r="Y395" s="152"/>
      <c r="AC395" s="19"/>
      <c r="AD395" s="19"/>
    </row>
    <row r="396">
      <c r="Y396" s="152"/>
      <c r="AC396" s="19"/>
      <c r="AD396" s="19"/>
    </row>
    <row r="397">
      <c r="Y397" s="152"/>
      <c r="AC397" s="19"/>
      <c r="AD397" s="19"/>
    </row>
    <row r="398">
      <c r="Y398" s="152"/>
      <c r="AC398" s="19"/>
      <c r="AD398" s="19"/>
    </row>
    <row r="399">
      <c r="Y399" s="152"/>
      <c r="AC399" s="19"/>
      <c r="AD399" s="19"/>
    </row>
    <row r="400">
      <c r="Y400" s="152"/>
      <c r="AC400" s="19"/>
      <c r="AD400" s="19"/>
    </row>
    <row r="401">
      <c r="Y401" s="152"/>
      <c r="AC401" s="19"/>
      <c r="AD401" s="19"/>
    </row>
    <row r="402">
      <c r="Y402" s="152"/>
      <c r="AC402" s="19"/>
      <c r="AD402" s="19"/>
    </row>
    <row r="403">
      <c r="Y403" s="152"/>
      <c r="AC403" s="19"/>
      <c r="AD403" s="19"/>
    </row>
    <row r="404">
      <c r="Y404" s="152"/>
      <c r="AC404" s="19"/>
      <c r="AD404" s="19"/>
    </row>
    <row r="405">
      <c r="Y405" s="152"/>
      <c r="AC405" s="19"/>
      <c r="AD405" s="19"/>
    </row>
    <row r="406">
      <c r="Y406" s="152"/>
      <c r="AC406" s="19"/>
      <c r="AD406" s="19"/>
    </row>
    <row r="407">
      <c r="Y407" s="152"/>
      <c r="AC407" s="19"/>
      <c r="AD407" s="19"/>
    </row>
    <row r="408">
      <c r="Y408" s="152"/>
      <c r="AC408" s="19"/>
      <c r="AD408" s="19"/>
    </row>
    <row r="409">
      <c r="Y409" s="152"/>
      <c r="AC409" s="19"/>
      <c r="AD409" s="19"/>
    </row>
    <row r="410">
      <c r="Y410" s="152"/>
      <c r="AC410" s="19"/>
      <c r="AD410" s="19"/>
    </row>
    <row r="411">
      <c r="Y411" s="152"/>
      <c r="AC411" s="19"/>
      <c r="AD411" s="19"/>
    </row>
    <row r="412">
      <c r="Y412" s="152"/>
      <c r="AC412" s="19"/>
      <c r="AD412" s="19"/>
    </row>
    <row r="413">
      <c r="Y413" s="152"/>
      <c r="AC413" s="19"/>
      <c r="AD413" s="19"/>
    </row>
    <row r="414">
      <c r="Y414" s="152"/>
      <c r="AC414" s="19"/>
      <c r="AD414" s="19"/>
    </row>
    <row r="415">
      <c r="Y415" s="152"/>
      <c r="AC415" s="19"/>
      <c r="AD415" s="19"/>
    </row>
    <row r="416">
      <c r="Y416" s="152"/>
      <c r="AC416" s="19"/>
      <c r="AD416" s="19"/>
    </row>
    <row r="417">
      <c r="Y417" s="152"/>
      <c r="AC417" s="19"/>
      <c r="AD417" s="19"/>
    </row>
    <row r="418">
      <c r="Y418" s="152"/>
      <c r="AC418" s="19"/>
      <c r="AD418" s="19"/>
    </row>
    <row r="419">
      <c r="Y419" s="152"/>
      <c r="AC419" s="19"/>
      <c r="AD419" s="19"/>
    </row>
    <row r="420">
      <c r="Y420" s="152"/>
      <c r="AC420" s="19"/>
      <c r="AD420" s="19"/>
    </row>
    <row r="421">
      <c r="Y421" s="152"/>
      <c r="AC421" s="19"/>
      <c r="AD421" s="19"/>
    </row>
    <row r="422">
      <c r="Y422" s="152"/>
      <c r="AC422" s="19"/>
      <c r="AD422" s="19"/>
    </row>
    <row r="423">
      <c r="Y423" s="152"/>
      <c r="AC423" s="19"/>
      <c r="AD423" s="19"/>
    </row>
    <row r="424">
      <c r="Y424" s="152"/>
      <c r="AC424" s="19"/>
      <c r="AD424" s="19"/>
    </row>
    <row r="425">
      <c r="Y425" s="152"/>
      <c r="AC425" s="19"/>
      <c r="AD425" s="19"/>
    </row>
    <row r="426">
      <c r="Y426" s="152"/>
      <c r="AC426" s="19"/>
      <c r="AD426" s="19"/>
    </row>
    <row r="427">
      <c r="Y427" s="152"/>
      <c r="AC427" s="19"/>
      <c r="AD427" s="19"/>
    </row>
    <row r="428">
      <c r="Y428" s="152"/>
      <c r="AC428" s="19"/>
      <c r="AD428" s="19"/>
    </row>
    <row r="429">
      <c r="Y429" s="152"/>
      <c r="AC429" s="19"/>
      <c r="AD429" s="19"/>
    </row>
    <row r="430">
      <c r="Y430" s="152"/>
      <c r="AC430" s="19"/>
      <c r="AD430" s="19"/>
    </row>
    <row r="431">
      <c r="Y431" s="152"/>
      <c r="AC431" s="19"/>
      <c r="AD431" s="19"/>
    </row>
    <row r="432">
      <c r="Y432" s="152"/>
      <c r="AC432" s="19"/>
      <c r="AD432" s="19"/>
    </row>
    <row r="433">
      <c r="Y433" s="152"/>
      <c r="AC433" s="19"/>
      <c r="AD433" s="19"/>
    </row>
    <row r="434">
      <c r="Y434" s="152"/>
      <c r="AC434" s="19"/>
      <c r="AD434" s="19"/>
    </row>
    <row r="435">
      <c r="Y435" s="152"/>
      <c r="AC435" s="19"/>
      <c r="AD435" s="19"/>
    </row>
    <row r="436">
      <c r="Y436" s="152"/>
      <c r="AC436" s="19"/>
      <c r="AD436" s="19"/>
    </row>
    <row r="437">
      <c r="Y437" s="152"/>
      <c r="AC437" s="19"/>
      <c r="AD437" s="19"/>
    </row>
    <row r="438">
      <c r="Y438" s="152"/>
      <c r="AC438" s="19"/>
      <c r="AD438" s="19"/>
    </row>
    <row r="439">
      <c r="Y439" s="152"/>
      <c r="AC439" s="19"/>
      <c r="AD439" s="19"/>
    </row>
    <row r="440">
      <c r="Y440" s="152"/>
      <c r="AC440" s="19"/>
      <c r="AD440" s="19"/>
    </row>
    <row r="441">
      <c r="Y441" s="152"/>
      <c r="AC441" s="19"/>
      <c r="AD441" s="19"/>
    </row>
    <row r="442">
      <c r="Y442" s="152"/>
      <c r="AC442" s="19"/>
      <c r="AD442" s="19"/>
    </row>
    <row r="443">
      <c r="Y443" s="152"/>
      <c r="AC443" s="19"/>
      <c r="AD443" s="19"/>
    </row>
    <row r="444">
      <c r="Y444" s="152"/>
      <c r="AC444" s="19"/>
      <c r="AD444" s="19"/>
    </row>
    <row r="445">
      <c r="Y445" s="152"/>
      <c r="AC445" s="19"/>
      <c r="AD445" s="19"/>
    </row>
    <row r="446">
      <c r="Y446" s="152"/>
      <c r="AC446" s="19"/>
      <c r="AD446" s="19"/>
    </row>
    <row r="447">
      <c r="Y447" s="152"/>
      <c r="AC447" s="19"/>
      <c r="AD447" s="19"/>
    </row>
    <row r="448">
      <c r="Y448" s="152"/>
      <c r="AC448" s="19"/>
      <c r="AD448" s="19"/>
    </row>
    <row r="449">
      <c r="Y449" s="152"/>
      <c r="AC449" s="19"/>
      <c r="AD449" s="19"/>
    </row>
    <row r="450">
      <c r="Y450" s="152"/>
      <c r="AC450" s="19"/>
      <c r="AD450" s="19"/>
    </row>
    <row r="451">
      <c r="Y451" s="152"/>
      <c r="AC451" s="19"/>
      <c r="AD451" s="19"/>
    </row>
    <row r="452">
      <c r="Y452" s="152"/>
      <c r="AC452" s="19"/>
      <c r="AD452" s="19"/>
    </row>
    <row r="453">
      <c r="Y453" s="152"/>
      <c r="AC453" s="19"/>
      <c r="AD453" s="19"/>
    </row>
    <row r="454">
      <c r="Y454" s="152"/>
      <c r="AC454" s="19"/>
      <c r="AD454" s="19"/>
    </row>
    <row r="455">
      <c r="Y455" s="152"/>
      <c r="AC455" s="19"/>
      <c r="AD455" s="19"/>
    </row>
    <row r="456">
      <c r="Y456" s="152"/>
      <c r="AC456" s="19"/>
      <c r="AD456" s="19"/>
    </row>
    <row r="457">
      <c r="Y457" s="152"/>
      <c r="AC457" s="19"/>
      <c r="AD457" s="19"/>
    </row>
    <row r="458">
      <c r="Y458" s="152"/>
      <c r="AC458" s="19"/>
      <c r="AD458" s="19"/>
    </row>
    <row r="459">
      <c r="Y459" s="152"/>
      <c r="AC459" s="19"/>
      <c r="AD459" s="19"/>
    </row>
    <row r="460">
      <c r="Y460" s="152"/>
      <c r="AC460" s="19"/>
      <c r="AD460" s="19"/>
    </row>
    <row r="461">
      <c r="Y461" s="152"/>
      <c r="AC461" s="19"/>
      <c r="AD461" s="19"/>
    </row>
    <row r="462">
      <c r="Y462" s="152"/>
      <c r="AC462" s="19"/>
      <c r="AD462" s="19"/>
    </row>
    <row r="463">
      <c r="Y463" s="152"/>
      <c r="AC463" s="19"/>
      <c r="AD463" s="19"/>
    </row>
    <row r="464">
      <c r="Y464" s="152"/>
      <c r="AC464" s="19"/>
      <c r="AD464" s="19"/>
    </row>
    <row r="465">
      <c r="Y465" s="152"/>
      <c r="AC465" s="19"/>
      <c r="AD465" s="19"/>
    </row>
    <row r="466">
      <c r="Y466" s="152"/>
      <c r="AC466" s="19"/>
      <c r="AD466" s="19"/>
    </row>
    <row r="467">
      <c r="Y467" s="152"/>
      <c r="AC467" s="19"/>
      <c r="AD467" s="19"/>
    </row>
    <row r="468">
      <c r="Y468" s="152"/>
      <c r="AC468" s="19"/>
      <c r="AD468" s="19"/>
    </row>
    <row r="469">
      <c r="Y469" s="152"/>
      <c r="AC469" s="19"/>
      <c r="AD469" s="19"/>
    </row>
    <row r="470">
      <c r="Y470" s="152"/>
      <c r="AC470" s="19"/>
      <c r="AD470" s="19"/>
    </row>
    <row r="471">
      <c r="Y471" s="152"/>
      <c r="AC471" s="19"/>
      <c r="AD471" s="19"/>
    </row>
    <row r="472">
      <c r="Y472" s="152"/>
      <c r="AC472" s="19"/>
      <c r="AD472" s="19"/>
    </row>
    <row r="473">
      <c r="Y473" s="152"/>
      <c r="AC473" s="19"/>
      <c r="AD473" s="19"/>
    </row>
    <row r="474">
      <c r="Y474" s="152"/>
      <c r="AC474" s="19"/>
      <c r="AD474" s="19"/>
    </row>
    <row r="475">
      <c r="Y475" s="152"/>
      <c r="AC475" s="19"/>
      <c r="AD475" s="19"/>
    </row>
    <row r="476">
      <c r="Y476" s="152"/>
      <c r="AC476" s="19"/>
      <c r="AD476" s="19"/>
    </row>
    <row r="477">
      <c r="Y477" s="152"/>
      <c r="AC477" s="19"/>
      <c r="AD477" s="19"/>
    </row>
    <row r="478">
      <c r="Y478" s="152"/>
      <c r="AC478" s="19"/>
      <c r="AD478" s="19"/>
    </row>
    <row r="479">
      <c r="Y479" s="152"/>
      <c r="AC479" s="19"/>
      <c r="AD479" s="19"/>
    </row>
    <row r="480">
      <c r="Y480" s="152"/>
      <c r="AC480" s="19"/>
      <c r="AD480" s="19"/>
    </row>
    <row r="481">
      <c r="Y481" s="152"/>
      <c r="AC481" s="19"/>
      <c r="AD481" s="19"/>
    </row>
    <row r="482">
      <c r="Y482" s="152"/>
      <c r="AC482" s="19"/>
      <c r="AD482" s="19"/>
    </row>
    <row r="483">
      <c r="Y483" s="152"/>
      <c r="AC483" s="19"/>
      <c r="AD483" s="19"/>
    </row>
    <row r="484">
      <c r="Y484" s="152"/>
      <c r="AC484" s="19"/>
      <c r="AD484" s="19"/>
    </row>
    <row r="485">
      <c r="Y485" s="152"/>
      <c r="AC485" s="19"/>
      <c r="AD485" s="19"/>
    </row>
    <row r="486">
      <c r="Y486" s="152"/>
      <c r="AC486" s="19"/>
      <c r="AD486" s="19"/>
    </row>
    <row r="487">
      <c r="Y487" s="152"/>
      <c r="AC487" s="19"/>
      <c r="AD487" s="19"/>
    </row>
    <row r="488">
      <c r="Y488" s="152"/>
      <c r="AC488" s="19"/>
      <c r="AD488" s="19"/>
    </row>
    <row r="489">
      <c r="Y489" s="152"/>
      <c r="AC489" s="19"/>
      <c r="AD489" s="19"/>
    </row>
    <row r="490">
      <c r="Y490" s="152"/>
      <c r="AC490" s="19"/>
      <c r="AD490" s="19"/>
    </row>
    <row r="491">
      <c r="Y491" s="152"/>
      <c r="AC491" s="19"/>
      <c r="AD491" s="19"/>
    </row>
    <row r="492">
      <c r="Y492" s="152"/>
      <c r="AC492" s="19"/>
      <c r="AD492" s="19"/>
    </row>
    <row r="493">
      <c r="Y493" s="152"/>
      <c r="AC493" s="19"/>
      <c r="AD493" s="19"/>
    </row>
    <row r="494">
      <c r="Y494" s="152"/>
      <c r="AC494" s="19"/>
      <c r="AD494" s="19"/>
    </row>
    <row r="495">
      <c r="Y495" s="152"/>
      <c r="AC495" s="19"/>
      <c r="AD495" s="19"/>
    </row>
    <row r="496">
      <c r="Y496" s="152"/>
      <c r="AC496" s="19"/>
      <c r="AD496" s="19"/>
    </row>
    <row r="497">
      <c r="Y497" s="152"/>
      <c r="AC497" s="19"/>
      <c r="AD497" s="19"/>
    </row>
    <row r="498">
      <c r="Y498" s="152"/>
      <c r="AC498" s="19"/>
      <c r="AD498" s="19"/>
    </row>
    <row r="499">
      <c r="Y499" s="152"/>
      <c r="AC499" s="19"/>
      <c r="AD499" s="19"/>
    </row>
    <row r="500">
      <c r="Y500" s="152"/>
      <c r="AC500" s="19"/>
      <c r="AD500" s="19"/>
    </row>
    <row r="501">
      <c r="Y501" s="152"/>
      <c r="AC501" s="19"/>
      <c r="AD501" s="19"/>
    </row>
    <row r="502">
      <c r="Y502" s="152"/>
      <c r="AC502" s="19"/>
      <c r="AD502" s="19"/>
    </row>
    <row r="503">
      <c r="Y503" s="152"/>
      <c r="AC503" s="19"/>
      <c r="AD503" s="19"/>
    </row>
    <row r="504">
      <c r="Y504" s="152"/>
      <c r="AC504" s="19"/>
      <c r="AD504" s="19"/>
    </row>
    <row r="505">
      <c r="Y505" s="152"/>
      <c r="AC505" s="19"/>
      <c r="AD505" s="19"/>
    </row>
    <row r="506">
      <c r="Y506" s="152"/>
      <c r="AC506" s="19"/>
      <c r="AD506" s="19"/>
    </row>
    <row r="507">
      <c r="Y507" s="152"/>
      <c r="AC507" s="19"/>
      <c r="AD507" s="19"/>
    </row>
    <row r="508">
      <c r="Y508" s="152"/>
      <c r="AC508" s="19"/>
      <c r="AD508" s="19"/>
    </row>
    <row r="509">
      <c r="Y509" s="152"/>
      <c r="AC509" s="19"/>
      <c r="AD509" s="19"/>
    </row>
    <row r="510">
      <c r="Y510" s="152"/>
      <c r="AC510" s="19"/>
      <c r="AD510" s="19"/>
    </row>
    <row r="511">
      <c r="Y511" s="152"/>
      <c r="AC511" s="19"/>
      <c r="AD511" s="19"/>
    </row>
    <row r="512">
      <c r="Y512" s="152"/>
      <c r="AC512" s="19"/>
      <c r="AD512" s="19"/>
    </row>
    <row r="513">
      <c r="Y513" s="152"/>
      <c r="AC513" s="19"/>
      <c r="AD513" s="19"/>
    </row>
    <row r="514">
      <c r="Y514" s="152"/>
      <c r="AC514" s="19"/>
      <c r="AD514" s="19"/>
    </row>
    <row r="515">
      <c r="Y515" s="152"/>
      <c r="AC515" s="19"/>
      <c r="AD515" s="19"/>
    </row>
    <row r="516">
      <c r="Y516" s="152"/>
      <c r="AC516" s="19"/>
      <c r="AD516" s="19"/>
    </row>
    <row r="517">
      <c r="Y517" s="152"/>
      <c r="AC517" s="19"/>
      <c r="AD517" s="19"/>
    </row>
    <row r="518">
      <c r="Y518" s="152"/>
      <c r="AC518" s="19"/>
      <c r="AD518" s="19"/>
    </row>
    <row r="519">
      <c r="Y519" s="152"/>
      <c r="AC519" s="19"/>
      <c r="AD519" s="19"/>
    </row>
    <row r="520">
      <c r="Y520" s="152"/>
      <c r="AC520" s="19"/>
      <c r="AD520" s="19"/>
    </row>
    <row r="521">
      <c r="Y521" s="152"/>
      <c r="AC521" s="19"/>
      <c r="AD521" s="19"/>
    </row>
    <row r="522">
      <c r="Y522" s="152"/>
      <c r="AC522" s="19"/>
      <c r="AD522" s="19"/>
    </row>
    <row r="523">
      <c r="Y523" s="152"/>
      <c r="AC523" s="19"/>
      <c r="AD523" s="19"/>
    </row>
    <row r="524">
      <c r="Y524" s="152"/>
      <c r="AC524" s="19"/>
      <c r="AD524" s="19"/>
    </row>
    <row r="525">
      <c r="Y525" s="152"/>
      <c r="AC525" s="19"/>
      <c r="AD525" s="19"/>
    </row>
    <row r="526">
      <c r="Y526" s="152"/>
      <c r="AC526" s="19"/>
      <c r="AD526" s="19"/>
    </row>
    <row r="527">
      <c r="Y527" s="152"/>
      <c r="AC527" s="19"/>
      <c r="AD527" s="19"/>
    </row>
    <row r="528">
      <c r="Y528" s="152"/>
      <c r="AC528" s="19"/>
      <c r="AD528" s="19"/>
    </row>
    <row r="529">
      <c r="Y529" s="152"/>
      <c r="AC529" s="19"/>
      <c r="AD529" s="19"/>
    </row>
    <row r="530">
      <c r="Y530" s="152"/>
      <c r="AC530" s="19"/>
      <c r="AD530" s="19"/>
    </row>
    <row r="531">
      <c r="Y531" s="152"/>
      <c r="AC531" s="19"/>
      <c r="AD531" s="19"/>
    </row>
    <row r="532">
      <c r="Y532" s="152"/>
      <c r="AC532" s="19"/>
      <c r="AD532" s="19"/>
    </row>
    <row r="533">
      <c r="Y533" s="152"/>
      <c r="AC533" s="19"/>
      <c r="AD533" s="19"/>
    </row>
    <row r="534">
      <c r="Y534" s="152"/>
      <c r="AC534" s="19"/>
      <c r="AD534" s="19"/>
    </row>
    <row r="535">
      <c r="Y535" s="152"/>
      <c r="AC535" s="19"/>
      <c r="AD535" s="19"/>
    </row>
    <row r="536">
      <c r="Y536" s="152"/>
      <c r="AC536" s="19"/>
      <c r="AD536" s="19"/>
    </row>
    <row r="537">
      <c r="Y537" s="152"/>
      <c r="AC537" s="19"/>
      <c r="AD537" s="19"/>
    </row>
    <row r="538">
      <c r="Y538" s="152"/>
      <c r="AC538" s="19"/>
      <c r="AD538" s="19"/>
    </row>
    <row r="539">
      <c r="Y539" s="152"/>
      <c r="AC539" s="19"/>
      <c r="AD539" s="19"/>
    </row>
    <row r="540">
      <c r="Y540" s="152"/>
      <c r="AC540" s="19"/>
      <c r="AD540" s="19"/>
    </row>
    <row r="541">
      <c r="Y541" s="152"/>
      <c r="AC541" s="19"/>
      <c r="AD541" s="19"/>
    </row>
    <row r="542">
      <c r="Y542" s="152"/>
      <c r="AC542" s="19"/>
      <c r="AD542" s="19"/>
    </row>
    <row r="543">
      <c r="Y543" s="152"/>
      <c r="AC543" s="19"/>
      <c r="AD543" s="19"/>
    </row>
    <row r="544">
      <c r="Y544" s="152"/>
      <c r="AC544" s="19"/>
      <c r="AD544" s="19"/>
    </row>
    <row r="545">
      <c r="Y545" s="152"/>
      <c r="AC545" s="19"/>
      <c r="AD545" s="19"/>
    </row>
    <row r="546">
      <c r="Y546" s="152"/>
      <c r="AC546" s="19"/>
      <c r="AD546" s="19"/>
    </row>
    <row r="547">
      <c r="Y547" s="152"/>
      <c r="AC547" s="19"/>
      <c r="AD547" s="19"/>
    </row>
    <row r="548">
      <c r="Y548" s="152"/>
      <c r="AC548" s="19"/>
      <c r="AD548" s="19"/>
    </row>
    <row r="549">
      <c r="Y549" s="152"/>
      <c r="AC549" s="19"/>
      <c r="AD549" s="19"/>
    </row>
    <row r="550">
      <c r="Y550" s="152"/>
      <c r="AC550" s="19"/>
      <c r="AD550" s="19"/>
    </row>
    <row r="551">
      <c r="Y551" s="152"/>
      <c r="AC551" s="19"/>
      <c r="AD551" s="19"/>
    </row>
    <row r="552">
      <c r="Y552" s="152"/>
      <c r="AC552" s="19"/>
      <c r="AD552" s="19"/>
    </row>
    <row r="553">
      <c r="Y553" s="152"/>
      <c r="AC553" s="19"/>
      <c r="AD553" s="19"/>
    </row>
    <row r="554">
      <c r="Y554" s="152"/>
      <c r="AC554" s="19"/>
      <c r="AD554" s="19"/>
    </row>
    <row r="555">
      <c r="Y555" s="152"/>
      <c r="AC555" s="19"/>
      <c r="AD555" s="19"/>
    </row>
    <row r="556">
      <c r="Y556" s="152"/>
      <c r="AC556" s="19"/>
      <c r="AD556" s="19"/>
    </row>
    <row r="557">
      <c r="Y557" s="152"/>
      <c r="AC557" s="19"/>
      <c r="AD557" s="19"/>
    </row>
    <row r="558">
      <c r="Y558" s="152"/>
      <c r="AC558" s="19"/>
      <c r="AD558" s="19"/>
    </row>
    <row r="559">
      <c r="Y559" s="152"/>
      <c r="AC559" s="19"/>
      <c r="AD559" s="19"/>
    </row>
    <row r="560">
      <c r="Y560" s="152"/>
      <c r="AC560" s="19"/>
      <c r="AD560" s="19"/>
    </row>
    <row r="561">
      <c r="Y561" s="152"/>
      <c r="AC561" s="19"/>
      <c r="AD561" s="19"/>
    </row>
    <row r="562">
      <c r="Y562" s="152"/>
      <c r="AC562" s="19"/>
      <c r="AD562" s="19"/>
    </row>
    <row r="563">
      <c r="Y563" s="152"/>
      <c r="AC563" s="19"/>
      <c r="AD563" s="19"/>
    </row>
    <row r="564">
      <c r="Y564" s="152"/>
      <c r="AC564" s="19"/>
      <c r="AD564" s="19"/>
    </row>
    <row r="565">
      <c r="Y565" s="152"/>
      <c r="AC565" s="19"/>
      <c r="AD565" s="19"/>
    </row>
    <row r="566">
      <c r="Y566" s="152"/>
      <c r="AC566" s="19"/>
      <c r="AD566" s="19"/>
    </row>
    <row r="567">
      <c r="Y567" s="152"/>
      <c r="AC567" s="19"/>
      <c r="AD567" s="19"/>
    </row>
    <row r="568">
      <c r="Y568" s="152"/>
      <c r="AC568" s="19"/>
      <c r="AD568" s="19"/>
    </row>
    <row r="569">
      <c r="Y569" s="152"/>
      <c r="AC569" s="19"/>
      <c r="AD569" s="19"/>
    </row>
    <row r="570">
      <c r="Y570" s="152"/>
      <c r="AC570" s="19"/>
      <c r="AD570" s="19"/>
    </row>
    <row r="571">
      <c r="Y571" s="152"/>
      <c r="AC571" s="19"/>
      <c r="AD571" s="19"/>
    </row>
    <row r="572">
      <c r="Y572" s="152"/>
      <c r="AC572" s="19"/>
      <c r="AD572" s="19"/>
    </row>
    <row r="573">
      <c r="Y573" s="152"/>
      <c r="AC573" s="19"/>
      <c r="AD573" s="19"/>
    </row>
    <row r="574">
      <c r="Y574" s="152"/>
      <c r="AC574" s="19"/>
      <c r="AD574" s="19"/>
    </row>
    <row r="575">
      <c r="Y575" s="152"/>
      <c r="AC575" s="19"/>
      <c r="AD575" s="19"/>
    </row>
    <row r="576">
      <c r="Y576" s="152"/>
      <c r="AC576" s="19"/>
      <c r="AD576" s="19"/>
    </row>
    <row r="577">
      <c r="Y577" s="152"/>
      <c r="AC577" s="19"/>
      <c r="AD577" s="19"/>
    </row>
    <row r="578">
      <c r="Y578" s="152"/>
      <c r="AC578" s="19"/>
      <c r="AD578" s="19"/>
    </row>
    <row r="579">
      <c r="Y579" s="152"/>
      <c r="AC579" s="19"/>
      <c r="AD579" s="19"/>
    </row>
    <row r="580">
      <c r="Y580" s="152"/>
      <c r="AC580" s="19"/>
      <c r="AD580" s="19"/>
    </row>
    <row r="581">
      <c r="Y581" s="152"/>
      <c r="AC581" s="19"/>
      <c r="AD581" s="19"/>
    </row>
    <row r="582">
      <c r="Y582" s="152"/>
      <c r="AC582" s="19"/>
      <c r="AD582" s="19"/>
    </row>
    <row r="583">
      <c r="Y583" s="152"/>
      <c r="AC583" s="19"/>
      <c r="AD583" s="19"/>
    </row>
    <row r="584">
      <c r="Y584" s="152"/>
      <c r="AC584" s="19"/>
      <c r="AD584" s="19"/>
    </row>
    <row r="585">
      <c r="Y585" s="152"/>
      <c r="AC585" s="19"/>
      <c r="AD585" s="19"/>
    </row>
    <row r="586">
      <c r="Y586" s="152"/>
      <c r="AC586" s="19"/>
      <c r="AD586" s="19"/>
    </row>
    <row r="587">
      <c r="Y587" s="152"/>
      <c r="AC587" s="19"/>
      <c r="AD587" s="19"/>
    </row>
    <row r="588">
      <c r="Y588" s="152"/>
      <c r="AC588" s="19"/>
      <c r="AD588" s="19"/>
    </row>
    <row r="589">
      <c r="Y589" s="152"/>
      <c r="AC589" s="19"/>
      <c r="AD589" s="19"/>
    </row>
    <row r="590">
      <c r="Y590" s="152"/>
      <c r="AC590" s="19"/>
      <c r="AD590" s="19"/>
    </row>
    <row r="591">
      <c r="Y591" s="152"/>
      <c r="AC591" s="19"/>
      <c r="AD591" s="19"/>
    </row>
    <row r="592">
      <c r="Y592" s="152"/>
      <c r="AC592" s="19"/>
      <c r="AD592" s="19"/>
    </row>
    <row r="593">
      <c r="Y593" s="152"/>
      <c r="AC593" s="19"/>
      <c r="AD593" s="19"/>
    </row>
    <row r="594">
      <c r="Y594" s="152"/>
      <c r="AC594" s="19"/>
      <c r="AD594" s="19"/>
    </row>
    <row r="595">
      <c r="Y595" s="152"/>
      <c r="AC595" s="19"/>
      <c r="AD595" s="19"/>
    </row>
    <row r="596">
      <c r="Y596" s="152"/>
      <c r="AC596" s="19"/>
      <c r="AD596" s="19"/>
    </row>
    <row r="597">
      <c r="Y597" s="152"/>
      <c r="AC597" s="19"/>
      <c r="AD597" s="19"/>
    </row>
    <row r="598">
      <c r="Y598" s="152"/>
      <c r="AC598" s="19"/>
      <c r="AD598" s="19"/>
    </row>
    <row r="599">
      <c r="Y599" s="152"/>
      <c r="AC599" s="19"/>
      <c r="AD599" s="19"/>
    </row>
    <row r="600">
      <c r="Y600" s="152"/>
      <c r="AC600" s="19"/>
      <c r="AD600" s="19"/>
    </row>
    <row r="601">
      <c r="Y601" s="152"/>
      <c r="AC601" s="19"/>
      <c r="AD601" s="19"/>
    </row>
    <row r="602">
      <c r="Y602" s="152"/>
      <c r="AC602" s="19"/>
      <c r="AD602" s="19"/>
    </row>
    <row r="603">
      <c r="Y603" s="152"/>
      <c r="AC603" s="19"/>
      <c r="AD603" s="19"/>
    </row>
    <row r="604">
      <c r="Y604" s="152"/>
      <c r="AC604" s="19"/>
      <c r="AD604" s="19"/>
    </row>
    <row r="605">
      <c r="Y605" s="152"/>
      <c r="AC605" s="19"/>
      <c r="AD605" s="19"/>
    </row>
    <row r="606">
      <c r="Y606" s="152"/>
      <c r="AC606" s="19"/>
      <c r="AD606" s="19"/>
    </row>
    <row r="607">
      <c r="Y607" s="152"/>
      <c r="AC607" s="19"/>
      <c r="AD607" s="19"/>
    </row>
    <row r="608">
      <c r="Y608" s="152"/>
      <c r="AC608" s="19"/>
      <c r="AD608" s="19"/>
    </row>
    <row r="609">
      <c r="Y609" s="152"/>
      <c r="AC609" s="19"/>
      <c r="AD609" s="19"/>
    </row>
    <row r="610">
      <c r="Y610" s="152"/>
      <c r="AC610" s="19"/>
      <c r="AD610" s="19"/>
    </row>
    <row r="611">
      <c r="Y611" s="152"/>
      <c r="AC611" s="19"/>
      <c r="AD611" s="19"/>
    </row>
    <row r="612">
      <c r="Y612" s="152"/>
      <c r="AC612" s="19"/>
      <c r="AD612" s="19"/>
    </row>
    <row r="613">
      <c r="Y613" s="152"/>
      <c r="AC613" s="19"/>
      <c r="AD613" s="19"/>
    </row>
    <row r="614">
      <c r="Y614" s="152"/>
      <c r="AC614" s="19"/>
      <c r="AD614" s="19"/>
    </row>
    <row r="615">
      <c r="Y615" s="152"/>
      <c r="AC615" s="19"/>
      <c r="AD615" s="19"/>
    </row>
    <row r="616">
      <c r="Y616" s="152"/>
      <c r="AC616" s="19"/>
      <c r="AD616" s="19"/>
    </row>
    <row r="617">
      <c r="Y617" s="152"/>
      <c r="AC617" s="19"/>
      <c r="AD617" s="19"/>
    </row>
    <row r="618">
      <c r="Y618" s="152"/>
      <c r="AC618" s="19"/>
      <c r="AD618" s="19"/>
    </row>
    <row r="619">
      <c r="Y619" s="152"/>
      <c r="AC619" s="19"/>
      <c r="AD619" s="19"/>
    </row>
    <row r="620">
      <c r="Y620" s="152"/>
      <c r="AC620" s="19"/>
      <c r="AD620" s="19"/>
    </row>
    <row r="621">
      <c r="Y621" s="152"/>
      <c r="AC621" s="19"/>
      <c r="AD621" s="19"/>
    </row>
    <row r="622">
      <c r="Y622" s="152"/>
      <c r="AC622" s="19"/>
      <c r="AD622" s="19"/>
    </row>
    <row r="623">
      <c r="Y623" s="152"/>
      <c r="AC623" s="19"/>
      <c r="AD623" s="19"/>
    </row>
    <row r="624">
      <c r="Y624" s="152"/>
      <c r="AC624" s="19"/>
      <c r="AD624" s="19"/>
    </row>
    <row r="625">
      <c r="Y625" s="152"/>
      <c r="AC625" s="19"/>
      <c r="AD625" s="19"/>
    </row>
    <row r="626">
      <c r="Y626" s="152"/>
      <c r="AC626" s="19"/>
      <c r="AD626" s="19"/>
    </row>
    <row r="627">
      <c r="Y627" s="152"/>
      <c r="AC627" s="19"/>
      <c r="AD627" s="19"/>
    </row>
    <row r="628">
      <c r="Y628" s="152"/>
      <c r="AC628" s="19"/>
      <c r="AD628" s="19"/>
    </row>
    <row r="629">
      <c r="Y629" s="152"/>
      <c r="AC629" s="19"/>
      <c r="AD629" s="19"/>
    </row>
    <row r="630">
      <c r="Y630" s="152"/>
      <c r="AC630" s="19"/>
      <c r="AD630" s="19"/>
    </row>
    <row r="631">
      <c r="Y631" s="152"/>
      <c r="AC631" s="19"/>
      <c r="AD631" s="19"/>
    </row>
    <row r="632">
      <c r="Y632" s="152"/>
      <c r="AC632" s="19"/>
      <c r="AD632" s="19"/>
    </row>
    <row r="633">
      <c r="Y633" s="152"/>
      <c r="AC633" s="19"/>
      <c r="AD633" s="19"/>
    </row>
    <row r="634">
      <c r="Y634" s="152"/>
      <c r="AC634" s="19"/>
      <c r="AD634" s="19"/>
    </row>
    <row r="635">
      <c r="Y635" s="152"/>
      <c r="AC635" s="19"/>
      <c r="AD635" s="19"/>
    </row>
    <row r="636">
      <c r="Y636" s="152"/>
      <c r="AC636" s="19"/>
      <c r="AD636" s="19"/>
    </row>
    <row r="637">
      <c r="Y637" s="152"/>
      <c r="AC637" s="19"/>
      <c r="AD637" s="19"/>
    </row>
    <row r="638">
      <c r="Y638" s="152"/>
      <c r="AC638" s="19"/>
      <c r="AD638" s="19"/>
    </row>
    <row r="639">
      <c r="Y639" s="152"/>
      <c r="AC639" s="19"/>
      <c r="AD639" s="19"/>
    </row>
    <row r="640">
      <c r="Y640" s="152"/>
      <c r="AC640" s="19"/>
      <c r="AD640" s="19"/>
    </row>
    <row r="641">
      <c r="Y641" s="152"/>
      <c r="AC641" s="19"/>
      <c r="AD641" s="19"/>
    </row>
    <row r="642">
      <c r="Y642" s="152"/>
      <c r="AC642" s="19"/>
      <c r="AD642" s="19"/>
    </row>
    <row r="643">
      <c r="Y643" s="152"/>
      <c r="AC643" s="19"/>
      <c r="AD643" s="19"/>
    </row>
    <row r="644">
      <c r="Y644" s="152"/>
      <c r="AC644" s="19"/>
      <c r="AD644" s="19"/>
    </row>
    <row r="645">
      <c r="Y645" s="152"/>
      <c r="AC645" s="19"/>
      <c r="AD645" s="19"/>
    </row>
    <row r="646">
      <c r="Y646" s="152"/>
      <c r="AC646" s="19"/>
      <c r="AD646" s="19"/>
    </row>
    <row r="647">
      <c r="Y647" s="152"/>
      <c r="AC647" s="19"/>
      <c r="AD647" s="19"/>
    </row>
    <row r="648">
      <c r="Y648" s="152"/>
      <c r="AC648" s="19"/>
      <c r="AD648" s="19"/>
    </row>
    <row r="649">
      <c r="Y649" s="152"/>
      <c r="AC649" s="19"/>
      <c r="AD649" s="19"/>
    </row>
    <row r="650">
      <c r="Y650" s="152"/>
      <c r="AC650" s="19"/>
      <c r="AD650" s="19"/>
    </row>
    <row r="651">
      <c r="Y651" s="152"/>
      <c r="AC651" s="19"/>
      <c r="AD651" s="19"/>
    </row>
    <row r="652">
      <c r="Y652" s="152"/>
      <c r="AC652" s="19"/>
      <c r="AD652" s="19"/>
    </row>
    <row r="653">
      <c r="Y653" s="152"/>
      <c r="AC653" s="19"/>
      <c r="AD653" s="19"/>
    </row>
    <row r="654">
      <c r="Y654" s="152"/>
      <c r="AC654" s="19"/>
      <c r="AD654" s="19"/>
    </row>
    <row r="655">
      <c r="Y655" s="152"/>
      <c r="AC655" s="19"/>
      <c r="AD655" s="19"/>
    </row>
    <row r="656">
      <c r="Y656" s="152"/>
      <c r="AC656" s="19"/>
      <c r="AD656" s="19"/>
    </row>
    <row r="657">
      <c r="Y657" s="152"/>
      <c r="AC657" s="19"/>
      <c r="AD657" s="19"/>
    </row>
    <row r="658">
      <c r="Y658" s="152"/>
      <c r="AC658" s="19"/>
      <c r="AD658" s="19"/>
    </row>
    <row r="659">
      <c r="Y659" s="152"/>
      <c r="AC659" s="19"/>
      <c r="AD659" s="19"/>
    </row>
    <row r="660">
      <c r="Y660" s="152"/>
      <c r="AC660" s="19"/>
      <c r="AD660" s="19"/>
    </row>
    <row r="661">
      <c r="Y661" s="152"/>
      <c r="AC661" s="19"/>
      <c r="AD661" s="19"/>
    </row>
    <row r="662">
      <c r="Y662" s="152"/>
      <c r="AC662" s="19"/>
      <c r="AD662" s="19"/>
    </row>
    <row r="663">
      <c r="Y663" s="152"/>
      <c r="AC663" s="19"/>
      <c r="AD663" s="19"/>
    </row>
    <row r="664">
      <c r="Y664" s="152"/>
      <c r="AC664" s="19"/>
      <c r="AD664" s="19"/>
    </row>
    <row r="665">
      <c r="Y665" s="152"/>
      <c r="AC665" s="19"/>
      <c r="AD665" s="19"/>
    </row>
    <row r="666">
      <c r="Y666" s="152"/>
      <c r="AC666" s="19"/>
      <c r="AD666" s="19"/>
    </row>
    <row r="667">
      <c r="Y667" s="152"/>
      <c r="AC667" s="19"/>
      <c r="AD667" s="19"/>
    </row>
    <row r="668">
      <c r="Y668" s="152"/>
      <c r="AC668" s="19"/>
      <c r="AD668" s="19"/>
    </row>
    <row r="669">
      <c r="Y669" s="152"/>
      <c r="AC669" s="19"/>
      <c r="AD669" s="19"/>
    </row>
    <row r="670">
      <c r="Y670" s="152"/>
      <c r="AC670" s="19"/>
      <c r="AD670" s="19"/>
    </row>
    <row r="671">
      <c r="Y671" s="152"/>
      <c r="AC671" s="19"/>
      <c r="AD671" s="19"/>
    </row>
    <row r="672">
      <c r="Y672" s="152"/>
      <c r="AC672" s="19"/>
      <c r="AD672" s="19"/>
    </row>
    <row r="673">
      <c r="Y673" s="152"/>
      <c r="AC673" s="19"/>
      <c r="AD673" s="19"/>
    </row>
    <row r="674">
      <c r="Y674" s="152"/>
      <c r="AC674" s="19"/>
      <c r="AD674" s="19"/>
    </row>
    <row r="675">
      <c r="Y675" s="152"/>
      <c r="AC675" s="19"/>
      <c r="AD675" s="19"/>
    </row>
    <row r="676">
      <c r="Y676" s="152"/>
      <c r="AC676" s="19"/>
      <c r="AD676" s="19"/>
    </row>
    <row r="677">
      <c r="Y677" s="152"/>
      <c r="AC677" s="19"/>
      <c r="AD677" s="19"/>
    </row>
    <row r="678">
      <c r="Y678" s="152"/>
      <c r="AC678" s="19"/>
      <c r="AD678" s="19"/>
    </row>
    <row r="679">
      <c r="Y679" s="152"/>
      <c r="AC679" s="19"/>
      <c r="AD679" s="19"/>
    </row>
    <row r="680">
      <c r="Y680" s="152"/>
      <c r="AC680" s="19"/>
      <c r="AD680" s="19"/>
    </row>
    <row r="681">
      <c r="Y681" s="152"/>
      <c r="AC681" s="19"/>
      <c r="AD681" s="19"/>
    </row>
    <row r="682">
      <c r="Y682" s="152"/>
      <c r="AC682" s="19"/>
      <c r="AD682" s="19"/>
    </row>
    <row r="683">
      <c r="Y683" s="152"/>
      <c r="AC683" s="19"/>
      <c r="AD683" s="19"/>
    </row>
    <row r="684">
      <c r="Y684" s="152"/>
      <c r="AC684" s="19"/>
      <c r="AD684" s="19"/>
    </row>
    <row r="685">
      <c r="Y685" s="152"/>
      <c r="AC685" s="19"/>
      <c r="AD685" s="19"/>
    </row>
    <row r="686">
      <c r="Y686" s="152"/>
      <c r="AC686" s="19"/>
      <c r="AD686" s="19"/>
    </row>
    <row r="687">
      <c r="Y687" s="152"/>
      <c r="AC687" s="19"/>
      <c r="AD687" s="19"/>
    </row>
    <row r="688">
      <c r="Y688" s="152"/>
      <c r="AC688" s="19"/>
      <c r="AD688" s="19"/>
    </row>
    <row r="689">
      <c r="Y689" s="152"/>
      <c r="AC689" s="19"/>
      <c r="AD689" s="19"/>
    </row>
    <row r="690">
      <c r="Y690" s="152"/>
      <c r="AC690" s="19"/>
      <c r="AD690" s="19"/>
    </row>
    <row r="691">
      <c r="Y691" s="152"/>
      <c r="AC691" s="19"/>
      <c r="AD691" s="19"/>
    </row>
    <row r="692">
      <c r="Y692" s="152"/>
      <c r="AC692" s="19"/>
      <c r="AD692" s="19"/>
    </row>
    <row r="693">
      <c r="Y693" s="152"/>
      <c r="AC693" s="19"/>
      <c r="AD693" s="19"/>
    </row>
    <row r="694">
      <c r="Y694" s="152"/>
      <c r="AC694" s="19"/>
      <c r="AD694" s="19"/>
    </row>
    <row r="695">
      <c r="Y695" s="152"/>
      <c r="AC695" s="19"/>
      <c r="AD695" s="19"/>
    </row>
    <row r="696">
      <c r="Y696" s="152"/>
      <c r="AC696" s="19"/>
      <c r="AD696" s="19"/>
    </row>
    <row r="697">
      <c r="Y697" s="152"/>
      <c r="AC697" s="19"/>
      <c r="AD697" s="19"/>
    </row>
    <row r="698">
      <c r="Y698" s="152"/>
      <c r="AC698" s="19"/>
      <c r="AD698" s="19"/>
    </row>
    <row r="699">
      <c r="Y699" s="152"/>
      <c r="AC699" s="19"/>
      <c r="AD699" s="19"/>
    </row>
    <row r="700">
      <c r="Y700" s="152"/>
      <c r="AC700" s="19"/>
      <c r="AD700" s="19"/>
    </row>
    <row r="701">
      <c r="Y701" s="152"/>
      <c r="AC701" s="19"/>
      <c r="AD701" s="19"/>
    </row>
    <row r="702">
      <c r="Y702" s="152"/>
      <c r="AC702" s="19"/>
      <c r="AD702" s="19"/>
    </row>
    <row r="703">
      <c r="Y703" s="152"/>
      <c r="AC703" s="19"/>
      <c r="AD703" s="19"/>
    </row>
    <row r="704">
      <c r="Y704" s="152"/>
      <c r="AC704" s="19"/>
      <c r="AD704" s="19"/>
    </row>
    <row r="705">
      <c r="Y705" s="152"/>
      <c r="AC705" s="19"/>
      <c r="AD705" s="19"/>
    </row>
    <row r="706">
      <c r="Y706" s="152"/>
      <c r="AC706" s="19"/>
      <c r="AD706" s="19"/>
    </row>
    <row r="707">
      <c r="Y707" s="152"/>
      <c r="AC707" s="19"/>
      <c r="AD707" s="19"/>
    </row>
    <row r="708">
      <c r="Y708" s="152"/>
      <c r="AC708" s="19"/>
      <c r="AD708" s="19"/>
    </row>
    <row r="709">
      <c r="Y709" s="152"/>
      <c r="AC709" s="19"/>
      <c r="AD709" s="19"/>
    </row>
    <row r="710">
      <c r="Y710" s="152"/>
      <c r="AC710" s="19"/>
      <c r="AD710" s="19"/>
    </row>
    <row r="711">
      <c r="Y711" s="152"/>
      <c r="AC711" s="19"/>
      <c r="AD711" s="19"/>
    </row>
    <row r="712">
      <c r="Y712" s="152"/>
      <c r="AC712" s="19"/>
      <c r="AD712" s="19"/>
    </row>
    <row r="713">
      <c r="Y713" s="152"/>
      <c r="AC713" s="19"/>
      <c r="AD713" s="19"/>
    </row>
    <row r="714">
      <c r="Y714" s="152"/>
      <c r="AC714" s="19"/>
      <c r="AD714" s="19"/>
    </row>
    <row r="715">
      <c r="Y715" s="152"/>
      <c r="AC715" s="19"/>
      <c r="AD715" s="19"/>
    </row>
    <row r="716">
      <c r="Y716" s="152"/>
      <c r="AC716" s="19"/>
      <c r="AD716" s="19"/>
    </row>
    <row r="717">
      <c r="Y717" s="152"/>
      <c r="AC717" s="19"/>
      <c r="AD717" s="19"/>
    </row>
    <row r="718">
      <c r="Y718" s="152"/>
      <c r="AC718" s="19"/>
      <c r="AD718" s="19"/>
    </row>
    <row r="719">
      <c r="Y719" s="152"/>
      <c r="AC719" s="19"/>
      <c r="AD719" s="19"/>
    </row>
    <row r="720">
      <c r="Y720" s="152"/>
      <c r="AC720" s="19"/>
      <c r="AD720" s="19"/>
    </row>
    <row r="721">
      <c r="Y721" s="152"/>
      <c r="AC721" s="19"/>
      <c r="AD721" s="19"/>
    </row>
    <row r="722">
      <c r="Y722" s="152"/>
      <c r="AC722" s="19"/>
      <c r="AD722" s="19"/>
    </row>
    <row r="723">
      <c r="Y723" s="152"/>
      <c r="AC723" s="19"/>
      <c r="AD723" s="19"/>
    </row>
    <row r="724">
      <c r="Y724" s="152"/>
      <c r="AC724" s="19"/>
      <c r="AD724" s="19"/>
    </row>
    <row r="725">
      <c r="Y725" s="152"/>
      <c r="AC725" s="19"/>
      <c r="AD725" s="19"/>
    </row>
    <row r="726">
      <c r="Y726" s="152"/>
      <c r="AC726" s="19"/>
      <c r="AD726" s="19"/>
    </row>
    <row r="727">
      <c r="Y727" s="152"/>
      <c r="AC727" s="19"/>
      <c r="AD727" s="19"/>
    </row>
    <row r="728">
      <c r="Y728" s="152"/>
      <c r="AC728" s="19"/>
      <c r="AD728" s="19"/>
    </row>
    <row r="729">
      <c r="Y729" s="152"/>
      <c r="AC729" s="19"/>
      <c r="AD729" s="19"/>
    </row>
    <row r="730">
      <c r="Y730" s="152"/>
      <c r="AC730" s="19"/>
      <c r="AD730" s="19"/>
    </row>
    <row r="731">
      <c r="Y731" s="152"/>
      <c r="AC731" s="19"/>
      <c r="AD731" s="19"/>
    </row>
    <row r="732">
      <c r="Y732" s="152"/>
      <c r="AC732" s="19"/>
      <c r="AD732" s="19"/>
    </row>
    <row r="733">
      <c r="Y733" s="152"/>
      <c r="AC733" s="19"/>
      <c r="AD733" s="19"/>
    </row>
    <row r="734">
      <c r="Y734" s="152"/>
      <c r="AC734" s="19"/>
      <c r="AD734" s="19"/>
    </row>
    <row r="735">
      <c r="Y735" s="152"/>
      <c r="AC735" s="19"/>
      <c r="AD735" s="19"/>
    </row>
    <row r="736">
      <c r="Y736" s="152"/>
      <c r="AC736" s="19"/>
      <c r="AD736" s="19"/>
    </row>
    <row r="737">
      <c r="Y737" s="152"/>
      <c r="AC737" s="19"/>
      <c r="AD737" s="19"/>
    </row>
    <row r="738">
      <c r="Y738" s="152"/>
      <c r="AC738" s="19"/>
      <c r="AD738" s="19"/>
    </row>
    <row r="739">
      <c r="Y739" s="152"/>
      <c r="AC739" s="19"/>
      <c r="AD739" s="19"/>
    </row>
    <row r="740">
      <c r="Y740" s="152"/>
      <c r="AC740" s="19"/>
      <c r="AD740" s="19"/>
    </row>
    <row r="741">
      <c r="Y741" s="152"/>
      <c r="AC741" s="19"/>
      <c r="AD741" s="19"/>
    </row>
    <row r="742">
      <c r="Y742" s="152"/>
      <c r="AC742" s="19"/>
      <c r="AD742" s="19"/>
    </row>
    <row r="743">
      <c r="Y743" s="152"/>
      <c r="AC743" s="19"/>
      <c r="AD743" s="19"/>
    </row>
    <row r="744">
      <c r="Y744" s="152"/>
      <c r="AC744" s="19"/>
      <c r="AD744" s="19"/>
    </row>
    <row r="745">
      <c r="Y745" s="152"/>
      <c r="AC745" s="19"/>
      <c r="AD745" s="19"/>
    </row>
    <row r="746">
      <c r="Y746" s="152"/>
      <c r="AC746" s="19"/>
      <c r="AD746" s="19"/>
    </row>
    <row r="747">
      <c r="Y747" s="152"/>
      <c r="AC747" s="19"/>
      <c r="AD747" s="19"/>
    </row>
    <row r="748">
      <c r="Y748" s="152"/>
      <c r="AC748" s="19"/>
      <c r="AD748" s="19"/>
    </row>
    <row r="749">
      <c r="Y749" s="152"/>
      <c r="AC749" s="19"/>
      <c r="AD749" s="19"/>
    </row>
    <row r="750">
      <c r="Y750" s="152"/>
      <c r="AC750" s="19"/>
      <c r="AD750" s="19"/>
    </row>
    <row r="751">
      <c r="Y751" s="152"/>
      <c r="AC751" s="19"/>
      <c r="AD751" s="19"/>
    </row>
    <row r="752">
      <c r="Y752" s="152"/>
      <c r="AC752" s="19"/>
      <c r="AD752" s="19"/>
    </row>
    <row r="753">
      <c r="Y753" s="152"/>
      <c r="AC753" s="19"/>
      <c r="AD753" s="19"/>
    </row>
    <row r="754">
      <c r="Y754" s="152"/>
      <c r="AC754" s="19"/>
      <c r="AD754" s="19"/>
    </row>
    <row r="755">
      <c r="Y755" s="152"/>
      <c r="AC755" s="19"/>
      <c r="AD755" s="19"/>
    </row>
    <row r="756">
      <c r="Y756" s="152"/>
      <c r="AC756" s="19"/>
      <c r="AD756" s="19"/>
    </row>
    <row r="757">
      <c r="Y757" s="152"/>
      <c r="AC757" s="19"/>
      <c r="AD757" s="19"/>
    </row>
    <row r="758">
      <c r="Y758" s="152"/>
      <c r="AC758" s="19"/>
      <c r="AD758" s="19"/>
    </row>
    <row r="759">
      <c r="Y759" s="152"/>
      <c r="AC759" s="19"/>
      <c r="AD759" s="19"/>
    </row>
    <row r="760">
      <c r="Y760" s="152"/>
      <c r="AC760" s="19"/>
      <c r="AD760" s="19"/>
    </row>
    <row r="761">
      <c r="Y761" s="152"/>
      <c r="AC761" s="19"/>
      <c r="AD761" s="19"/>
    </row>
    <row r="762">
      <c r="Y762" s="152"/>
      <c r="AC762" s="19"/>
      <c r="AD762" s="19"/>
    </row>
    <row r="763">
      <c r="Y763" s="152"/>
      <c r="AC763" s="19"/>
      <c r="AD763" s="19"/>
    </row>
    <row r="764">
      <c r="Y764" s="152"/>
      <c r="AC764" s="19"/>
      <c r="AD764" s="19"/>
    </row>
    <row r="765">
      <c r="Y765" s="152"/>
      <c r="AC765" s="19"/>
      <c r="AD765" s="19"/>
    </row>
    <row r="766">
      <c r="Y766" s="152"/>
      <c r="AC766" s="19"/>
      <c r="AD766" s="19"/>
    </row>
    <row r="767">
      <c r="Y767" s="152"/>
      <c r="AC767" s="19"/>
      <c r="AD767" s="19"/>
    </row>
    <row r="768">
      <c r="Y768" s="152"/>
      <c r="AC768" s="19"/>
      <c r="AD768" s="19"/>
    </row>
    <row r="769">
      <c r="Y769" s="152"/>
      <c r="AC769" s="19"/>
      <c r="AD769" s="19"/>
    </row>
    <row r="770">
      <c r="Y770" s="152"/>
      <c r="AC770" s="19"/>
      <c r="AD770" s="19"/>
    </row>
    <row r="771">
      <c r="Y771" s="152"/>
      <c r="AC771" s="19"/>
      <c r="AD771" s="19"/>
    </row>
    <row r="772">
      <c r="Y772" s="152"/>
      <c r="AC772" s="19"/>
      <c r="AD772" s="19"/>
    </row>
    <row r="773">
      <c r="Y773" s="152"/>
      <c r="AC773" s="19"/>
      <c r="AD773" s="19"/>
    </row>
    <row r="774">
      <c r="Y774" s="152"/>
      <c r="AC774" s="19"/>
      <c r="AD774" s="19"/>
    </row>
    <row r="775">
      <c r="Y775" s="152"/>
      <c r="AC775" s="19"/>
      <c r="AD775" s="19"/>
    </row>
    <row r="776">
      <c r="Y776" s="152"/>
      <c r="AC776" s="19"/>
      <c r="AD776" s="19"/>
    </row>
    <row r="777">
      <c r="Y777" s="152"/>
      <c r="AC777" s="19"/>
      <c r="AD777" s="19"/>
    </row>
    <row r="778">
      <c r="Y778" s="152"/>
      <c r="AC778" s="19"/>
      <c r="AD778" s="19"/>
    </row>
    <row r="779">
      <c r="Y779" s="152"/>
      <c r="AC779" s="19"/>
      <c r="AD779" s="19"/>
    </row>
    <row r="780">
      <c r="Y780" s="152"/>
      <c r="AC780" s="19"/>
      <c r="AD780" s="19"/>
    </row>
    <row r="781">
      <c r="Y781" s="152"/>
      <c r="AC781" s="19"/>
      <c r="AD781" s="19"/>
    </row>
    <row r="782">
      <c r="Y782" s="152"/>
      <c r="AC782" s="19"/>
      <c r="AD782" s="19"/>
    </row>
    <row r="783">
      <c r="Y783" s="152"/>
      <c r="AC783" s="19"/>
      <c r="AD783" s="19"/>
    </row>
    <row r="784">
      <c r="Y784" s="152"/>
      <c r="AC784" s="19"/>
      <c r="AD784" s="19"/>
    </row>
    <row r="785">
      <c r="Y785" s="152"/>
      <c r="AC785" s="19"/>
      <c r="AD785" s="19"/>
    </row>
    <row r="786">
      <c r="Y786" s="152"/>
      <c r="AC786" s="19"/>
      <c r="AD786" s="19"/>
    </row>
    <row r="787">
      <c r="Y787" s="152"/>
      <c r="AC787" s="19"/>
      <c r="AD787" s="19"/>
    </row>
    <row r="788">
      <c r="Y788" s="152"/>
      <c r="AC788" s="19"/>
      <c r="AD788" s="19"/>
    </row>
    <row r="789">
      <c r="Y789" s="152"/>
      <c r="AC789" s="19"/>
      <c r="AD789" s="19"/>
    </row>
    <row r="790">
      <c r="Y790" s="152"/>
      <c r="AC790" s="19"/>
      <c r="AD790" s="19"/>
    </row>
    <row r="791">
      <c r="Y791" s="152"/>
      <c r="AC791" s="19"/>
      <c r="AD791" s="19"/>
    </row>
    <row r="792">
      <c r="Y792" s="152"/>
      <c r="AC792" s="19"/>
      <c r="AD792" s="19"/>
    </row>
    <row r="793">
      <c r="Y793" s="152"/>
      <c r="AC793" s="19"/>
      <c r="AD793" s="19"/>
    </row>
    <row r="794">
      <c r="Y794" s="152"/>
      <c r="AC794" s="19"/>
      <c r="AD794" s="19"/>
    </row>
    <row r="795">
      <c r="Y795" s="152"/>
      <c r="AC795" s="19"/>
      <c r="AD795" s="19"/>
    </row>
    <row r="796">
      <c r="Y796" s="152"/>
      <c r="AC796" s="19"/>
      <c r="AD796" s="19"/>
    </row>
    <row r="797">
      <c r="Y797" s="152"/>
      <c r="AC797" s="19"/>
      <c r="AD797" s="19"/>
    </row>
    <row r="798">
      <c r="Y798" s="152"/>
      <c r="AC798" s="19"/>
      <c r="AD798" s="19"/>
    </row>
    <row r="799">
      <c r="Y799" s="152"/>
      <c r="AC799" s="19"/>
      <c r="AD799" s="19"/>
    </row>
    <row r="800">
      <c r="Y800" s="152"/>
      <c r="AC800" s="19"/>
      <c r="AD800" s="19"/>
    </row>
    <row r="801">
      <c r="Y801" s="152"/>
      <c r="AC801" s="19"/>
      <c r="AD801" s="19"/>
    </row>
    <row r="802">
      <c r="Y802" s="152"/>
      <c r="AC802" s="19"/>
      <c r="AD802" s="19"/>
    </row>
    <row r="803">
      <c r="Y803" s="152"/>
      <c r="AC803" s="19"/>
      <c r="AD803" s="19"/>
    </row>
    <row r="804">
      <c r="Y804" s="152"/>
      <c r="AC804" s="19"/>
      <c r="AD804" s="19"/>
    </row>
    <row r="805">
      <c r="Y805" s="152"/>
      <c r="AC805" s="19"/>
      <c r="AD805" s="19"/>
    </row>
    <row r="806">
      <c r="Y806" s="152"/>
      <c r="AC806" s="19"/>
      <c r="AD806" s="19"/>
    </row>
    <row r="807">
      <c r="Y807" s="152"/>
      <c r="AC807" s="19"/>
      <c r="AD807" s="19"/>
    </row>
    <row r="808">
      <c r="Y808" s="152"/>
      <c r="AC808" s="19"/>
      <c r="AD808" s="19"/>
    </row>
    <row r="809">
      <c r="Y809" s="152"/>
      <c r="AC809" s="19"/>
      <c r="AD809" s="19"/>
    </row>
    <row r="810">
      <c r="Y810" s="152"/>
      <c r="AC810" s="19"/>
      <c r="AD810" s="19"/>
    </row>
    <row r="811">
      <c r="Y811" s="152"/>
      <c r="AC811" s="19"/>
      <c r="AD811" s="19"/>
    </row>
    <row r="812">
      <c r="Y812" s="152"/>
      <c r="AC812" s="19"/>
      <c r="AD812" s="19"/>
    </row>
    <row r="813">
      <c r="Y813" s="152"/>
      <c r="AC813" s="19"/>
      <c r="AD813" s="19"/>
    </row>
    <row r="814">
      <c r="Y814" s="152"/>
      <c r="AC814" s="19"/>
      <c r="AD814" s="19"/>
    </row>
    <row r="815">
      <c r="Y815" s="152"/>
      <c r="AC815" s="19"/>
      <c r="AD815" s="19"/>
    </row>
    <row r="816">
      <c r="Y816" s="152"/>
      <c r="AC816" s="19"/>
      <c r="AD816" s="19"/>
    </row>
    <row r="817">
      <c r="Y817" s="152"/>
      <c r="AC817" s="19"/>
      <c r="AD817" s="19"/>
    </row>
    <row r="818">
      <c r="Y818" s="152"/>
      <c r="AC818" s="19"/>
      <c r="AD818" s="19"/>
    </row>
    <row r="819">
      <c r="Y819" s="152"/>
      <c r="AC819" s="19"/>
      <c r="AD819" s="19"/>
    </row>
    <row r="820">
      <c r="Y820" s="152"/>
      <c r="AC820" s="19"/>
      <c r="AD820" s="19"/>
    </row>
    <row r="821">
      <c r="Y821" s="152"/>
      <c r="AC821" s="19"/>
      <c r="AD821" s="19"/>
    </row>
    <row r="822">
      <c r="Y822" s="152"/>
      <c r="AC822" s="19"/>
      <c r="AD822" s="19"/>
    </row>
    <row r="823">
      <c r="Y823" s="152"/>
      <c r="AC823" s="19"/>
      <c r="AD823" s="19"/>
    </row>
    <row r="824">
      <c r="Y824" s="152"/>
      <c r="AC824" s="19"/>
      <c r="AD824" s="19"/>
    </row>
    <row r="825">
      <c r="Y825" s="152"/>
      <c r="AC825" s="19"/>
      <c r="AD825" s="19"/>
    </row>
    <row r="826">
      <c r="Y826" s="152"/>
      <c r="AC826" s="19"/>
      <c r="AD826" s="19"/>
    </row>
    <row r="827">
      <c r="Y827" s="152"/>
      <c r="AC827" s="19"/>
      <c r="AD827" s="19"/>
    </row>
    <row r="828">
      <c r="Y828" s="152"/>
      <c r="AC828" s="19"/>
      <c r="AD828" s="19"/>
    </row>
    <row r="829">
      <c r="Y829" s="152"/>
      <c r="AC829" s="19"/>
      <c r="AD829" s="19"/>
    </row>
    <row r="830">
      <c r="Y830" s="152"/>
      <c r="AC830" s="19"/>
      <c r="AD830" s="19"/>
    </row>
    <row r="831">
      <c r="Y831" s="152"/>
      <c r="AC831" s="19"/>
      <c r="AD831" s="19"/>
    </row>
    <row r="832">
      <c r="Y832" s="152"/>
      <c r="AC832" s="19"/>
      <c r="AD832" s="19"/>
    </row>
    <row r="833">
      <c r="Y833" s="152"/>
      <c r="AC833" s="19"/>
      <c r="AD833" s="19"/>
    </row>
    <row r="834">
      <c r="Y834" s="152"/>
      <c r="AC834" s="19"/>
      <c r="AD834" s="19"/>
    </row>
    <row r="835">
      <c r="Y835" s="152"/>
      <c r="AC835" s="19"/>
      <c r="AD835" s="19"/>
    </row>
    <row r="836">
      <c r="Y836" s="152"/>
      <c r="AC836" s="19"/>
      <c r="AD836" s="19"/>
    </row>
    <row r="837">
      <c r="Y837" s="152"/>
      <c r="AC837" s="19"/>
      <c r="AD837" s="19"/>
    </row>
    <row r="838">
      <c r="Y838" s="152"/>
      <c r="AC838" s="19"/>
      <c r="AD838" s="19"/>
    </row>
    <row r="839">
      <c r="Y839" s="152"/>
      <c r="AC839" s="19"/>
      <c r="AD839" s="19"/>
    </row>
    <row r="840">
      <c r="Y840" s="152"/>
      <c r="AC840" s="19"/>
      <c r="AD840" s="19"/>
    </row>
    <row r="841">
      <c r="Y841" s="152"/>
      <c r="AC841" s="19"/>
      <c r="AD841" s="19"/>
    </row>
    <row r="842">
      <c r="Y842" s="152"/>
      <c r="AC842" s="19"/>
      <c r="AD842" s="19"/>
    </row>
    <row r="843">
      <c r="Y843" s="152"/>
      <c r="AC843" s="19"/>
      <c r="AD843" s="19"/>
    </row>
    <row r="844">
      <c r="Y844" s="152"/>
      <c r="AC844" s="19"/>
      <c r="AD844" s="19"/>
    </row>
    <row r="845">
      <c r="Y845" s="152"/>
      <c r="AC845" s="19"/>
      <c r="AD845" s="19"/>
    </row>
    <row r="846">
      <c r="Y846" s="152"/>
      <c r="AC846" s="19"/>
      <c r="AD846" s="19"/>
    </row>
    <row r="847">
      <c r="Y847" s="152"/>
      <c r="AC847" s="19"/>
      <c r="AD847" s="19"/>
    </row>
    <row r="848">
      <c r="Y848" s="152"/>
      <c r="AC848" s="19"/>
      <c r="AD848" s="19"/>
    </row>
    <row r="849">
      <c r="Y849" s="152"/>
      <c r="AC849" s="19"/>
      <c r="AD849" s="19"/>
    </row>
    <row r="850">
      <c r="Y850" s="152"/>
      <c r="AC850" s="19"/>
      <c r="AD850" s="19"/>
    </row>
    <row r="851">
      <c r="Y851" s="152"/>
      <c r="AC851" s="19"/>
      <c r="AD851" s="19"/>
    </row>
    <row r="852">
      <c r="Y852" s="152"/>
      <c r="AC852" s="19"/>
      <c r="AD852" s="19"/>
    </row>
    <row r="853">
      <c r="Y853" s="152"/>
      <c r="AC853" s="19"/>
      <c r="AD853" s="19"/>
    </row>
    <row r="854">
      <c r="Y854" s="152"/>
      <c r="AC854" s="19"/>
      <c r="AD854" s="19"/>
    </row>
    <row r="855">
      <c r="Y855" s="152"/>
      <c r="AC855" s="19"/>
      <c r="AD855" s="19"/>
    </row>
    <row r="856">
      <c r="Y856" s="152"/>
      <c r="AC856" s="19"/>
      <c r="AD856" s="19"/>
    </row>
    <row r="857">
      <c r="Y857" s="152"/>
      <c r="AC857" s="19"/>
      <c r="AD857" s="19"/>
    </row>
    <row r="858">
      <c r="Y858" s="152"/>
      <c r="AC858" s="19"/>
      <c r="AD858" s="19"/>
    </row>
    <row r="859">
      <c r="Y859" s="152"/>
      <c r="AC859" s="19"/>
      <c r="AD859" s="19"/>
    </row>
    <row r="860">
      <c r="Y860" s="152"/>
      <c r="AC860" s="19"/>
      <c r="AD860" s="19"/>
    </row>
    <row r="861">
      <c r="Y861" s="152"/>
      <c r="AC861" s="19"/>
      <c r="AD861" s="19"/>
    </row>
    <row r="862">
      <c r="Y862" s="152"/>
      <c r="AC862" s="19"/>
      <c r="AD862" s="19"/>
    </row>
    <row r="863">
      <c r="Y863" s="152"/>
      <c r="AC863" s="19"/>
      <c r="AD863" s="19"/>
    </row>
    <row r="864">
      <c r="Y864" s="152"/>
      <c r="AC864" s="19"/>
      <c r="AD864" s="19"/>
    </row>
    <row r="865">
      <c r="Y865" s="152"/>
      <c r="AC865" s="19"/>
      <c r="AD865" s="19"/>
    </row>
    <row r="866">
      <c r="Y866" s="152"/>
      <c r="AC866" s="19"/>
      <c r="AD866" s="19"/>
    </row>
    <row r="867">
      <c r="Y867" s="152"/>
      <c r="AC867" s="19"/>
      <c r="AD867" s="19"/>
    </row>
    <row r="868">
      <c r="Y868" s="152"/>
      <c r="AC868" s="19"/>
      <c r="AD868" s="19"/>
    </row>
    <row r="869">
      <c r="Y869" s="152"/>
      <c r="AC869" s="19"/>
      <c r="AD869" s="19"/>
    </row>
    <row r="870">
      <c r="Y870" s="152"/>
      <c r="AC870" s="19"/>
      <c r="AD870" s="19"/>
    </row>
    <row r="871">
      <c r="Y871" s="152"/>
      <c r="AC871" s="19"/>
      <c r="AD871" s="19"/>
    </row>
    <row r="872">
      <c r="Y872" s="152"/>
      <c r="AC872" s="19"/>
      <c r="AD872" s="19"/>
    </row>
    <row r="873">
      <c r="Y873" s="152"/>
      <c r="AC873" s="19"/>
      <c r="AD873" s="19"/>
    </row>
    <row r="874">
      <c r="Y874" s="152"/>
      <c r="AC874" s="19"/>
      <c r="AD874" s="19"/>
    </row>
    <row r="875">
      <c r="Y875" s="152"/>
      <c r="AC875" s="19"/>
      <c r="AD875" s="19"/>
    </row>
    <row r="876">
      <c r="Y876" s="152"/>
      <c r="AC876" s="19"/>
      <c r="AD876" s="19"/>
    </row>
    <row r="877">
      <c r="Y877" s="152"/>
      <c r="AC877" s="19"/>
      <c r="AD877" s="19"/>
    </row>
    <row r="878">
      <c r="Y878" s="152"/>
      <c r="AC878" s="19"/>
      <c r="AD878" s="19"/>
    </row>
    <row r="879">
      <c r="Y879" s="152"/>
      <c r="AC879" s="19"/>
      <c r="AD879" s="19"/>
    </row>
    <row r="880">
      <c r="Y880" s="152"/>
      <c r="AC880" s="19"/>
      <c r="AD880" s="19"/>
    </row>
    <row r="881">
      <c r="Y881" s="152"/>
      <c r="AC881" s="19"/>
      <c r="AD881" s="19"/>
    </row>
    <row r="882">
      <c r="Y882" s="152"/>
      <c r="AC882" s="19"/>
      <c r="AD882" s="19"/>
    </row>
    <row r="883">
      <c r="Y883" s="152"/>
      <c r="AC883" s="19"/>
      <c r="AD883" s="19"/>
    </row>
    <row r="884">
      <c r="Y884" s="152"/>
      <c r="AC884" s="19"/>
      <c r="AD884" s="19"/>
    </row>
    <row r="885">
      <c r="Y885" s="152"/>
      <c r="AC885" s="19"/>
      <c r="AD885" s="19"/>
    </row>
    <row r="886">
      <c r="Y886" s="152"/>
      <c r="AC886" s="19"/>
      <c r="AD886" s="19"/>
    </row>
    <row r="887">
      <c r="Y887" s="152"/>
      <c r="AC887" s="19"/>
      <c r="AD887" s="19"/>
    </row>
    <row r="888">
      <c r="Y888" s="152"/>
      <c r="AC888" s="19"/>
      <c r="AD888" s="19"/>
    </row>
    <row r="889">
      <c r="Y889" s="152"/>
      <c r="AC889" s="19"/>
      <c r="AD889" s="19"/>
    </row>
    <row r="890">
      <c r="Y890" s="152"/>
      <c r="AC890" s="19"/>
      <c r="AD890" s="19"/>
    </row>
    <row r="891">
      <c r="Y891" s="152"/>
      <c r="AC891" s="19"/>
      <c r="AD891" s="19"/>
    </row>
    <row r="892">
      <c r="Y892" s="152"/>
      <c r="AC892" s="19"/>
      <c r="AD892" s="19"/>
    </row>
    <row r="893">
      <c r="Y893" s="152"/>
      <c r="AC893" s="19"/>
      <c r="AD893" s="19"/>
    </row>
    <row r="894">
      <c r="Y894" s="152"/>
      <c r="AC894" s="19"/>
      <c r="AD894" s="19"/>
    </row>
    <row r="895">
      <c r="Y895" s="152"/>
      <c r="AC895" s="19"/>
      <c r="AD895" s="19"/>
    </row>
    <row r="896">
      <c r="Y896" s="152"/>
      <c r="AC896" s="19"/>
      <c r="AD896" s="19"/>
    </row>
    <row r="897">
      <c r="Y897" s="152"/>
      <c r="AC897" s="19"/>
      <c r="AD897" s="19"/>
    </row>
    <row r="898">
      <c r="Y898" s="152"/>
      <c r="AC898" s="19"/>
      <c r="AD898" s="19"/>
    </row>
    <row r="899">
      <c r="Y899" s="152"/>
      <c r="AC899" s="19"/>
      <c r="AD899" s="19"/>
    </row>
    <row r="900">
      <c r="Y900" s="152"/>
      <c r="AC900" s="19"/>
      <c r="AD900" s="19"/>
    </row>
    <row r="901">
      <c r="Y901" s="152"/>
      <c r="AC901" s="19"/>
      <c r="AD901" s="19"/>
    </row>
    <row r="902">
      <c r="Y902" s="152"/>
      <c r="AC902" s="19"/>
      <c r="AD902" s="19"/>
    </row>
    <row r="903">
      <c r="Y903" s="152"/>
      <c r="AC903" s="19"/>
      <c r="AD903" s="19"/>
    </row>
    <row r="904">
      <c r="Y904" s="152"/>
      <c r="AC904" s="19"/>
      <c r="AD904" s="19"/>
    </row>
    <row r="905">
      <c r="Y905" s="152"/>
      <c r="AC905" s="19"/>
      <c r="AD905" s="19"/>
    </row>
    <row r="906">
      <c r="Y906" s="152"/>
      <c r="AC906" s="19"/>
      <c r="AD906" s="19"/>
    </row>
    <row r="907">
      <c r="Y907" s="152"/>
      <c r="AC907" s="19"/>
      <c r="AD907" s="19"/>
    </row>
    <row r="908">
      <c r="Y908" s="152"/>
      <c r="AC908" s="19"/>
      <c r="AD908" s="19"/>
    </row>
    <row r="909">
      <c r="Y909" s="152"/>
      <c r="AC909" s="19"/>
      <c r="AD909" s="19"/>
    </row>
    <row r="910">
      <c r="Y910" s="152"/>
      <c r="AC910" s="19"/>
      <c r="AD910" s="19"/>
    </row>
    <row r="911">
      <c r="Y911" s="152"/>
      <c r="AC911" s="19"/>
      <c r="AD911" s="19"/>
    </row>
    <row r="912">
      <c r="Y912" s="152"/>
      <c r="AC912" s="19"/>
      <c r="AD912" s="19"/>
    </row>
    <row r="913">
      <c r="Y913" s="152"/>
      <c r="AC913" s="19"/>
      <c r="AD913" s="19"/>
    </row>
    <row r="914">
      <c r="Y914" s="152"/>
      <c r="AC914" s="19"/>
      <c r="AD914" s="19"/>
    </row>
    <row r="915">
      <c r="Y915" s="152"/>
      <c r="AC915" s="19"/>
      <c r="AD915" s="19"/>
    </row>
    <row r="916">
      <c r="Y916" s="152"/>
      <c r="AC916" s="19"/>
      <c r="AD916" s="19"/>
    </row>
    <row r="917">
      <c r="Y917" s="152"/>
      <c r="AC917" s="19"/>
      <c r="AD917" s="19"/>
    </row>
    <row r="918">
      <c r="Y918" s="152"/>
      <c r="AC918" s="19"/>
      <c r="AD918" s="19"/>
    </row>
    <row r="919">
      <c r="Y919" s="152"/>
      <c r="AC919" s="19"/>
      <c r="AD919" s="19"/>
    </row>
    <row r="920">
      <c r="Y920" s="152"/>
      <c r="AC920" s="19"/>
      <c r="AD920" s="19"/>
    </row>
    <row r="921">
      <c r="Y921" s="152"/>
      <c r="AC921" s="19"/>
      <c r="AD921" s="19"/>
    </row>
    <row r="922">
      <c r="Y922" s="152"/>
      <c r="AC922" s="19"/>
      <c r="AD922" s="19"/>
    </row>
    <row r="923">
      <c r="Y923" s="152"/>
      <c r="AC923" s="19"/>
      <c r="AD923" s="19"/>
    </row>
    <row r="924">
      <c r="Y924" s="152"/>
      <c r="AC924" s="19"/>
      <c r="AD924" s="19"/>
    </row>
    <row r="925">
      <c r="Y925" s="152"/>
      <c r="AC925" s="19"/>
      <c r="AD925" s="19"/>
    </row>
    <row r="926">
      <c r="Y926" s="152"/>
      <c r="AC926" s="19"/>
      <c r="AD926" s="19"/>
    </row>
    <row r="927">
      <c r="Y927" s="152"/>
      <c r="AC927" s="19"/>
      <c r="AD927" s="19"/>
    </row>
    <row r="928">
      <c r="Y928" s="152"/>
      <c r="AC928" s="19"/>
      <c r="AD928" s="19"/>
    </row>
    <row r="929">
      <c r="Y929" s="152"/>
      <c r="AC929" s="19"/>
      <c r="AD929" s="19"/>
    </row>
    <row r="930">
      <c r="Y930" s="152"/>
      <c r="AC930" s="19"/>
      <c r="AD930" s="19"/>
    </row>
    <row r="931">
      <c r="Y931" s="152"/>
      <c r="AC931" s="19"/>
      <c r="AD931" s="19"/>
    </row>
    <row r="932">
      <c r="Y932" s="152"/>
      <c r="AC932" s="19"/>
      <c r="AD932" s="19"/>
    </row>
    <row r="933">
      <c r="Y933" s="152"/>
      <c r="AC933" s="19"/>
      <c r="AD933" s="19"/>
    </row>
    <row r="934">
      <c r="Y934" s="152"/>
      <c r="AC934" s="19"/>
      <c r="AD934" s="19"/>
    </row>
    <row r="935">
      <c r="Y935" s="152"/>
      <c r="AC935" s="19"/>
      <c r="AD935" s="19"/>
    </row>
    <row r="936">
      <c r="Y936" s="152"/>
      <c r="AC936" s="19"/>
      <c r="AD936" s="19"/>
    </row>
    <row r="937">
      <c r="Y937" s="152"/>
      <c r="AC937" s="19"/>
      <c r="AD937" s="19"/>
    </row>
    <row r="938">
      <c r="Y938" s="152"/>
      <c r="AC938" s="19"/>
      <c r="AD938" s="19"/>
    </row>
    <row r="939">
      <c r="Y939" s="152"/>
      <c r="AC939" s="19"/>
      <c r="AD939" s="19"/>
    </row>
    <row r="940">
      <c r="Y940" s="152"/>
      <c r="AC940" s="19"/>
      <c r="AD940" s="19"/>
    </row>
    <row r="941">
      <c r="Y941" s="152"/>
      <c r="AC941" s="19"/>
      <c r="AD941" s="19"/>
    </row>
    <row r="942">
      <c r="Y942" s="152"/>
      <c r="AC942" s="19"/>
      <c r="AD942" s="19"/>
    </row>
    <row r="943">
      <c r="Y943" s="152"/>
      <c r="AC943" s="19"/>
      <c r="AD943" s="19"/>
    </row>
    <row r="944">
      <c r="Y944" s="152"/>
      <c r="AC944" s="19"/>
      <c r="AD944" s="19"/>
    </row>
    <row r="945">
      <c r="Y945" s="152"/>
      <c r="AC945" s="19"/>
      <c r="AD945" s="19"/>
    </row>
    <row r="946">
      <c r="Y946" s="152"/>
      <c r="AC946" s="19"/>
      <c r="AD946" s="19"/>
    </row>
    <row r="947">
      <c r="Y947" s="152"/>
      <c r="AC947" s="19"/>
      <c r="AD947" s="19"/>
    </row>
    <row r="948">
      <c r="Y948" s="152"/>
      <c r="AC948" s="19"/>
      <c r="AD948" s="19"/>
    </row>
    <row r="949">
      <c r="Y949" s="152"/>
      <c r="AC949" s="19"/>
      <c r="AD949" s="19"/>
    </row>
    <row r="950">
      <c r="Y950" s="152"/>
      <c r="AC950" s="19"/>
      <c r="AD950" s="19"/>
    </row>
    <row r="951">
      <c r="Y951" s="152"/>
      <c r="AC951" s="19"/>
      <c r="AD951" s="19"/>
    </row>
    <row r="952">
      <c r="Y952" s="152"/>
      <c r="AC952" s="19"/>
      <c r="AD952" s="19"/>
    </row>
    <row r="953">
      <c r="Y953" s="152"/>
      <c r="AC953" s="19"/>
      <c r="AD953" s="19"/>
    </row>
    <row r="954">
      <c r="Y954" s="152"/>
      <c r="AC954" s="19"/>
      <c r="AD954" s="19"/>
    </row>
    <row r="955">
      <c r="Y955" s="152"/>
      <c r="AC955" s="19"/>
      <c r="AD955" s="19"/>
    </row>
    <row r="956">
      <c r="Y956" s="152"/>
      <c r="AC956" s="19"/>
      <c r="AD956" s="19"/>
    </row>
    <row r="957">
      <c r="Y957" s="152"/>
      <c r="AC957" s="19"/>
      <c r="AD957" s="19"/>
    </row>
    <row r="958">
      <c r="Y958" s="152"/>
      <c r="AC958" s="19"/>
      <c r="AD958" s="19"/>
    </row>
    <row r="959">
      <c r="Y959" s="152"/>
      <c r="AC959" s="19"/>
      <c r="AD959" s="19"/>
    </row>
    <row r="960">
      <c r="Y960" s="152"/>
      <c r="AC960" s="19"/>
      <c r="AD960" s="19"/>
    </row>
    <row r="961">
      <c r="Y961" s="152"/>
      <c r="AC961" s="19"/>
      <c r="AD961" s="19"/>
    </row>
    <row r="962">
      <c r="Y962" s="152"/>
      <c r="AC962" s="19"/>
      <c r="AD962" s="19"/>
    </row>
    <row r="963">
      <c r="Y963" s="152"/>
      <c r="AC963" s="19"/>
      <c r="AD963" s="19"/>
    </row>
    <row r="964">
      <c r="Y964" s="152"/>
      <c r="AC964" s="19"/>
      <c r="AD964" s="19"/>
    </row>
    <row r="965">
      <c r="Y965" s="152"/>
      <c r="AC965" s="19"/>
      <c r="AD965" s="19"/>
    </row>
    <row r="966">
      <c r="Y966" s="152"/>
      <c r="AC966" s="19"/>
      <c r="AD966" s="19"/>
    </row>
    <row r="967">
      <c r="Y967" s="152"/>
      <c r="AC967" s="19"/>
      <c r="AD967" s="19"/>
    </row>
    <row r="968">
      <c r="Y968" s="152"/>
      <c r="AC968" s="19"/>
      <c r="AD968" s="19"/>
    </row>
    <row r="969">
      <c r="Y969" s="152"/>
      <c r="AC969" s="19"/>
      <c r="AD969" s="19"/>
    </row>
    <row r="970">
      <c r="Y970" s="152"/>
      <c r="AC970" s="19"/>
      <c r="AD970" s="19"/>
    </row>
    <row r="971">
      <c r="Y971" s="152"/>
      <c r="AC971" s="19"/>
      <c r="AD971" s="19"/>
    </row>
    <row r="972">
      <c r="Y972" s="152"/>
      <c r="AC972" s="19"/>
      <c r="AD972" s="19"/>
    </row>
    <row r="973">
      <c r="Y973" s="152"/>
      <c r="AC973" s="19"/>
      <c r="AD973" s="19"/>
    </row>
    <row r="974">
      <c r="Y974" s="152"/>
      <c r="AC974" s="19"/>
      <c r="AD974" s="19"/>
    </row>
    <row r="975">
      <c r="Y975" s="152"/>
      <c r="AC975" s="19"/>
      <c r="AD975" s="19"/>
    </row>
    <row r="976">
      <c r="Y976" s="152"/>
      <c r="AC976" s="19"/>
      <c r="AD976" s="19"/>
    </row>
    <row r="977">
      <c r="Y977" s="152"/>
      <c r="AC977" s="19"/>
      <c r="AD977" s="19"/>
    </row>
    <row r="978">
      <c r="Y978" s="152"/>
      <c r="AC978" s="19"/>
      <c r="AD978" s="19"/>
    </row>
    <row r="979">
      <c r="Y979" s="152"/>
      <c r="AC979" s="19"/>
      <c r="AD979" s="19"/>
    </row>
    <row r="980">
      <c r="Y980" s="152"/>
      <c r="AC980" s="19"/>
      <c r="AD980" s="19"/>
    </row>
    <row r="981">
      <c r="Y981" s="152"/>
      <c r="AC981" s="19"/>
      <c r="AD981" s="19"/>
    </row>
    <row r="982">
      <c r="Y982" s="152"/>
      <c r="AC982" s="19"/>
      <c r="AD982" s="19"/>
    </row>
    <row r="983">
      <c r="Y983" s="152"/>
      <c r="AC983" s="19"/>
      <c r="AD983" s="19"/>
    </row>
    <row r="984">
      <c r="Y984" s="152"/>
      <c r="AC984" s="19"/>
      <c r="AD984" s="19"/>
    </row>
    <row r="985">
      <c r="Y985" s="152"/>
      <c r="AC985" s="19"/>
      <c r="AD985" s="19"/>
    </row>
    <row r="986">
      <c r="Y986" s="152"/>
      <c r="AC986" s="19"/>
      <c r="AD986" s="19"/>
    </row>
    <row r="987">
      <c r="A987" s="82"/>
      <c r="B987" s="83"/>
      <c r="C987" s="84"/>
      <c r="D987" s="84"/>
      <c r="E987" s="84"/>
      <c r="F987" s="84"/>
      <c r="G987" s="84"/>
      <c r="I987" s="84"/>
      <c r="J987" s="90"/>
      <c r="K987" s="90"/>
      <c r="L987" s="188"/>
      <c r="M987" s="90"/>
      <c r="N987" s="90"/>
      <c r="O987" s="90"/>
      <c r="P987" s="90"/>
      <c r="Q987" s="90"/>
      <c r="R987" s="82"/>
      <c r="S987" s="82"/>
      <c r="T987" s="84"/>
      <c r="Y987" s="152"/>
      <c r="AC987" s="19"/>
      <c r="AD987" s="19"/>
    </row>
    <row r="988">
      <c r="A988" s="82"/>
      <c r="B988" s="83"/>
      <c r="C988" s="84"/>
      <c r="D988" s="84"/>
      <c r="E988" s="84"/>
      <c r="F988" s="84"/>
      <c r="G988" s="84"/>
      <c r="I988" s="84"/>
      <c r="K988" s="90"/>
      <c r="L988" s="84"/>
      <c r="N988" s="90"/>
      <c r="O988" s="90"/>
      <c r="P988" s="90"/>
      <c r="Q988" s="90"/>
      <c r="R988" s="82"/>
      <c r="S988" s="82"/>
      <c r="T988" s="84"/>
      <c r="Y988" s="152"/>
      <c r="AC988" s="19"/>
      <c r="AD988" s="19"/>
    </row>
    <row r="989">
      <c r="A989" s="82"/>
      <c r="B989" s="83"/>
      <c r="C989" s="84"/>
      <c r="D989" s="84"/>
      <c r="E989" s="84"/>
      <c r="F989" s="84"/>
      <c r="G989" s="84"/>
      <c r="I989" s="84"/>
      <c r="K989" s="90"/>
      <c r="L989" s="188"/>
      <c r="M989" s="90"/>
      <c r="N989" s="90"/>
      <c r="O989" s="90"/>
      <c r="P989" s="90"/>
      <c r="Q989" s="90"/>
      <c r="R989" s="82"/>
      <c r="S989" s="82"/>
      <c r="T989" s="84"/>
      <c r="Y989" s="152"/>
      <c r="AC989" s="19"/>
      <c r="AD989" s="19"/>
    </row>
    <row r="990">
      <c r="A990" s="82"/>
      <c r="B990" s="83"/>
      <c r="C990" s="84"/>
      <c r="D990" s="84"/>
      <c r="E990" s="84"/>
      <c r="F990" s="84"/>
      <c r="G990" s="84"/>
      <c r="I990" s="84"/>
      <c r="J990" s="90"/>
      <c r="K990" s="90"/>
      <c r="L990" s="188"/>
      <c r="M990" s="90"/>
      <c r="N990" s="90"/>
      <c r="O990" s="90"/>
      <c r="P990" s="90"/>
      <c r="Q990" s="90"/>
      <c r="R990" s="82"/>
      <c r="S990" s="82"/>
      <c r="T990" s="84"/>
      <c r="Y990" s="152"/>
      <c r="AC990" s="19"/>
      <c r="AD990" s="19"/>
    </row>
    <row r="991">
      <c r="A991" s="82"/>
      <c r="B991" s="83"/>
      <c r="C991" s="84"/>
      <c r="D991" s="84"/>
      <c r="E991" s="84"/>
      <c r="F991" s="84"/>
      <c r="G991" s="84"/>
      <c r="I991" s="84"/>
      <c r="K991" s="90"/>
      <c r="L991" s="188"/>
      <c r="M991" s="90"/>
      <c r="N991" s="90"/>
      <c r="O991" s="90"/>
      <c r="P991" s="90"/>
      <c r="Q991" s="90"/>
      <c r="R991" s="82"/>
      <c r="S991" s="82"/>
      <c r="T991" s="84"/>
      <c r="Y991" s="152"/>
      <c r="AC991" s="19"/>
      <c r="AD991" s="19"/>
    </row>
    <row r="992">
      <c r="A992" s="82"/>
      <c r="B992" s="83"/>
      <c r="C992" s="84"/>
      <c r="D992" s="84"/>
      <c r="E992" s="84"/>
      <c r="F992" s="84"/>
      <c r="G992" s="84"/>
      <c r="I992" s="84"/>
      <c r="K992" s="90"/>
      <c r="L992" s="84"/>
      <c r="N992" s="90"/>
      <c r="O992" s="90"/>
      <c r="P992" s="90"/>
      <c r="Q992" s="90"/>
      <c r="R992" s="82"/>
      <c r="S992" s="82"/>
      <c r="T992" s="84"/>
      <c r="Y992" s="152"/>
      <c r="AC992" s="19"/>
      <c r="AD992" s="19"/>
    </row>
    <row r="993">
      <c r="Y993" s="152"/>
      <c r="AC993" s="19"/>
      <c r="AD993" s="19"/>
    </row>
    <row r="994">
      <c r="Y994" s="152"/>
      <c r="AC994" s="19"/>
      <c r="AD994" s="19"/>
    </row>
    <row r="995">
      <c r="Y995" s="152"/>
      <c r="AC995" s="19"/>
      <c r="AD995" s="19"/>
    </row>
    <row r="996">
      <c r="Y996" s="152"/>
      <c r="AC996" s="19"/>
      <c r="AD996" s="19"/>
    </row>
    <row r="997">
      <c r="Y997" s="152"/>
      <c r="AC997" s="19"/>
      <c r="AD997" s="19"/>
    </row>
    <row r="998">
      <c r="Y998" s="152"/>
      <c r="AC998" s="19"/>
      <c r="AD998" s="19"/>
    </row>
    <row r="999">
      <c r="Y999" s="152"/>
      <c r="AC999" s="19"/>
      <c r="AD999" s="19"/>
    </row>
  </sheetData>
  <autoFilter ref="$A$6:$AD$249"/>
  <mergeCells count="33">
    <mergeCell ref="G103:H103"/>
    <mergeCell ref="G104:H104"/>
    <mergeCell ref="G105:H105"/>
    <mergeCell ref="G106:H106"/>
    <mergeCell ref="I151:J151"/>
    <mergeCell ref="I108:K108"/>
    <mergeCell ref="G101:H101"/>
    <mergeCell ref="G99:H99"/>
    <mergeCell ref="I99:J99"/>
    <mergeCell ref="G100:H100"/>
    <mergeCell ref="I101:J101"/>
    <mergeCell ref="I106:J106"/>
    <mergeCell ref="G992:H992"/>
    <mergeCell ref="G989:H989"/>
    <mergeCell ref="G990:H990"/>
    <mergeCell ref="G991:H991"/>
    <mergeCell ref="G102:H102"/>
    <mergeCell ref="I102:J102"/>
    <mergeCell ref="I989:J989"/>
    <mergeCell ref="I988:J988"/>
    <mergeCell ref="G987:H987"/>
    <mergeCell ref="G988:H988"/>
    <mergeCell ref="I992:J992"/>
    <mergeCell ref="I991:J991"/>
    <mergeCell ref="G151:H151"/>
    <mergeCell ref="G183:H183"/>
    <mergeCell ref="M151:N151"/>
    <mergeCell ref="I182:J182"/>
    <mergeCell ref="G182:H182"/>
    <mergeCell ref="L992:M992"/>
    <mergeCell ref="L988:M988"/>
    <mergeCell ref="G107:H107"/>
    <mergeCell ref="G108:H108"/>
  </mergeCells>
  <conditionalFormatting sqref="F57">
    <cfRule type="expression" dxfId="5" priority="1">
      <formula>AND($V58="",$Y58&lt;&gt;"×",$Z58&lt;TODAY())</formula>
    </cfRule>
  </conditionalFormatting>
  <conditionalFormatting sqref="F57">
    <cfRule type="expression" dxfId="6" priority="2">
      <formula>$Y58="○"</formula>
    </cfRule>
  </conditionalFormatting>
  <conditionalFormatting sqref="F57">
    <cfRule type="expression" dxfId="7" priority="3">
      <formula>$Y58="×"</formula>
    </cfRule>
  </conditionalFormatting>
  <conditionalFormatting sqref="L75:T75">
    <cfRule type="expression" dxfId="5" priority="4">
      <formula>AND($V76="",$Y76&lt;&gt;"×",$Z76&lt;TODAY())</formula>
    </cfRule>
  </conditionalFormatting>
  <conditionalFormatting sqref="L75:T75">
    <cfRule type="expression" dxfId="6" priority="5">
      <formula>$Y76="○"</formula>
    </cfRule>
  </conditionalFormatting>
  <conditionalFormatting sqref="L75:T75">
    <cfRule type="expression" dxfId="7" priority="6">
      <formula>$Y76="×"</formula>
    </cfRule>
  </conditionalFormatting>
  <conditionalFormatting sqref="A8:E249 F8:F56 G8:K249 L8:Q74 R8:T75 U8:AA249 F59:F249 L77:L249 M77:Q199 R77:T249 M202:Q249">
    <cfRule type="expression" dxfId="5" priority="7">
      <formula>AND($V8="",$Y8&lt;&gt;"×",$Z8&lt;TODAY())</formula>
    </cfRule>
  </conditionalFormatting>
  <conditionalFormatting sqref="A8:E249 F8:F56 G8:K249 L8:Q74 R8:T75 U8:AA249 F59:F249 L77:L249 M77:Q199 R77:T249 M202:Q249">
    <cfRule type="expression" dxfId="6" priority="8">
      <formula>$Y8="○"</formula>
    </cfRule>
  </conditionalFormatting>
  <conditionalFormatting sqref="A8:E249 F8:F56 G8:K249 L8:Q74 R8:T75 U8:AA249 F59:F249 L77:L249 M77:Q199 R77:T249 M202:Q249">
    <cfRule type="expression" dxfId="7" priority="9">
      <formula>$Y8="×"</formula>
    </cfRule>
  </conditionalFormatting>
  <conditionalFormatting sqref="AC7">
    <cfRule type="notContainsBlanks" dxfId="8" priority="10">
      <formula>LEN(TRIM(AC7))&gt;0</formula>
    </cfRule>
  </conditionalFormatting>
  <dataValidations>
    <dataValidation type="list" allowBlank="1" sqref="U32:V33 U43:V43 U64:V66 U68:V70 U74:V74 U76:V76 U91:V91 U97:V97 U103:V104">
      <formula1>Payment!$B$4:$B$26</formula1>
    </dataValidation>
    <dataValidation type="list" allowBlank="1" showErrorMessage="1" sqref="Y8:Y249 AA8:AA249">
      <formula1>"○,×"</formula1>
    </dataValidation>
    <dataValidation type="list" allowBlank="1" showErrorMessage="1" sqref="U8:V31 U34:V42 U44:V63 U67:V67 U71:V73 U75:V75 U77:V90 U92:V96 U98:V102 U105:V249">
      <formula1>Payment!$B$4:$B$26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8.71"/>
    <col customWidth="1" min="2" max="2" width="17.29"/>
    <col customWidth="1" hidden="1" min="3" max="5" width="8.57"/>
    <col customWidth="1" min="6" max="8" width="8.57"/>
    <col customWidth="1" min="9" max="11" width="8.71"/>
    <col customWidth="1" min="12" max="12" width="8.57"/>
    <col customWidth="1" min="13" max="27" width="8.71"/>
  </cols>
  <sheetData>
    <row r="1">
      <c r="B1" s="19"/>
      <c r="C1" s="56">
        <v>2300.0</v>
      </c>
      <c r="D1" s="56">
        <v>1200.0</v>
      </c>
      <c r="E1" s="19"/>
      <c r="L1" s="19"/>
    </row>
    <row r="2">
      <c r="B2" s="57" t="s">
        <v>2</v>
      </c>
      <c r="C2" s="58" t="s">
        <v>588</v>
      </c>
      <c r="D2" s="62"/>
      <c r="E2" s="64"/>
      <c r="F2" s="68" t="s">
        <v>598</v>
      </c>
      <c r="G2" s="62"/>
      <c r="H2" s="64"/>
      <c r="I2" s="70" t="s">
        <v>600</v>
      </c>
      <c r="J2" s="62"/>
      <c r="K2" s="64"/>
      <c r="L2" s="72" t="s">
        <v>601</v>
      </c>
    </row>
    <row r="3">
      <c r="B3" s="57"/>
      <c r="C3" s="73" t="s">
        <v>12</v>
      </c>
      <c r="D3" s="73" t="s">
        <v>18</v>
      </c>
      <c r="E3" s="74" t="s">
        <v>474</v>
      </c>
      <c r="F3" s="75" t="s">
        <v>12</v>
      </c>
      <c r="G3" s="75" t="s">
        <v>18</v>
      </c>
      <c r="H3" s="75" t="s">
        <v>611</v>
      </c>
      <c r="I3" s="76" t="s">
        <v>12</v>
      </c>
      <c r="J3" s="76" t="s">
        <v>18</v>
      </c>
      <c r="K3" s="76" t="s">
        <v>611</v>
      </c>
      <c r="L3" s="77"/>
    </row>
    <row r="4">
      <c r="B4" s="78" t="s">
        <v>129</v>
      </c>
      <c r="C4" s="79">
        <v>0.0</v>
      </c>
      <c r="D4" s="79">
        <v>0.0</v>
      </c>
      <c r="E4" s="80">
        <f>C4*Settings!$H$3+D4*Settings!$H$4</f>
        <v>0</v>
      </c>
      <c r="F4" s="81">
        <f>COUNTIFS(Attendees!$D:$D,F$3,Attendees!$J:$J,$B4,Attendees!$L:$L,"")</f>
        <v>11</v>
      </c>
      <c r="G4" s="81">
        <f>COUNTIFS(Attendees!$D:$D,G$3,Attendees!$J:$J,$B4,Attendees!$L:$L,"")</f>
        <v>7</v>
      </c>
      <c r="H4" s="85">
        <f>F4*Settings!$H$3+G4*Settings!$H$4</f>
        <v>33700</v>
      </c>
      <c r="I4" s="81">
        <f>SUMIFS(General_Reg!$AC:$AC,General_Reg!$V:$V,$B4)</f>
        <v>0</v>
      </c>
      <c r="J4" s="81">
        <f>SUMIFS(General_Reg!$AD:$AD,General_Reg!$V:$V,$B4)</f>
        <v>0</v>
      </c>
      <c r="K4" s="89">
        <f>I4*Settings!$H$3+J4*Settings!$H$4</f>
        <v>0</v>
      </c>
      <c r="L4" s="91">
        <f>SUM(E4,E5,H4,H5,K4, K5)</f>
        <v>33700</v>
      </c>
    </row>
    <row r="5">
      <c r="B5" s="92" t="s">
        <v>636</v>
      </c>
      <c r="C5" s="79">
        <v>0.0</v>
      </c>
      <c r="D5" s="79">
        <v>0.0</v>
      </c>
      <c r="E5" s="80">
        <f>C5*Settings!$H$3+D5*Settings!$H$4</f>
        <v>0</v>
      </c>
      <c r="F5" s="81">
        <f>COUNTIFS(Attendees!$D:$D,F$3,Attendees!$J:$J,$B5,Attendees!$L:$L,"")</f>
        <v>0</v>
      </c>
      <c r="G5" s="81">
        <f>COUNTIFS(Attendees!$D:$D,G$3,Attendees!$J:$J,$B5,Attendees!$L:$L,"")</f>
        <v>0</v>
      </c>
      <c r="H5" s="85">
        <f>F5*Settings!$H$3+G5*Settings!$H$4</f>
        <v>0</v>
      </c>
      <c r="I5" s="81">
        <f>SUMIFS(General_Reg!$AC:$AC,General_Reg!$V:$V,$B5)</f>
        <v>0</v>
      </c>
      <c r="J5" s="81">
        <f>SUMIFS(General_Reg!$AD:$AD,General_Reg!$V:$V,$B5)</f>
        <v>0</v>
      </c>
      <c r="K5" s="89">
        <f>I5*Settings!$H$3+J5*Settings!$H$4</f>
        <v>0</v>
      </c>
      <c r="L5" s="77"/>
    </row>
    <row r="6">
      <c r="B6" s="78" t="s">
        <v>539</v>
      </c>
      <c r="C6" s="79">
        <v>0.0</v>
      </c>
      <c r="D6" s="79">
        <v>0.0</v>
      </c>
      <c r="E6" s="80">
        <f>C6*Settings!$H$3+D6*Settings!$H$4</f>
        <v>0</v>
      </c>
      <c r="F6" s="81">
        <f>COUNTIFS(Attendees!$D:$D,F$3,Attendees!$J:$J,$B6,Attendees!$L:$L,"")</f>
        <v>0</v>
      </c>
      <c r="G6" s="81">
        <f>COUNTIFS(Attendees!$D:$D,G$3,Attendees!$J:$J,$B6,Attendees!$L:$L,"")</f>
        <v>0</v>
      </c>
      <c r="H6" s="85">
        <f>F6*Settings!$H$3+G6*Settings!$H$4</f>
        <v>0</v>
      </c>
      <c r="I6" s="81">
        <f>SUMIFS(General_Reg!$AC:$AC,General_Reg!$V:$V,$B6)</f>
        <v>6</v>
      </c>
      <c r="J6" s="81">
        <f>SUMIFS(General_Reg!$AD:$AD,General_Reg!$V:$V,$B6)</f>
        <v>3</v>
      </c>
      <c r="K6" s="89">
        <f>I6*Settings!$H$3+J6*Settings!$H$4</f>
        <v>17400</v>
      </c>
      <c r="L6" s="91">
        <f>SUM(E6,E7,H6,H7,K6, K7)</f>
        <v>44000</v>
      </c>
    </row>
    <row r="7">
      <c r="B7" s="78" t="s">
        <v>650</v>
      </c>
      <c r="C7" s="79">
        <v>0.0</v>
      </c>
      <c r="D7" s="79">
        <v>0.0</v>
      </c>
      <c r="E7" s="80">
        <f>C7*Settings!$H$3+D7*Settings!$H$4</f>
        <v>0</v>
      </c>
      <c r="F7" s="81">
        <f>COUNTIFS(Attendees!$D:$D,F$3,Attendees!$J:$J,$B7,Attendees!$L:$L,"")</f>
        <v>8</v>
      </c>
      <c r="G7" s="81">
        <f>COUNTIFS(Attendees!$D:$D,G$3,Attendees!$J:$J,$B7,Attendees!$L:$L,"")</f>
        <v>1</v>
      </c>
      <c r="H7" s="85">
        <f>F7*Settings!$H$3+G7*Settings!$H$4</f>
        <v>19600</v>
      </c>
      <c r="I7" s="81">
        <f>SUMIFS(General_Reg!$AC:$AC,General_Reg!$V:$V,$B7)</f>
        <v>2</v>
      </c>
      <c r="J7" s="81">
        <f>SUMIFS(General_Reg!$AD:$AD,General_Reg!$V:$V,$B7)</f>
        <v>2</v>
      </c>
      <c r="K7" s="89">
        <f>I7*Settings!$H$3+J7*Settings!$H$4</f>
        <v>7000</v>
      </c>
      <c r="L7" s="77"/>
    </row>
    <row r="8">
      <c r="B8" s="92" t="s">
        <v>686</v>
      </c>
      <c r="C8" s="79">
        <v>0.0</v>
      </c>
      <c r="D8" s="79">
        <v>0.0</v>
      </c>
      <c r="E8" s="80">
        <f>C8*Settings!$H$3+D8*Settings!$H$4</f>
        <v>0</v>
      </c>
      <c r="F8" s="81">
        <f>COUNTIFS(Attendees!$D:$D,F$3,Attendees!$J:$J,$B8,Attendees!$L:$L,"")</f>
        <v>3</v>
      </c>
      <c r="G8" s="81">
        <f>COUNTIFS(Attendees!$D:$D,G$3,Attendees!$J:$J,$B8,Attendees!$L:$L,"")</f>
        <v>0</v>
      </c>
      <c r="H8" s="85">
        <f>F8*Settings!$H$3+G8*Settings!$H$4</f>
        <v>6900</v>
      </c>
      <c r="I8" s="81">
        <f>SUMIFS(General_Reg!$AC:$AC,General_Reg!$V:$V,$B8)</f>
        <v>0</v>
      </c>
      <c r="J8" s="81">
        <f>SUMIFS(General_Reg!$AD:$AD,General_Reg!$V:$V,$B8)</f>
        <v>0</v>
      </c>
      <c r="K8" s="89">
        <f>I8*Settings!$H$3+J8*Settings!$H$4</f>
        <v>0</v>
      </c>
      <c r="L8" s="91">
        <f>SUM(E8,E9,H8,H9,K8, K9)</f>
        <v>6900</v>
      </c>
    </row>
    <row r="9">
      <c r="B9" s="92" t="s">
        <v>699</v>
      </c>
      <c r="C9" s="79">
        <v>0.0</v>
      </c>
      <c r="D9" s="79">
        <v>0.0</v>
      </c>
      <c r="E9" s="80">
        <f>C9*Settings!$H$3+D9*Settings!$H$4</f>
        <v>0</v>
      </c>
      <c r="F9" s="81">
        <f>COUNTIFS(Attendees!$D:$D,F$3,Attendees!$J:$J,$B9,Attendees!$L:$L,"")</f>
        <v>0</v>
      </c>
      <c r="G9" s="81">
        <f>COUNTIFS(Attendees!$D:$D,G$3,Attendees!$J:$J,$B9,Attendees!$L:$L,"")</f>
        <v>0</v>
      </c>
      <c r="H9" s="85">
        <f>F9*Settings!$H$3+G9*Settings!$H$4</f>
        <v>0</v>
      </c>
      <c r="I9" s="81">
        <f>SUMIFS(General_Reg!$AC:$AC,General_Reg!$V:$V,$B9)</f>
        <v>0</v>
      </c>
      <c r="J9" s="81">
        <f>SUMIFS(General_Reg!$AD:$AD,General_Reg!$V:$V,$B9)</f>
        <v>0</v>
      </c>
      <c r="K9" s="89">
        <f>I9*Settings!$H$3+J9*Settings!$H$4</f>
        <v>0</v>
      </c>
      <c r="L9" s="77"/>
    </row>
    <row r="10">
      <c r="B10" s="92" t="s">
        <v>705</v>
      </c>
      <c r="C10" s="79">
        <v>0.0</v>
      </c>
      <c r="D10" s="79">
        <v>0.0</v>
      </c>
      <c r="E10" s="80">
        <f>C10*Settings!$H$3+D10*Settings!$H$4</f>
        <v>0</v>
      </c>
      <c r="F10" s="81">
        <f>COUNTIFS(Attendees!$D:$D,F$3,Attendees!$J:$J,$B10,Attendees!$L:$L,"")</f>
        <v>0</v>
      </c>
      <c r="G10" s="81">
        <f>COUNTIFS(Attendees!$D:$D,G$3,Attendees!$J:$J,$B10,Attendees!$L:$L,"")</f>
        <v>0</v>
      </c>
      <c r="H10" s="85">
        <f>F10*Settings!$H$3+G10*Settings!$H$4</f>
        <v>0</v>
      </c>
      <c r="I10" s="81">
        <f>SUMIFS(General_Reg!$AC:$AC,General_Reg!$V:$V,$B10)</f>
        <v>0</v>
      </c>
      <c r="J10" s="81">
        <f>SUMIFS(General_Reg!$AD:$AD,General_Reg!$V:$V,$B10)</f>
        <v>0</v>
      </c>
      <c r="K10" s="89">
        <f>I10*Settings!$H$3+J10*Settings!$H$4</f>
        <v>0</v>
      </c>
      <c r="L10" s="91">
        <f>SUM(E10,E11,H10,H11,K10, K11)</f>
        <v>8100</v>
      </c>
    </row>
    <row r="11">
      <c r="B11" s="92" t="s">
        <v>434</v>
      </c>
      <c r="C11" s="79">
        <v>0.0</v>
      </c>
      <c r="D11" s="79">
        <v>0.0</v>
      </c>
      <c r="E11" s="80">
        <f>C11*Settings!$H$3+D11*Settings!$H$4</f>
        <v>0</v>
      </c>
      <c r="F11" s="81">
        <f>COUNTIFS(Attendees!$D:$D,F$3,Attendees!$J:$J,$B11,Attendees!$L:$L,"")</f>
        <v>3</v>
      </c>
      <c r="G11" s="81">
        <f>COUNTIFS(Attendees!$D:$D,G$3,Attendees!$J:$J,$B11,Attendees!$L:$L,"")</f>
        <v>1</v>
      </c>
      <c r="H11" s="85">
        <f>F11*Settings!$H$3+G11*Settings!$H$4</f>
        <v>8100</v>
      </c>
      <c r="I11" s="81">
        <f>SUMIFS(General_Reg!$AC:$AC,General_Reg!$V:$V,$B11)</f>
        <v>0</v>
      </c>
      <c r="J11" s="81">
        <f>SUMIFS(General_Reg!$AD:$AD,General_Reg!$V:$V,$B11)</f>
        <v>0</v>
      </c>
      <c r="K11" s="89">
        <f>I11*Settings!$H$3+J11*Settings!$H$4</f>
        <v>0</v>
      </c>
      <c r="L11" s="77"/>
    </row>
    <row r="12">
      <c r="B12" s="92" t="s">
        <v>525</v>
      </c>
      <c r="C12" s="79">
        <v>0.0</v>
      </c>
      <c r="D12" s="79">
        <v>0.0</v>
      </c>
      <c r="E12" s="80">
        <f>C12*Settings!$H$3+D12*Settings!$H$4</f>
        <v>0</v>
      </c>
      <c r="F12" s="81">
        <f>COUNTIFS(Attendees!$D:$D,F$3,Attendees!$J:$J,$B12,Attendees!$L:$L,"")</f>
        <v>0</v>
      </c>
      <c r="G12" s="81">
        <f>COUNTIFS(Attendees!$D:$D,G$3,Attendees!$J:$J,$B12,Attendees!$L:$L,"")</f>
        <v>0</v>
      </c>
      <c r="H12" s="85">
        <f>F12*Settings!$H$3+G12*Settings!$H$4</f>
        <v>0</v>
      </c>
      <c r="I12" s="81">
        <f>SUMIFS(General_Reg!$AC:$AC,General_Reg!$V:$V,$B12)</f>
        <v>4</v>
      </c>
      <c r="J12" s="81">
        <f>SUMIFS(General_Reg!$AD:$AD,General_Reg!$V:$V,$B12)</f>
        <v>0</v>
      </c>
      <c r="K12" s="89">
        <f>I12*Settings!$H$3+J12*Settings!$H$4</f>
        <v>9200</v>
      </c>
      <c r="L12" s="97">
        <f>SUM(E12,E13,H12,H13,K12, K13)</f>
        <v>9200</v>
      </c>
    </row>
    <row r="13" ht="18.75" customHeight="1">
      <c r="B13" s="92" t="s">
        <v>745</v>
      </c>
      <c r="C13" s="79">
        <v>0.0</v>
      </c>
      <c r="D13" s="79">
        <v>0.0</v>
      </c>
      <c r="E13" s="80">
        <f>C13*Settings!$H$3+D13*Settings!$H$4</f>
        <v>0</v>
      </c>
      <c r="F13" s="81">
        <f>COUNTIFS(Attendees!$D:$D,F$3,Attendees!$J:$J,$B13,Attendees!$L:$L,"")</f>
        <v>0</v>
      </c>
      <c r="G13" s="81">
        <f>COUNTIFS(Attendees!$D:$D,G$3,Attendees!$J:$J,$B13,Attendees!$L:$L,"")</f>
        <v>0</v>
      </c>
      <c r="H13" s="85">
        <f>F13*Settings!$H$3+G13*Settings!$H$4</f>
        <v>0</v>
      </c>
      <c r="I13" s="81">
        <f>SUMIFS(General_Reg!$AC:$AC,General_Reg!$V:$V,$B13)</f>
        <v>0</v>
      </c>
      <c r="J13" s="81">
        <f>SUMIFS(General_Reg!$AD:$AD,General_Reg!$V:$V,$B13)</f>
        <v>0</v>
      </c>
      <c r="K13" s="89">
        <f>I13*Settings!$H$3+J13*Settings!$H$4</f>
        <v>0</v>
      </c>
      <c r="L13" s="77"/>
    </row>
    <row r="14">
      <c r="B14" s="92" t="s">
        <v>528</v>
      </c>
      <c r="C14" s="79">
        <v>0.0</v>
      </c>
      <c r="D14" s="79">
        <v>0.0</v>
      </c>
      <c r="E14" s="80">
        <f>C14*Settings!$H$3+D14*Settings!$H$4</f>
        <v>0</v>
      </c>
      <c r="F14" s="81">
        <f>COUNTIFS(Attendees!$D:$D,F$3,Attendees!$J:$J,$B14,Attendees!$L:$L,"")</f>
        <v>0</v>
      </c>
      <c r="G14" s="81">
        <f>COUNTIFS(Attendees!$D:$D,G$3,Attendees!$J:$J,$B14,Attendees!$L:$L,"")</f>
        <v>0</v>
      </c>
      <c r="H14" s="85">
        <f>F14*Settings!$H$3+G14*Settings!$H$4</f>
        <v>0</v>
      </c>
      <c r="I14" s="81">
        <f>SUMIFS(General_Reg!$AC:$AC,General_Reg!$V:$V,$B14)</f>
        <v>3</v>
      </c>
      <c r="J14" s="81">
        <f>SUMIFS(General_Reg!$AD:$AD,General_Reg!$V:$V,$B14)</f>
        <v>0</v>
      </c>
      <c r="K14" s="89">
        <f>I14*Settings!$H$3+J14*Settings!$H$4</f>
        <v>6900</v>
      </c>
      <c r="L14" s="100">
        <f>SUM(E14,E15,H14,H15,K14, K15)</f>
        <v>6900</v>
      </c>
    </row>
    <row r="15">
      <c r="B15" s="92" t="s">
        <v>752</v>
      </c>
      <c r="C15" s="79">
        <v>0.0</v>
      </c>
      <c r="D15" s="79">
        <v>0.0</v>
      </c>
      <c r="E15" s="80">
        <f>C15*Settings!$H$3+D15*Settings!$H$4</f>
        <v>0</v>
      </c>
      <c r="F15" s="81">
        <f>COUNTIFS(Attendees!$D:$D,F$3,Attendees!$J:$J,$B15,Attendees!$L:$L,"")</f>
        <v>0</v>
      </c>
      <c r="G15" s="81">
        <f>COUNTIFS(Attendees!$D:$D,G$3,Attendees!$J:$J,$B15,Attendees!$L:$L,"")</f>
        <v>0</v>
      </c>
      <c r="H15" s="85">
        <f>F15*Settings!$H$3+G15*Settings!$H$4</f>
        <v>0</v>
      </c>
      <c r="I15" s="81">
        <f>SUMIFS(General_Reg!$AC:$AC,General_Reg!$V:$V,$B15)</f>
        <v>0</v>
      </c>
      <c r="J15" s="81">
        <f>SUMIFS(General_Reg!$AD:$AD,General_Reg!$V:$V,$B15)</f>
        <v>0</v>
      </c>
      <c r="K15" s="89">
        <f>I15*Settings!$H$3+J15*Settings!$H$4</f>
        <v>0</v>
      </c>
      <c r="L15" s="77"/>
    </row>
    <row r="16">
      <c r="B16" s="92" t="s">
        <v>560</v>
      </c>
      <c r="C16" s="79">
        <v>0.0</v>
      </c>
      <c r="D16" s="79">
        <v>0.0</v>
      </c>
      <c r="E16" s="80">
        <f>C16*Settings!$H$3+D16*Settings!$H$4</f>
        <v>0</v>
      </c>
      <c r="F16" s="81">
        <f>COUNTIFS(Attendees!$D:$D,F$3,Attendees!$J:$J,$B16,Attendees!$L:$L,"")</f>
        <v>4</v>
      </c>
      <c r="G16" s="81">
        <f>COUNTIFS(Attendees!$D:$D,G$3,Attendees!$J:$J,$B16,Attendees!$L:$L,"")</f>
        <v>0</v>
      </c>
      <c r="H16" s="85">
        <f>F16*Settings!$H$3+G16*Settings!$H$4</f>
        <v>9200</v>
      </c>
      <c r="I16" s="81">
        <f>SUMIFS(General_Reg!$AC:$AC,General_Reg!$V:$V,$B16)</f>
        <v>1</v>
      </c>
      <c r="J16" s="81">
        <f>SUMIFS(General_Reg!$AD:$AD,General_Reg!$V:$V,$B16)</f>
        <v>0</v>
      </c>
      <c r="K16" s="89">
        <f>I16*Settings!$H$3+J16*Settings!$H$4</f>
        <v>2300</v>
      </c>
      <c r="L16" s="97">
        <f>SUM(E16,E17,H16,H17,K16, K17)</f>
        <v>11500</v>
      </c>
    </row>
    <row r="17">
      <c r="B17" s="92" t="s">
        <v>430</v>
      </c>
      <c r="C17" s="79">
        <v>0.0</v>
      </c>
      <c r="D17" s="79">
        <v>0.0</v>
      </c>
      <c r="E17" s="80">
        <f>C17*Settings!$H$3+D17*Settings!$H$4</f>
        <v>0</v>
      </c>
      <c r="F17" s="81">
        <f>COUNTIFS(Attendees!$D:$D,F$3,Attendees!$J:$J,$B17,Attendees!$L:$L,"")</f>
        <v>0</v>
      </c>
      <c r="G17" s="81">
        <f>COUNTIFS(Attendees!$D:$D,G$3,Attendees!$J:$J,$B17,Attendees!$L:$L,"")</f>
        <v>0</v>
      </c>
      <c r="H17" s="85">
        <f>F17*Settings!$H$3+G17*Settings!$H$4</f>
        <v>0</v>
      </c>
      <c r="I17" s="81">
        <f>SUMIFS(General_Reg!$AC:$AC,General_Reg!$V:$V,$B17)</f>
        <v>0</v>
      </c>
      <c r="J17" s="81">
        <f>SUMIFS(General_Reg!$AD:$AD,General_Reg!$V:$V,$B17)</f>
        <v>0</v>
      </c>
      <c r="K17" s="89">
        <f>I17*Settings!$H$3+J17*Settings!$H$4</f>
        <v>0</v>
      </c>
      <c r="L17" s="77"/>
    </row>
    <row r="18">
      <c r="B18" s="92" t="s">
        <v>753</v>
      </c>
      <c r="C18" s="79">
        <v>0.0</v>
      </c>
      <c r="D18" s="79">
        <v>0.0</v>
      </c>
      <c r="E18" s="80">
        <f>C18*Settings!$H$3+D18*Settings!$H$4</f>
        <v>0</v>
      </c>
      <c r="F18" s="81">
        <f>COUNTIFS(Attendees!$D:$D,F$3,Attendees!$J:$J,$B18,Attendees!$L:$L,"")</f>
        <v>0</v>
      </c>
      <c r="G18" s="81">
        <f>COUNTIFS(Attendees!$D:$D,G$3,Attendees!$J:$J,$B18,Attendees!$L:$L,"")</f>
        <v>0</v>
      </c>
      <c r="H18" s="85">
        <f>F18*Settings!$H$3+G18*Settings!$H$4</f>
        <v>0</v>
      </c>
      <c r="I18" s="81">
        <f>SUMIFS(General_Reg!$AC:$AC,General_Reg!$V:$V,$B18)</f>
        <v>0</v>
      </c>
      <c r="J18" s="81">
        <f>SUMIFS(General_Reg!$AD:$AD,General_Reg!$V:$V,$B18)</f>
        <v>0</v>
      </c>
      <c r="K18" s="89">
        <f>I18*Settings!$H$3+J18*Settings!$H$4</f>
        <v>0</v>
      </c>
      <c r="L18" s="100">
        <f>SUM(E18,E19,H18,H19,K18, K19)</f>
        <v>210000</v>
      </c>
    </row>
    <row r="19">
      <c r="B19" s="92" t="s">
        <v>470</v>
      </c>
      <c r="C19" s="79">
        <v>0.0</v>
      </c>
      <c r="D19" s="79">
        <v>0.0</v>
      </c>
      <c r="E19" s="80">
        <f>C19*Settings!$H$3+D19*Settings!$H$4</f>
        <v>0</v>
      </c>
      <c r="F19" s="81">
        <f>COUNTIFS(Attendees!$D:$D,F$3,Attendees!$J:$J,$B19,Attendees!$L:$L,"")</f>
        <v>68</v>
      </c>
      <c r="G19" s="81">
        <f>COUNTIFS(Attendees!$D:$D,G$3,Attendees!$J:$J,$B19,Attendees!$L:$L,"")</f>
        <v>36</v>
      </c>
      <c r="H19" s="85">
        <f>F19*Settings!$H$3+G19*Settings!$H$4</f>
        <v>199600</v>
      </c>
      <c r="I19" s="81">
        <f>SUMIFS(General_Reg!$AC:$AC,General_Reg!$V:$V,$B19)</f>
        <v>4</v>
      </c>
      <c r="J19" s="81">
        <f>SUMIFS(General_Reg!$AD:$AD,General_Reg!$V:$V,$B19)</f>
        <v>1</v>
      </c>
      <c r="K19" s="89">
        <f>I19*Settings!$H$3+J19*Settings!$H$4</f>
        <v>10400</v>
      </c>
      <c r="L19" s="77"/>
    </row>
    <row r="20">
      <c r="B20" s="92" t="s">
        <v>710</v>
      </c>
      <c r="C20" s="79">
        <v>0.0</v>
      </c>
      <c r="D20" s="79">
        <v>0.0</v>
      </c>
      <c r="E20" s="80">
        <f>C20*Settings!$H$3+D20*Settings!$H$4</f>
        <v>0</v>
      </c>
      <c r="F20" s="81">
        <f>COUNTIFS(Attendees!$D:$D,F$3,Attendees!$J:$J,$B20,Attendees!$L:$L,"")</f>
        <v>3</v>
      </c>
      <c r="G20" s="81">
        <f>COUNTIFS(Attendees!$D:$D,G$3,Attendees!$J:$J,$B20,Attendees!$L:$L,"")</f>
        <v>0</v>
      </c>
      <c r="H20" s="85">
        <f>F20*Settings!$H$3+G20*Settings!$H$4</f>
        <v>6900</v>
      </c>
      <c r="I20" s="81">
        <f>SUMIFS(General_Reg!$AC:$AC,General_Reg!$V:$V,$B20)</f>
        <v>0</v>
      </c>
      <c r="J20" s="81">
        <f>SUMIFS(General_Reg!$AD:$AD,General_Reg!$V:$V,$B20)</f>
        <v>0</v>
      </c>
      <c r="K20" s="89">
        <f>I20*Settings!$H$3+J20*Settings!$H$4</f>
        <v>0</v>
      </c>
      <c r="L20" s="97">
        <f>SUM(E20,E21,H20,H21,K20, K21)</f>
        <v>270600</v>
      </c>
    </row>
    <row r="21">
      <c r="B21" s="92" t="s">
        <v>241</v>
      </c>
      <c r="C21" s="79">
        <v>0.0</v>
      </c>
      <c r="D21" s="79">
        <v>0.0</v>
      </c>
      <c r="E21" s="80">
        <f>C21*Settings!$H$3+D21*Settings!$H$4</f>
        <v>0</v>
      </c>
      <c r="F21" s="81">
        <f>COUNTIFS(Attendees!$D:$D,F$3,Attendees!$J:$J,$B21,Attendees!$L:$L,"")</f>
        <v>78</v>
      </c>
      <c r="G21" s="81">
        <f>COUNTIFS(Attendees!$D:$D,G$3,Attendees!$J:$J,$B21,Attendees!$L:$L,"")</f>
        <v>50</v>
      </c>
      <c r="H21" s="85">
        <f>F21*Settings!$H$3+G21*Settings!$H$4</f>
        <v>239400</v>
      </c>
      <c r="I21" s="81">
        <f>SUMIFS(General_Reg!$AC:$AC,General_Reg!$V:$V,$B21)</f>
        <v>9</v>
      </c>
      <c r="J21" s="81">
        <f>SUMIFS(General_Reg!$AD:$AD,General_Reg!$V:$V,$B21)</f>
        <v>3</v>
      </c>
      <c r="K21" s="89">
        <f>I21*Settings!$H$3+J21*Settings!$H$4</f>
        <v>24300</v>
      </c>
      <c r="L21" s="77"/>
    </row>
    <row r="22">
      <c r="B22" s="92" t="s">
        <v>548</v>
      </c>
      <c r="C22" s="79">
        <v>0.0</v>
      </c>
      <c r="D22" s="79">
        <v>0.0</v>
      </c>
      <c r="E22" s="80">
        <f>C22*Settings!$H$3+D22*Settings!$H$4</f>
        <v>0</v>
      </c>
      <c r="F22" s="81">
        <f>COUNTIFS(Attendees!$D:$D,F$3,Attendees!$J:$J,$B22,Attendees!$L:$L,"")</f>
        <v>0</v>
      </c>
      <c r="G22" s="81">
        <f>COUNTIFS(Attendees!$D:$D,G$3,Attendees!$J:$J,$B22,Attendees!$L:$L,"")</f>
        <v>0</v>
      </c>
      <c r="H22" s="85">
        <f>F22*Settings!$H$3+G22*Settings!$H$4</f>
        <v>0</v>
      </c>
      <c r="I22" s="81">
        <f>SUMIFS(General_Reg!$AC:$AC,General_Reg!$V:$V,$B22)</f>
        <v>3</v>
      </c>
      <c r="J22" s="81">
        <f>SUMIFS(General_Reg!$AD:$AD,General_Reg!$V:$V,$B22)</f>
        <v>0</v>
      </c>
      <c r="K22" s="89">
        <f>I22*Settings!$H$3+J22*Settings!$H$4</f>
        <v>6900</v>
      </c>
      <c r="L22" s="100">
        <f>SUM(E22,E23,H22,H23,K22, K23)</f>
        <v>6900</v>
      </c>
    </row>
    <row r="23">
      <c r="B23" s="92" t="s">
        <v>754</v>
      </c>
      <c r="C23" s="79">
        <v>0.0</v>
      </c>
      <c r="D23" s="79">
        <v>0.0</v>
      </c>
      <c r="E23" s="80">
        <f>C23*Settings!$H$3+D23*Settings!$H$4</f>
        <v>0</v>
      </c>
      <c r="F23" s="81">
        <f>COUNTIFS(Attendees!$D:$D,F$3,Attendees!$J:$J,$B23,Attendees!$L:$L,"")</f>
        <v>0</v>
      </c>
      <c r="G23" s="81">
        <f>COUNTIFS(Attendees!$D:$D,G$3,Attendees!$J:$J,$B23,Attendees!$L:$L,"")</f>
        <v>0</v>
      </c>
      <c r="H23" s="85">
        <f>F23*Settings!$H$3+G23*Settings!$H$4</f>
        <v>0</v>
      </c>
      <c r="I23" s="81">
        <f>SUMIFS(General_Reg!$AC:$AC,General_Reg!$V:$V,$B23)</f>
        <v>0</v>
      </c>
      <c r="J23" s="81">
        <f>SUMIFS(General_Reg!$AD:$AD,General_Reg!$V:$V,$B23)</f>
        <v>0</v>
      </c>
      <c r="K23" s="89">
        <f>I23*Settings!$H$3+J23*Settings!$H$4</f>
        <v>0</v>
      </c>
      <c r="L23" s="77"/>
    </row>
    <row r="24">
      <c r="B24" s="92" t="s">
        <v>568</v>
      </c>
      <c r="C24" s="79">
        <v>0.0</v>
      </c>
      <c r="D24" s="79">
        <v>0.0</v>
      </c>
      <c r="E24" s="80">
        <f>C24*Settings!$H$3+D24*Settings!$H$4</f>
        <v>0</v>
      </c>
      <c r="F24" s="81">
        <f>COUNTIFS(Attendees!$D:$D,F$3,Attendees!$J:$J,$B24,Attendees!$L:$L,"")</f>
        <v>14</v>
      </c>
      <c r="G24" s="81">
        <f>COUNTIFS(Attendees!$D:$D,G$3,Attendees!$J:$J,$B24,Attendees!$L:$L,"")</f>
        <v>4</v>
      </c>
      <c r="H24" s="85">
        <f>F24*Settings!$H$3+G24*Settings!$H$4</f>
        <v>37000</v>
      </c>
      <c r="I24" s="81">
        <f>SUMIFS(General_Reg!$AC:$AC,General_Reg!$V:$V,$B24)</f>
        <v>3</v>
      </c>
      <c r="J24" s="81">
        <f>SUMIFS(General_Reg!$AD:$AD,General_Reg!$V:$V,$B24)</f>
        <v>2</v>
      </c>
      <c r="K24" s="89">
        <f>I24*Settings!$H$3+J24*Settings!$H$4</f>
        <v>9300</v>
      </c>
      <c r="L24" s="109">
        <f t="shared" ref="L24:L26" si="1">$E24+$H24+K24</f>
        <v>46300</v>
      </c>
    </row>
    <row r="25">
      <c r="B25" s="78" t="s">
        <v>755</v>
      </c>
      <c r="C25" s="79">
        <v>0.0</v>
      </c>
      <c r="D25" s="79">
        <v>0.0</v>
      </c>
      <c r="E25" s="80">
        <f>C25*Settings!$H$3+D25*Settings!$H$4</f>
        <v>0</v>
      </c>
      <c r="F25" s="81">
        <f>COUNTIFS(Attendees!$D:$D,F$3,Attendees!$J:$J,$B25,Attendees!$L:$L,"")</f>
        <v>0</v>
      </c>
      <c r="G25" s="81">
        <f>COUNTIFS(Attendees!$D:$D,G$3,Attendees!$J:$J,$B25,Attendees!$L:$L,"")</f>
        <v>0</v>
      </c>
      <c r="H25" s="85">
        <f>F25*Settings!$H$3+G25*Settings!$H$4</f>
        <v>0</v>
      </c>
      <c r="I25" s="81">
        <f>SUMIFS(General_Reg!$AC:$AC,General_Reg!$V:$V,$B25)</f>
        <v>0</v>
      </c>
      <c r="J25" s="81">
        <f>SUMIFS(General_Reg!$AD:$AD,General_Reg!$V:$V,$B25)</f>
        <v>0</v>
      </c>
      <c r="K25" s="89">
        <f>I25*Settings!$H$3+J25*Settings!$H$4</f>
        <v>0</v>
      </c>
      <c r="L25" s="109">
        <f t="shared" si="1"/>
        <v>0</v>
      </c>
    </row>
    <row r="26">
      <c r="B26" s="78" t="s">
        <v>756</v>
      </c>
      <c r="C26" s="79">
        <v>0.0</v>
      </c>
      <c r="D26" s="79">
        <v>0.0</v>
      </c>
      <c r="E26" s="80">
        <f>C26*Settings!$H$3+D26*Settings!$H$4</f>
        <v>0</v>
      </c>
      <c r="F26" s="81">
        <f>COUNTIFS(Attendees!$D:$D,F$3,Attendees!$J:$J,$B26,Attendees!$L:$L,"")</f>
        <v>0</v>
      </c>
      <c r="G26" s="81">
        <f>COUNTIFS(Attendees!$D:$D,G$3,Attendees!$J:$J,$B26,Attendees!$L:$L,"")</f>
        <v>0</v>
      </c>
      <c r="H26" s="85">
        <f>F26*Settings!$H$3+G26*Settings!$H$4</f>
        <v>0</v>
      </c>
      <c r="I26" s="81">
        <f>SUMIFS(General_Reg!$AC:$AC,General_Reg!$V:$V,$B26)</f>
        <v>0</v>
      </c>
      <c r="J26" s="81">
        <f>SUMIFS(General_Reg!$AD:$AD,General_Reg!$V:$V,$B26)</f>
        <v>0</v>
      </c>
      <c r="K26" s="89">
        <f>I26*Settings!$H$3+J26*Settings!$H$4</f>
        <v>0</v>
      </c>
      <c r="L26" s="109">
        <f t="shared" si="1"/>
        <v>0</v>
      </c>
    </row>
    <row r="27">
      <c r="B27" s="113" t="s">
        <v>757</v>
      </c>
      <c r="C27" s="113">
        <f t="shared" ref="C27:G27" si="2">SUM(C4:C26)</f>
        <v>0</v>
      </c>
      <c r="D27" s="113">
        <f t="shared" si="2"/>
        <v>0</v>
      </c>
      <c r="E27" s="113">
        <f t="shared" si="2"/>
        <v>0</v>
      </c>
      <c r="F27" s="113">
        <f t="shared" si="2"/>
        <v>192</v>
      </c>
      <c r="G27" s="113">
        <f t="shared" si="2"/>
        <v>99</v>
      </c>
      <c r="H27" s="113">
        <f>F27*$C$1+G27*$D$1</f>
        <v>560400</v>
      </c>
      <c r="I27" s="113">
        <f t="shared" ref="I27:J27" si="3">SUM(I4:I26)</f>
        <v>35</v>
      </c>
      <c r="J27" s="113">
        <f t="shared" si="3"/>
        <v>11</v>
      </c>
      <c r="K27" s="113">
        <f>I27*$C$1+J27*$D$1</f>
        <v>93700</v>
      </c>
      <c r="L27" s="114">
        <f>$E27+$H27+$K27</f>
        <v>654100</v>
      </c>
    </row>
    <row r="28">
      <c r="B28" s="19"/>
      <c r="C28" s="19"/>
      <c r="D28" s="19"/>
      <c r="E28" s="19"/>
      <c r="L28" s="19"/>
    </row>
    <row r="29">
      <c r="B29" s="19"/>
      <c r="C29" s="19"/>
      <c r="D29" s="19"/>
      <c r="E29" s="19"/>
      <c r="F29" s="1" t="s">
        <v>758</v>
      </c>
      <c r="H29">
        <f>SUMIFS(Attendees!E3:E448,Attendees!L3:L448,"")</f>
        <v>562700</v>
      </c>
      <c r="K29">
        <f>General_Reg!L3</f>
        <v>142200</v>
      </c>
      <c r="L29" s="19">
        <f>H29+K29</f>
        <v>704900</v>
      </c>
    </row>
    <row r="30">
      <c r="B30" s="19"/>
      <c r="C30" s="19"/>
      <c r="D30" s="19"/>
      <c r="E30" s="19"/>
      <c r="H30">
        <f>H29-H27</f>
        <v>2300</v>
      </c>
      <c r="K30">
        <f t="shared" ref="K30:L30" si="4">K29-K27</f>
        <v>48500</v>
      </c>
      <c r="L30" s="115">
        <f t="shared" si="4"/>
        <v>50800</v>
      </c>
    </row>
    <row r="31">
      <c r="B31" s="19"/>
      <c r="C31" s="19"/>
      <c r="D31" s="19"/>
      <c r="E31" s="19"/>
      <c r="L31" s="19"/>
    </row>
    <row r="32">
      <c r="B32" s="19"/>
      <c r="C32" s="19"/>
      <c r="D32" s="19"/>
      <c r="E32" s="19"/>
      <c r="L32" s="19"/>
    </row>
    <row r="33">
      <c r="B33" s="19"/>
      <c r="C33" s="19"/>
      <c r="D33" s="19"/>
      <c r="E33" s="19"/>
      <c r="L33" s="19"/>
    </row>
    <row r="34">
      <c r="B34" s="19"/>
      <c r="C34" s="19"/>
      <c r="D34" s="19"/>
      <c r="E34" s="19"/>
      <c r="L34" s="19"/>
    </row>
    <row r="35">
      <c r="B35" s="19"/>
      <c r="C35" s="19"/>
      <c r="D35" s="19"/>
      <c r="E35" s="19"/>
      <c r="L35" s="19"/>
    </row>
    <row r="36">
      <c r="B36" s="19"/>
      <c r="C36" s="19"/>
      <c r="D36" s="19"/>
      <c r="E36" s="19"/>
      <c r="L36" s="19"/>
    </row>
    <row r="37">
      <c r="B37" s="19"/>
      <c r="C37" s="19"/>
      <c r="D37" s="19"/>
      <c r="E37" s="19"/>
      <c r="L37" s="19"/>
    </row>
    <row r="38">
      <c r="B38" s="19"/>
      <c r="C38" s="19"/>
      <c r="D38" s="19"/>
      <c r="E38" s="19"/>
      <c r="L38" s="19"/>
    </row>
    <row r="39">
      <c r="B39" s="19"/>
      <c r="C39" s="19"/>
      <c r="D39" s="19"/>
      <c r="E39" s="19"/>
      <c r="L39" s="19"/>
    </row>
    <row r="40">
      <c r="B40" s="19"/>
      <c r="C40" s="19"/>
      <c r="D40" s="19"/>
      <c r="E40" s="19"/>
      <c r="L40" s="19"/>
    </row>
    <row r="41">
      <c r="B41" s="19"/>
      <c r="C41" s="19"/>
      <c r="D41" s="19"/>
      <c r="E41" s="19"/>
      <c r="L41" s="19"/>
    </row>
    <row r="42">
      <c r="B42" s="19"/>
      <c r="C42" s="19"/>
      <c r="D42" s="19"/>
      <c r="E42" s="19"/>
      <c r="L42" s="19"/>
    </row>
    <row r="43">
      <c r="B43" s="19"/>
      <c r="C43" s="19"/>
      <c r="D43" s="19"/>
      <c r="E43" s="19"/>
      <c r="L43" s="19"/>
    </row>
    <row r="44">
      <c r="B44" s="19"/>
      <c r="C44" s="19"/>
      <c r="D44" s="19"/>
      <c r="E44" s="19"/>
      <c r="L44" s="19"/>
    </row>
    <row r="45">
      <c r="B45" s="19"/>
      <c r="C45" s="19"/>
      <c r="D45" s="19"/>
      <c r="E45" s="19"/>
      <c r="L45" s="19"/>
    </row>
    <row r="46">
      <c r="B46" s="19"/>
      <c r="C46" s="19"/>
      <c r="D46" s="19"/>
      <c r="E46" s="19"/>
      <c r="L46" s="19"/>
    </row>
    <row r="47">
      <c r="B47" s="19"/>
      <c r="C47" s="19"/>
      <c r="D47" s="19"/>
      <c r="E47" s="19"/>
      <c r="L47" s="19"/>
    </row>
    <row r="48">
      <c r="B48" s="19"/>
      <c r="C48" s="19"/>
      <c r="D48" s="19"/>
      <c r="E48" s="19"/>
      <c r="L48" s="19"/>
    </row>
    <row r="49">
      <c r="B49" s="19"/>
      <c r="C49" s="19"/>
      <c r="D49" s="19"/>
      <c r="E49" s="19"/>
      <c r="L49" s="19"/>
    </row>
    <row r="50">
      <c r="B50" s="19"/>
      <c r="C50" s="19"/>
      <c r="D50" s="19"/>
      <c r="E50" s="19"/>
      <c r="L50" s="19"/>
    </row>
    <row r="51">
      <c r="B51" s="19"/>
      <c r="C51" s="19"/>
      <c r="D51" s="19"/>
      <c r="E51" s="19"/>
      <c r="L51" s="19"/>
    </row>
    <row r="52">
      <c r="B52" s="19"/>
      <c r="C52" s="19"/>
      <c r="D52" s="19"/>
      <c r="E52" s="19"/>
      <c r="L52" s="19"/>
    </row>
    <row r="53">
      <c r="B53" s="19"/>
      <c r="C53" s="19"/>
      <c r="D53" s="19"/>
      <c r="E53" s="19"/>
      <c r="L53" s="19"/>
    </row>
    <row r="54">
      <c r="B54" s="19"/>
      <c r="C54" s="19"/>
      <c r="D54" s="19"/>
      <c r="E54" s="19"/>
      <c r="L54" s="19"/>
    </row>
    <row r="55">
      <c r="B55" s="19"/>
      <c r="C55" s="19"/>
      <c r="D55" s="19"/>
      <c r="E55" s="19"/>
      <c r="L55" s="19"/>
    </row>
    <row r="56">
      <c r="B56" s="19"/>
      <c r="C56" s="19"/>
      <c r="D56" s="19"/>
      <c r="E56" s="19"/>
      <c r="L56" s="19"/>
    </row>
    <row r="57">
      <c r="B57" s="19"/>
      <c r="C57" s="19"/>
      <c r="D57" s="19"/>
      <c r="E57" s="19"/>
      <c r="L57" s="19"/>
    </row>
    <row r="58">
      <c r="B58" s="19"/>
      <c r="C58" s="19"/>
      <c r="D58" s="19"/>
      <c r="E58" s="19"/>
      <c r="L58" s="19"/>
    </row>
    <row r="59">
      <c r="B59" s="19"/>
      <c r="C59" s="19"/>
      <c r="D59" s="19"/>
      <c r="E59" s="19"/>
      <c r="L59" s="19"/>
    </row>
    <row r="60">
      <c r="B60" s="19"/>
      <c r="C60" s="19"/>
      <c r="D60" s="19"/>
      <c r="E60" s="19"/>
      <c r="L60" s="19"/>
    </row>
    <row r="61">
      <c r="B61" s="19"/>
      <c r="C61" s="19"/>
      <c r="D61" s="19"/>
      <c r="E61" s="19"/>
      <c r="L61" s="19"/>
    </row>
    <row r="62">
      <c r="B62" s="19"/>
      <c r="C62" s="19"/>
      <c r="D62" s="19"/>
      <c r="E62" s="19"/>
      <c r="L62" s="19"/>
    </row>
    <row r="63">
      <c r="B63" s="19"/>
      <c r="C63" s="19"/>
      <c r="D63" s="19"/>
      <c r="E63" s="19"/>
      <c r="L63" s="19"/>
    </row>
    <row r="64">
      <c r="B64" s="19"/>
      <c r="C64" s="19"/>
      <c r="D64" s="19"/>
      <c r="E64" s="19"/>
      <c r="L64" s="19"/>
    </row>
    <row r="65">
      <c r="B65" s="19"/>
      <c r="C65" s="19"/>
      <c r="D65" s="19"/>
      <c r="E65" s="19"/>
      <c r="L65" s="19"/>
    </row>
    <row r="66">
      <c r="B66" s="19"/>
      <c r="C66" s="19"/>
      <c r="D66" s="19"/>
      <c r="E66" s="19"/>
      <c r="L66" s="19"/>
    </row>
    <row r="67">
      <c r="B67" s="19"/>
      <c r="C67" s="19"/>
      <c r="D67" s="19"/>
      <c r="E67" s="19"/>
      <c r="L67" s="19"/>
    </row>
    <row r="68">
      <c r="B68" s="19"/>
      <c r="C68" s="19"/>
      <c r="D68" s="19"/>
      <c r="E68" s="19"/>
      <c r="L68" s="19"/>
    </row>
    <row r="69">
      <c r="B69" s="19"/>
      <c r="C69" s="19"/>
      <c r="D69" s="19"/>
      <c r="E69" s="19"/>
      <c r="L69" s="19"/>
    </row>
    <row r="70">
      <c r="B70" s="19"/>
      <c r="C70" s="19"/>
      <c r="D70" s="19"/>
      <c r="E70" s="19"/>
      <c r="L70" s="19"/>
    </row>
    <row r="71">
      <c r="B71" s="19"/>
      <c r="C71" s="19"/>
      <c r="D71" s="19"/>
      <c r="E71" s="19"/>
      <c r="L71" s="19"/>
    </row>
    <row r="72">
      <c r="B72" s="19"/>
      <c r="C72" s="19"/>
      <c r="D72" s="19"/>
      <c r="E72" s="19"/>
      <c r="L72" s="19"/>
    </row>
    <row r="73">
      <c r="B73" s="19"/>
      <c r="C73" s="19"/>
      <c r="D73" s="19"/>
      <c r="E73" s="19"/>
      <c r="L73" s="19"/>
    </row>
    <row r="74">
      <c r="B74" s="19"/>
      <c r="C74" s="19"/>
      <c r="D74" s="19"/>
      <c r="E74" s="19"/>
      <c r="L74" s="19"/>
    </row>
    <row r="75">
      <c r="B75" s="19"/>
      <c r="C75" s="19"/>
      <c r="D75" s="19"/>
      <c r="E75" s="19"/>
      <c r="L75" s="19"/>
    </row>
    <row r="76">
      <c r="B76" s="19"/>
      <c r="C76" s="19"/>
      <c r="D76" s="19"/>
      <c r="E76" s="19"/>
      <c r="L76" s="19"/>
    </row>
    <row r="77">
      <c r="B77" s="19"/>
      <c r="C77" s="19"/>
      <c r="D77" s="19"/>
      <c r="E77" s="19"/>
      <c r="L77" s="19"/>
    </row>
    <row r="78">
      <c r="B78" s="19"/>
      <c r="C78" s="19"/>
      <c r="D78" s="19"/>
      <c r="E78" s="19"/>
      <c r="L78" s="19"/>
    </row>
    <row r="79">
      <c r="B79" s="19"/>
      <c r="C79" s="19"/>
      <c r="D79" s="19"/>
      <c r="E79" s="19"/>
      <c r="L79" s="19"/>
    </row>
    <row r="80">
      <c r="B80" s="19"/>
      <c r="C80" s="19"/>
      <c r="D80" s="19"/>
      <c r="E80" s="19"/>
      <c r="L80" s="19"/>
    </row>
    <row r="81">
      <c r="B81" s="19"/>
      <c r="C81" s="19"/>
      <c r="D81" s="19"/>
      <c r="E81" s="19"/>
      <c r="L81" s="19"/>
    </row>
    <row r="82">
      <c r="B82" s="19"/>
      <c r="C82" s="19"/>
      <c r="D82" s="19"/>
      <c r="E82" s="19"/>
      <c r="L82" s="19"/>
    </row>
    <row r="83">
      <c r="B83" s="19"/>
      <c r="C83" s="19"/>
      <c r="D83" s="19"/>
      <c r="E83" s="19"/>
      <c r="L83" s="19"/>
    </row>
    <row r="84">
      <c r="B84" s="19"/>
      <c r="C84" s="19"/>
      <c r="D84" s="19"/>
      <c r="E84" s="19"/>
      <c r="L84" s="19"/>
    </row>
    <row r="85">
      <c r="B85" s="19"/>
      <c r="C85" s="19"/>
      <c r="D85" s="19"/>
      <c r="E85" s="19"/>
      <c r="L85" s="19"/>
    </row>
    <row r="86">
      <c r="B86" s="19"/>
      <c r="C86" s="19"/>
      <c r="D86" s="19"/>
      <c r="E86" s="19"/>
      <c r="L86" s="19"/>
    </row>
    <row r="87">
      <c r="B87" s="19"/>
      <c r="C87" s="19"/>
      <c r="D87" s="19"/>
      <c r="E87" s="19"/>
      <c r="L87" s="19"/>
    </row>
    <row r="88">
      <c r="B88" s="19"/>
      <c r="C88" s="19"/>
      <c r="D88" s="19"/>
      <c r="E88" s="19"/>
      <c r="L88" s="19"/>
    </row>
    <row r="89">
      <c r="B89" s="19"/>
      <c r="C89" s="19"/>
      <c r="D89" s="19"/>
      <c r="E89" s="19"/>
      <c r="L89" s="19"/>
    </row>
    <row r="90">
      <c r="B90" s="19"/>
      <c r="C90" s="19"/>
      <c r="D90" s="19"/>
      <c r="E90" s="19"/>
      <c r="L90" s="19"/>
    </row>
    <row r="91">
      <c r="B91" s="19"/>
      <c r="C91" s="19"/>
      <c r="D91" s="19"/>
      <c r="E91" s="19"/>
      <c r="L91" s="19"/>
    </row>
    <row r="92">
      <c r="B92" s="19"/>
      <c r="C92" s="19"/>
      <c r="D92" s="19"/>
      <c r="E92" s="19"/>
      <c r="L92" s="19"/>
    </row>
    <row r="93">
      <c r="B93" s="19"/>
      <c r="C93" s="19"/>
      <c r="D93" s="19"/>
      <c r="E93" s="19"/>
      <c r="L93" s="19"/>
    </row>
    <row r="94">
      <c r="B94" s="19"/>
      <c r="C94" s="19"/>
      <c r="D94" s="19"/>
      <c r="E94" s="19"/>
      <c r="L94" s="19"/>
    </row>
    <row r="95">
      <c r="B95" s="19"/>
      <c r="C95" s="19"/>
      <c r="D95" s="19"/>
      <c r="E95" s="19"/>
      <c r="L95" s="19"/>
    </row>
    <row r="96">
      <c r="B96" s="19"/>
      <c r="C96" s="19"/>
      <c r="D96" s="19"/>
      <c r="E96" s="19"/>
      <c r="L96" s="19"/>
    </row>
    <row r="97">
      <c r="B97" s="19"/>
      <c r="C97" s="19"/>
      <c r="D97" s="19"/>
      <c r="E97" s="19"/>
      <c r="L97" s="19"/>
    </row>
    <row r="98">
      <c r="B98" s="19"/>
      <c r="C98" s="19"/>
      <c r="D98" s="19"/>
      <c r="E98" s="19"/>
      <c r="L98" s="19"/>
    </row>
    <row r="99">
      <c r="B99" s="19"/>
      <c r="C99" s="19"/>
      <c r="D99" s="19"/>
      <c r="E99" s="19"/>
      <c r="L99" s="19"/>
    </row>
    <row r="100">
      <c r="B100" s="19"/>
      <c r="C100" s="19"/>
      <c r="D100" s="19"/>
      <c r="E100" s="19"/>
      <c r="L100" s="19"/>
    </row>
    <row r="101">
      <c r="B101" s="19"/>
      <c r="C101" s="19"/>
      <c r="D101" s="19"/>
      <c r="E101" s="19"/>
      <c r="L101" s="19"/>
    </row>
    <row r="102">
      <c r="B102" s="19"/>
      <c r="C102" s="19"/>
      <c r="D102" s="19"/>
      <c r="E102" s="19"/>
      <c r="L102" s="19"/>
    </row>
    <row r="103">
      <c r="B103" s="19"/>
      <c r="C103" s="19"/>
      <c r="D103" s="19"/>
      <c r="E103" s="19"/>
      <c r="L103" s="19"/>
    </row>
    <row r="104">
      <c r="B104" s="19"/>
      <c r="C104" s="19"/>
      <c r="D104" s="19"/>
      <c r="E104" s="19"/>
      <c r="L104" s="19"/>
    </row>
    <row r="105">
      <c r="B105" s="19"/>
      <c r="C105" s="19"/>
      <c r="D105" s="19"/>
      <c r="E105" s="19"/>
      <c r="L105" s="19"/>
    </row>
    <row r="106">
      <c r="B106" s="19"/>
      <c r="C106" s="19"/>
      <c r="D106" s="19"/>
      <c r="E106" s="19"/>
      <c r="L106" s="19"/>
    </row>
    <row r="107">
      <c r="B107" s="19"/>
      <c r="C107" s="19"/>
      <c r="D107" s="19"/>
      <c r="E107" s="19"/>
      <c r="L107" s="19"/>
    </row>
    <row r="108">
      <c r="B108" s="19"/>
      <c r="C108" s="19"/>
      <c r="D108" s="19"/>
      <c r="E108" s="19"/>
      <c r="L108" s="19"/>
    </row>
    <row r="109">
      <c r="B109" s="19"/>
      <c r="C109" s="19"/>
      <c r="D109" s="19"/>
      <c r="E109" s="19"/>
      <c r="L109" s="19"/>
    </row>
    <row r="110">
      <c r="B110" s="19"/>
      <c r="C110" s="19"/>
      <c r="D110" s="19"/>
      <c r="E110" s="19"/>
      <c r="L110" s="19"/>
    </row>
    <row r="111">
      <c r="B111" s="19"/>
      <c r="C111" s="19"/>
      <c r="D111" s="19"/>
      <c r="E111" s="19"/>
      <c r="L111" s="19"/>
    </row>
    <row r="112">
      <c r="B112" s="19"/>
      <c r="C112" s="19"/>
      <c r="D112" s="19"/>
      <c r="E112" s="19"/>
      <c r="L112" s="19"/>
    </row>
    <row r="113">
      <c r="B113" s="19"/>
      <c r="C113" s="19"/>
      <c r="D113" s="19"/>
      <c r="E113" s="19"/>
      <c r="L113" s="19"/>
    </row>
    <row r="114">
      <c r="B114" s="19"/>
      <c r="C114" s="19"/>
      <c r="D114" s="19"/>
      <c r="E114" s="19"/>
      <c r="L114" s="19"/>
    </row>
    <row r="115">
      <c r="B115" s="19"/>
      <c r="C115" s="19"/>
      <c r="D115" s="19"/>
      <c r="E115" s="19"/>
      <c r="L115" s="19"/>
    </row>
    <row r="116">
      <c r="B116" s="19"/>
      <c r="C116" s="19"/>
      <c r="D116" s="19"/>
      <c r="E116" s="19"/>
      <c r="L116" s="19"/>
    </row>
    <row r="117">
      <c r="B117" s="19"/>
      <c r="C117" s="19"/>
      <c r="D117" s="19"/>
      <c r="E117" s="19"/>
      <c r="L117" s="19"/>
    </row>
    <row r="118">
      <c r="B118" s="19"/>
      <c r="C118" s="19"/>
      <c r="D118" s="19"/>
      <c r="E118" s="19"/>
      <c r="L118" s="19"/>
    </row>
    <row r="119">
      <c r="B119" s="19"/>
      <c r="C119" s="19"/>
      <c r="D119" s="19"/>
      <c r="E119" s="19"/>
      <c r="L119" s="19"/>
    </row>
    <row r="120">
      <c r="B120" s="19"/>
      <c r="C120" s="19"/>
      <c r="D120" s="19"/>
      <c r="E120" s="19"/>
      <c r="L120" s="19"/>
    </row>
    <row r="121">
      <c r="B121" s="19"/>
      <c r="C121" s="19"/>
      <c r="D121" s="19"/>
      <c r="E121" s="19"/>
      <c r="L121" s="19"/>
    </row>
    <row r="122">
      <c r="B122" s="19"/>
      <c r="C122" s="19"/>
      <c r="D122" s="19"/>
      <c r="E122" s="19"/>
      <c r="L122" s="19"/>
    </row>
    <row r="123">
      <c r="B123" s="19"/>
      <c r="C123" s="19"/>
      <c r="D123" s="19"/>
      <c r="E123" s="19"/>
      <c r="L123" s="19"/>
    </row>
    <row r="124">
      <c r="B124" s="19"/>
      <c r="C124" s="19"/>
      <c r="D124" s="19"/>
      <c r="E124" s="19"/>
      <c r="L124" s="19"/>
    </row>
    <row r="125">
      <c r="B125" s="19"/>
      <c r="C125" s="19"/>
      <c r="D125" s="19"/>
      <c r="E125" s="19"/>
      <c r="L125" s="19"/>
    </row>
    <row r="126">
      <c r="B126" s="19"/>
      <c r="C126" s="19"/>
      <c r="D126" s="19"/>
      <c r="E126" s="19"/>
      <c r="L126" s="19"/>
    </row>
    <row r="127">
      <c r="B127" s="19"/>
      <c r="C127" s="19"/>
      <c r="D127" s="19"/>
      <c r="E127" s="19"/>
      <c r="L127" s="19"/>
    </row>
    <row r="128">
      <c r="B128" s="19"/>
      <c r="C128" s="19"/>
      <c r="D128" s="19"/>
      <c r="E128" s="19"/>
      <c r="L128" s="19"/>
    </row>
    <row r="129">
      <c r="B129" s="19"/>
      <c r="C129" s="19"/>
      <c r="D129" s="19"/>
      <c r="E129" s="19"/>
      <c r="L129" s="19"/>
    </row>
    <row r="130">
      <c r="B130" s="19"/>
      <c r="C130" s="19"/>
      <c r="D130" s="19"/>
      <c r="E130" s="19"/>
      <c r="L130" s="19"/>
    </row>
    <row r="131">
      <c r="B131" s="19"/>
      <c r="C131" s="19"/>
      <c r="D131" s="19"/>
      <c r="E131" s="19"/>
      <c r="L131" s="19"/>
    </row>
    <row r="132">
      <c r="B132" s="19"/>
      <c r="C132" s="19"/>
      <c r="D132" s="19"/>
      <c r="E132" s="19"/>
      <c r="L132" s="19"/>
    </row>
    <row r="133">
      <c r="B133" s="19"/>
      <c r="C133" s="19"/>
      <c r="D133" s="19"/>
      <c r="E133" s="19"/>
      <c r="L133" s="19"/>
    </row>
    <row r="134">
      <c r="B134" s="19"/>
      <c r="C134" s="19"/>
      <c r="D134" s="19"/>
      <c r="E134" s="19"/>
      <c r="L134" s="19"/>
    </row>
    <row r="135">
      <c r="B135" s="19"/>
      <c r="C135" s="19"/>
      <c r="D135" s="19"/>
      <c r="E135" s="19"/>
      <c r="L135" s="19"/>
    </row>
    <row r="136">
      <c r="B136" s="19"/>
      <c r="C136" s="19"/>
      <c r="D136" s="19"/>
      <c r="E136" s="19"/>
      <c r="L136" s="19"/>
    </row>
    <row r="137">
      <c r="B137" s="19"/>
      <c r="C137" s="19"/>
      <c r="D137" s="19"/>
      <c r="E137" s="19"/>
      <c r="L137" s="19"/>
    </row>
    <row r="138">
      <c r="B138" s="19"/>
      <c r="C138" s="19"/>
      <c r="D138" s="19"/>
      <c r="E138" s="19"/>
      <c r="L138" s="19"/>
    </row>
    <row r="139">
      <c r="B139" s="19"/>
      <c r="C139" s="19"/>
      <c r="D139" s="19"/>
      <c r="E139" s="19"/>
      <c r="L139" s="19"/>
    </row>
    <row r="140">
      <c r="B140" s="19"/>
      <c r="C140" s="19"/>
      <c r="D140" s="19"/>
      <c r="E140" s="19"/>
      <c r="L140" s="19"/>
    </row>
    <row r="141">
      <c r="B141" s="19"/>
      <c r="C141" s="19"/>
      <c r="D141" s="19"/>
      <c r="E141" s="19"/>
      <c r="L141" s="19"/>
    </row>
    <row r="142">
      <c r="B142" s="19"/>
      <c r="C142" s="19"/>
      <c r="D142" s="19"/>
      <c r="E142" s="19"/>
      <c r="L142" s="19"/>
    </row>
    <row r="143">
      <c r="B143" s="19"/>
      <c r="C143" s="19"/>
      <c r="D143" s="19"/>
      <c r="E143" s="19"/>
      <c r="L143" s="19"/>
    </row>
    <row r="144">
      <c r="B144" s="19"/>
      <c r="C144" s="19"/>
      <c r="D144" s="19"/>
      <c r="E144" s="19"/>
      <c r="L144" s="19"/>
    </row>
    <row r="145">
      <c r="B145" s="19"/>
      <c r="C145" s="19"/>
      <c r="D145" s="19"/>
      <c r="E145" s="19"/>
      <c r="L145" s="19"/>
    </row>
    <row r="146">
      <c r="B146" s="19"/>
      <c r="C146" s="19"/>
      <c r="D146" s="19"/>
      <c r="E146" s="19"/>
      <c r="L146" s="19"/>
    </row>
    <row r="147">
      <c r="B147" s="19"/>
      <c r="C147" s="19"/>
      <c r="D147" s="19"/>
      <c r="E147" s="19"/>
      <c r="L147" s="19"/>
    </row>
    <row r="148">
      <c r="B148" s="19"/>
      <c r="C148" s="19"/>
      <c r="D148" s="19"/>
      <c r="E148" s="19"/>
      <c r="L148" s="19"/>
    </row>
    <row r="149">
      <c r="B149" s="19"/>
      <c r="C149" s="19"/>
      <c r="D149" s="19"/>
      <c r="E149" s="19"/>
      <c r="L149" s="19"/>
    </row>
    <row r="150">
      <c r="B150" s="19"/>
      <c r="C150" s="19"/>
      <c r="D150" s="19"/>
      <c r="E150" s="19"/>
      <c r="L150" s="19"/>
    </row>
    <row r="151">
      <c r="B151" s="19"/>
      <c r="C151" s="19"/>
      <c r="D151" s="19"/>
      <c r="E151" s="19"/>
      <c r="L151" s="19"/>
    </row>
    <row r="152">
      <c r="B152" s="19"/>
      <c r="C152" s="19"/>
      <c r="D152" s="19"/>
      <c r="E152" s="19"/>
      <c r="L152" s="19"/>
    </row>
    <row r="153">
      <c r="B153" s="19"/>
      <c r="C153" s="19"/>
      <c r="D153" s="19"/>
      <c r="E153" s="19"/>
      <c r="L153" s="19"/>
    </row>
    <row r="154">
      <c r="B154" s="19"/>
      <c r="C154" s="19"/>
      <c r="D154" s="19"/>
      <c r="E154" s="19"/>
      <c r="L154" s="19"/>
    </row>
    <row r="155">
      <c r="B155" s="19"/>
      <c r="C155" s="19"/>
      <c r="D155" s="19"/>
      <c r="E155" s="19"/>
      <c r="L155" s="19"/>
    </row>
    <row r="156">
      <c r="B156" s="19"/>
      <c r="C156" s="19"/>
      <c r="D156" s="19"/>
      <c r="E156" s="19"/>
      <c r="L156" s="19"/>
    </row>
    <row r="157">
      <c r="B157" s="19"/>
      <c r="C157" s="19"/>
      <c r="D157" s="19"/>
      <c r="E157" s="19"/>
      <c r="L157" s="19"/>
    </row>
    <row r="158">
      <c r="B158" s="19"/>
      <c r="C158" s="19"/>
      <c r="D158" s="19"/>
      <c r="E158" s="19"/>
      <c r="L158" s="19"/>
    </row>
    <row r="159">
      <c r="B159" s="19"/>
      <c r="C159" s="19"/>
      <c r="D159" s="19"/>
      <c r="E159" s="19"/>
      <c r="L159" s="19"/>
    </row>
    <row r="160">
      <c r="B160" s="19"/>
      <c r="C160" s="19"/>
      <c r="D160" s="19"/>
      <c r="E160" s="19"/>
      <c r="L160" s="19"/>
    </row>
    <row r="161">
      <c r="B161" s="19"/>
      <c r="C161" s="19"/>
      <c r="D161" s="19"/>
      <c r="E161" s="19"/>
      <c r="L161" s="19"/>
    </row>
    <row r="162">
      <c r="B162" s="19"/>
      <c r="C162" s="19"/>
      <c r="D162" s="19"/>
      <c r="E162" s="19"/>
      <c r="L162" s="19"/>
    </row>
    <row r="163">
      <c r="B163" s="19"/>
      <c r="C163" s="19"/>
      <c r="D163" s="19"/>
      <c r="E163" s="19"/>
      <c r="L163" s="19"/>
    </row>
    <row r="164">
      <c r="B164" s="19"/>
      <c r="C164" s="19"/>
      <c r="D164" s="19"/>
      <c r="E164" s="19"/>
      <c r="L164" s="19"/>
    </row>
    <row r="165">
      <c r="B165" s="19"/>
      <c r="C165" s="19"/>
      <c r="D165" s="19"/>
      <c r="E165" s="19"/>
      <c r="L165" s="19"/>
    </row>
    <row r="166">
      <c r="B166" s="19"/>
      <c r="C166" s="19"/>
      <c r="D166" s="19"/>
      <c r="E166" s="19"/>
      <c r="L166" s="19"/>
    </row>
    <row r="167">
      <c r="B167" s="19"/>
      <c r="C167" s="19"/>
      <c r="D167" s="19"/>
      <c r="E167" s="19"/>
      <c r="L167" s="19"/>
    </row>
    <row r="168">
      <c r="B168" s="19"/>
      <c r="C168" s="19"/>
      <c r="D168" s="19"/>
      <c r="E168" s="19"/>
      <c r="L168" s="19"/>
    </row>
    <row r="169">
      <c r="B169" s="19"/>
      <c r="C169" s="19"/>
      <c r="D169" s="19"/>
      <c r="E169" s="19"/>
      <c r="L169" s="19"/>
    </row>
    <row r="170">
      <c r="B170" s="19"/>
      <c r="C170" s="19"/>
      <c r="D170" s="19"/>
      <c r="E170" s="19"/>
      <c r="L170" s="19"/>
    </row>
    <row r="171">
      <c r="B171" s="19"/>
      <c r="C171" s="19"/>
      <c r="D171" s="19"/>
      <c r="E171" s="19"/>
      <c r="L171" s="19"/>
    </row>
    <row r="172">
      <c r="B172" s="19"/>
      <c r="C172" s="19"/>
      <c r="D172" s="19"/>
      <c r="E172" s="19"/>
      <c r="L172" s="19"/>
    </row>
    <row r="173">
      <c r="B173" s="19"/>
      <c r="C173" s="19"/>
      <c r="D173" s="19"/>
      <c r="E173" s="19"/>
      <c r="L173" s="19"/>
    </row>
    <row r="174">
      <c r="B174" s="19"/>
      <c r="C174" s="19"/>
      <c r="D174" s="19"/>
      <c r="E174" s="19"/>
      <c r="L174" s="19"/>
    </row>
    <row r="175">
      <c r="B175" s="19"/>
      <c r="C175" s="19"/>
      <c r="D175" s="19"/>
      <c r="E175" s="19"/>
      <c r="L175" s="19"/>
    </row>
    <row r="176">
      <c r="B176" s="19"/>
      <c r="C176" s="19"/>
      <c r="D176" s="19"/>
      <c r="E176" s="19"/>
      <c r="L176" s="19"/>
    </row>
    <row r="177">
      <c r="B177" s="19"/>
      <c r="C177" s="19"/>
      <c r="D177" s="19"/>
      <c r="E177" s="19"/>
      <c r="L177" s="19"/>
    </row>
    <row r="178">
      <c r="B178" s="19"/>
      <c r="C178" s="19"/>
      <c r="D178" s="19"/>
      <c r="E178" s="19"/>
      <c r="L178" s="19"/>
    </row>
    <row r="179">
      <c r="B179" s="19"/>
      <c r="C179" s="19"/>
      <c r="D179" s="19"/>
      <c r="E179" s="19"/>
      <c r="L179" s="19"/>
    </row>
    <row r="180">
      <c r="B180" s="19"/>
      <c r="C180" s="19"/>
      <c r="D180" s="19"/>
      <c r="E180" s="19"/>
      <c r="L180" s="19"/>
    </row>
    <row r="181">
      <c r="B181" s="19"/>
      <c r="C181" s="19"/>
      <c r="D181" s="19"/>
      <c r="E181" s="19"/>
      <c r="L181" s="19"/>
    </row>
    <row r="182">
      <c r="B182" s="19"/>
      <c r="C182" s="19"/>
      <c r="D182" s="19"/>
      <c r="E182" s="19"/>
      <c r="L182" s="19"/>
    </row>
    <row r="183">
      <c r="B183" s="19"/>
      <c r="C183" s="19"/>
      <c r="D183" s="19"/>
      <c r="E183" s="19"/>
      <c r="L183" s="19"/>
    </row>
    <row r="184">
      <c r="B184" s="19"/>
      <c r="C184" s="19"/>
      <c r="D184" s="19"/>
      <c r="E184" s="19"/>
      <c r="L184" s="19"/>
    </row>
    <row r="185">
      <c r="B185" s="19"/>
      <c r="C185" s="19"/>
      <c r="D185" s="19"/>
      <c r="E185" s="19"/>
      <c r="L185" s="19"/>
    </row>
    <row r="186">
      <c r="B186" s="19"/>
      <c r="C186" s="19"/>
      <c r="D186" s="19"/>
      <c r="E186" s="19"/>
      <c r="L186" s="19"/>
    </row>
    <row r="187">
      <c r="B187" s="19"/>
      <c r="C187" s="19"/>
      <c r="D187" s="19"/>
      <c r="E187" s="19"/>
      <c r="L187" s="19"/>
    </row>
    <row r="188">
      <c r="B188" s="19"/>
      <c r="C188" s="19"/>
      <c r="D188" s="19"/>
      <c r="E188" s="19"/>
      <c r="L188" s="19"/>
    </row>
    <row r="189">
      <c r="B189" s="19"/>
      <c r="C189" s="19"/>
      <c r="D189" s="19"/>
      <c r="E189" s="19"/>
      <c r="L189" s="19"/>
    </row>
    <row r="190">
      <c r="B190" s="19"/>
      <c r="C190" s="19"/>
      <c r="D190" s="19"/>
      <c r="E190" s="19"/>
      <c r="L190" s="19"/>
    </row>
    <row r="191">
      <c r="B191" s="19"/>
      <c r="C191" s="19"/>
      <c r="D191" s="19"/>
      <c r="E191" s="19"/>
      <c r="L191" s="19"/>
    </row>
    <row r="192">
      <c r="B192" s="19"/>
      <c r="C192" s="19"/>
      <c r="D192" s="19"/>
      <c r="E192" s="19"/>
      <c r="L192" s="19"/>
    </row>
    <row r="193">
      <c r="B193" s="19"/>
      <c r="C193" s="19"/>
      <c r="D193" s="19"/>
      <c r="E193" s="19"/>
      <c r="L193" s="19"/>
    </row>
    <row r="194">
      <c r="B194" s="19"/>
      <c r="C194" s="19"/>
      <c r="D194" s="19"/>
      <c r="E194" s="19"/>
      <c r="L194" s="19"/>
    </row>
    <row r="195">
      <c r="B195" s="19"/>
      <c r="C195" s="19"/>
      <c r="D195" s="19"/>
      <c r="E195" s="19"/>
      <c r="L195" s="19"/>
    </row>
    <row r="196">
      <c r="B196" s="19"/>
      <c r="C196" s="19"/>
      <c r="D196" s="19"/>
      <c r="E196" s="19"/>
      <c r="L196" s="19"/>
    </row>
    <row r="197">
      <c r="B197" s="19"/>
      <c r="C197" s="19"/>
      <c r="D197" s="19"/>
      <c r="E197" s="19"/>
      <c r="L197" s="19"/>
    </row>
    <row r="198">
      <c r="B198" s="19"/>
      <c r="C198" s="19"/>
      <c r="D198" s="19"/>
      <c r="E198" s="19"/>
      <c r="L198" s="19"/>
    </row>
    <row r="199">
      <c r="B199" s="19"/>
      <c r="C199" s="19"/>
      <c r="D199" s="19"/>
      <c r="E199" s="19"/>
      <c r="L199" s="19"/>
    </row>
    <row r="200">
      <c r="B200" s="19"/>
      <c r="C200" s="19"/>
      <c r="D200" s="19"/>
      <c r="E200" s="19"/>
      <c r="L200" s="19"/>
    </row>
    <row r="201">
      <c r="B201" s="19"/>
      <c r="C201" s="19"/>
      <c r="D201" s="19"/>
      <c r="E201" s="19"/>
      <c r="L201" s="19"/>
    </row>
    <row r="202">
      <c r="B202" s="19"/>
      <c r="C202" s="19"/>
      <c r="D202" s="19"/>
      <c r="E202" s="19"/>
      <c r="L202" s="19"/>
    </row>
    <row r="203">
      <c r="B203" s="19"/>
      <c r="C203" s="19"/>
      <c r="D203" s="19"/>
      <c r="E203" s="19"/>
      <c r="L203" s="19"/>
    </row>
    <row r="204">
      <c r="B204" s="19"/>
      <c r="C204" s="19"/>
      <c r="D204" s="19"/>
      <c r="E204" s="19"/>
      <c r="L204" s="19"/>
    </row>
    <row r="205">
      <c r="B205" s="19"/>
      <c r="C205" s="19"/>
      <c r="D205" s="19"/>
      <c r="E205" s="19"/>
      <c r="L205" s="19"/>
    </row>
    <row r="206">
      <c r="B206" s="19"/>
      <c r="C206" s="19"/>
      <c r="D206" s="19"/>
      <c r="E206" s="19"/>
      <c r="L206" s="19"/>
    </row>
    <row r="207">
      <c r="B207" s="19"/>
      <c r="C207" s="19"/>
      <c r="D207" s="19"/>
      <c r="E207" s="19"/>
      <c r="L207" s="19"/>
    </row>
    <row r="208">
      <c r="B208" s="19"/>
      <c r="C208" s="19"/>
      <c r="D208" s="19"/>
      <c r="E208" s="19"/>
      <c r="L208" s="19"/>
    </row>
    <row r="209">
      <c r="B209" s="19"/>
      <c r="C209" s="19"/>
      <c r="D209" s="19"/>
      <c r="E209" s="19"/>
      <c r="L209" s="19"/>
    </row>
    <row r="210">
      <c r="B210" s="19"/>
      <c r="C210" s="19"/>
      <c r="D210" s="19"/>
      <c r="E210" s="19"/>
      <c r="L210" s="19"/>
    </row>
    <row r="211">
      <c r="B211" s="19"/>
      <c r="C211" s="19"/>
      <c r="D211" s="19"/>
      <c r="E211" s="19"/>
      <c r="L211" s="19"/>
    </row>
    <row r="212">
      <c r="B212" s="19"/>
      <c r="C212" s="19"/>
      <c r="D212" s="19"/>
      <c r="E212" s="19"/>
      <c r="L212" s="19"/>
    </row>
    <row r="213">
      <c r="B213" s="19"/>
      <c r="C213" s="19"/>
      <c r="D213" s="19"/>
      <c r="E213" s="19"/>
      <c r="L213" s="19"/>
    </row>
    <row r="214">
      <c r="B214" s="19"/>
      <c r="C214" s="19"/>
      <c r="D214" s="19"/>
      <c r="E214" s="19"/>
      <c r="L214" s="19"/>
    </row>
    <row r="215">
      <c r="B215" s="19"/>
      <c r="C215" s="19"/>
      <c r="D215" s="19"/>
      <c r="E215" s="19"/>
      <c r="L215" s="19"/>
    </row>
    <row r="216">
      <c r="B216" s="19"/>
      <c r="C216" s="19"/>
      <c r="D216" s="19"/>
      <c r="E216" s="19"/>
      <c r="L216" s="19"/>
    </row>
    <row r="217">
      <c r="B217" s="19"/>
      <c r="C217" s="19"/>
      <c r="D217" s="19"/>
      <c r="E217" s="19"/>
      <c r="L217" s="19"/>
    </row>
    <row r="218">
      <c r="B218" s="19"/>
      <c r="C218" s="19"/>
      <c r="D218" s="19"/>
      <c r="E218" s="19"/>
      <c r="L218" s="19"/>
    </row>
    <row r="219">
      <c r="B219" s="19"/>
      <c r="C219" s="19"/>
      <c r="D219" s="19"/>
      <c r="E219" s="19"/>
      <c r="L219" s="19"/>
    </row>
    <row r="220">
      <c r="B220" s="19"/>
      <c r="C220" s="19"/>
      <c r="D220" s="19"/>
      <c r="E220" s="19"/>
      <c r="L220" s="19"/>
    </row>
    <row r="221">
      <c r="B221" s="19"/>
      <c r="C221" s="19"/>
      <c r="D221" s="19"/>
      <c r="E221" s="19"/>
      <c r="L221" s="19"/>
    </row>
    <row r="222">
      <c r="B222" s="19"/>
      <c r="C222" s="19"/>
      <c r="D222" s="19"/>
      <c r="E222" s="19"/>
      <c r="L222" s="19"/>
    </row>
    <row r="223">
      <c r="B223" s="19"/>
      <c r="C223" s="19"/>
      <c r="D223" s="19"/>
      <c r="E223" s="19"/>
      <c r="L223" s="19"/>
    </row>
    <row r="224">
      <c r="B224" s="19"/>
      <c r="C224" s="19"/>
      <c r="D224" s="19"/>
      <c r="E224" s="19"/>
      <c r="L224" s="19"/>
    </row>
    <row r="225">
      <c r="B225" s="19"/>
      <c r="C225" s="19"/>
      <c r="D225" s="19"/>
      <c r="E225" s="19"/>
      <c r="L225" s="19"/>
    </row>
    <row r="226">
      <c r="B226" s="19"/>
      <c r="C226" s="19"/>
      <c r="D226" s="19"/>
      <c r="E226" s="19"/>
      <c r="L226" s="19"/>
    </row>
    <row r="227">
      <c r="B227" s="19"/>
      <c r="C227" s="19"/>
      <c r="D227" s="19"/>
      <c r="E227" s="19"/>
      <c r="L227" s="19"/>
    </row>
    <row r="228">
      <c r="B228" s="19"/>
      <c r="C228" s="19"/>
      <c r="D228" s="19"/>
      <c r="E228" s="19"/>
      <c r="L228" s="19"/>
    </row>
    <row r="229">
      <c r="B229" s="19"/>
      <c r="C229" s="19"/>
      <c r="D229" s="19"/>
      <c r="E229" s="19"/>
      <c r="L229" s="19"/>
    </row>
    <row r="230">
      <c r="B230" s="19"/>
      <c r="C230" s="19"/>
      <c r="D230" s="19"/>
      <c r="E230" s="19"/>
      <c r="L230" s="19"/>
    </row>
    <row r="231">
      <c r="B231" s="19"/>
      <c r="C231" s="19"/>
      <c r="D231" s="19"/>
      <c r="E231" s="19"/>
      <c r="L231" s="19"/>
    </row>
    <row r="232">
      <c r="B232" s="19"/>
      <c r="C232" s="19"/>
      <c r="D232" s="19"/>
      <c r="E232" s="19"/>
      <c r="L232" s="19"/>
    </row>
    <row r="233">
      <c r="B233" s="19"/>
      <c r="C233" s="19"/>
      <c r="D233" s="19"/>
      <c r="E233" s="19"/>
      <c r="L233" s="19"/>
    </row>
    <row r="234">
      <c r="B234" s="19"/>
      <c r="C234" s="19"/>
      <c r="D234" s="19"/>
      <c r="E234" s="19"/>
      <c r="L234" s="19"/>
    </row>
    <row r="235">
      <c r="B235" s="19"/>
      <c r="C235" s="19"/>
      <c r="D235" s="19"/>
      <c r="E235" s="19"/>
      <c r="L235" s="19"/>
    </row>
    <row r="236">
      <c r="B236" s="19"/>
      <c r="C236" s="19"/>
      <c r="D236" s="19"/>
      <c r="E236" s="19"/>
      <c r="L236" s="19"/>
    </row>
    <row r="237">
      <c r="B237" s="19"/>
      <c r="C237" s="19"/>
      <c r="D237" s="19"/>
      <c r="E237" s="19"/>
      <c r="L237" s="19"/>
    </row>
    <row r="238">
      <c r="B238" s="19"/>
      <c r="C238" s="19"/>
      <c r="D238" s="19"/>
      <c r="E238" s="19"/>
      <c r="L238" s="19"/>
    </row>
    <row r="239">
      <c r="B239" s="19"/>
      <c r="C239" s="19"/>
      <c r="D239" s="19"/>
      <c r="E239" s="19"/>
      <c r="L239" s="19"/>
    </row>
    <row r="240">
      <c r="B240" s="19"/>
      <c r="C240" s="19"/>
      <c r="D240" s="19"/>
      <c r="E240" s="19"/>
      <c r="L240" s="19"/>
    </row>
    <row r="241">
      <c r="B241" s="19"/>
      <c r="C241" s="19"/>
      <c r="D241" s="19"/>
      <c r="E241" s="19"/>
      <c r="L241" s="19"/>
    </row>
    <row r="242">
      <c r="B242" s="19"/>
      <c r="C242" s="19"/>
      <c r="D242" s="19"/>
      <c r="E242" s="19"/>
      <c r="L242" s="19"/>
    </row>
    <row r="243">
      <c r="B243" s="19"/>
      <c r="C243" s="19"/>
      <c r="D243" s="19"/>
      <c r="E243" s="19"/>
      <c r="L243" s="19"/>
    </row>
    <row r="244">
      <c r="B244" s="19"/>
      <c r="C244" s="19"/>
      <c r="D244" s="19"/>
      <c r="E244" s="19"/>
      <c r="L244" s="19"/>
    </row>
    <row r="245">
      <c r="B245" s="19"/>
      <c r="C245" s="19"/>
      <c r="D245" s="19"/>
      <c r="E245" s="19"/>
      <c r="L245" s="19"/>
    </row>
    <row r="246">
      <c r="B246" s="19"/>
      <c r="C246" s="19"/>
      <c r="D246" s="19"/>
      <c r="E246" s="19"/>
      <c r="L246" s="19"/>
    </row>
    <row r="247">
      <c r="B247" s="19"/>
      <c r="C247" s="19"/>
      <c r="D247" s="19"/>
      <c r="E247" s="19"/>
      <c r="L247" s="19"/>
    </row>
    <row r="248">
      <c r="B248" s="19"/>
      <c r="C248" s="19"/>
      <c r="D248" s="19"/>
      <c r="E248" s="19"/>
      <c r="L248" s="19"/>
    </row>
    <row r="249">
      <c r="B249" s="19"/>
      <c r="C249" s="19"/>
      <c r="D249" s="19"/>
      <c r="E249" s="19"/>
      <c r="L249" s="19"/>
    </row>
    <row r="250">
      <c r="B250" s="19"/>
      <c r="C250" s="19"/>
      <c r="D250" s="19"/>
      <c r="E250" s="19"/>
      <c r="L250" s="19"/>
    </row>
    <row r="251">
      <c r="B251" s="19"/>
      <c r="C251" s="19"/>
      <c r="D251" s="19"/>
      <c r="E251" s="19"/>
      <c r="L251" s="19"/>
    </row>
    <row r="252">
      <c r="B252" s="19"/>
      <c r="C252" s="19"/>
      <c r="D252" s="19"/>
      <c r="E252" s="19"/>
      <c r="L252" s="19"/>
    </row>
    <row r="253">
      <c r="B253" s="19"/>
      <c r="C253" s="19"/>
      <c r="D253" s="19"/>
      <c r="E253" s="19"/>
      <c r="L253" s="19"/>
    </row>
    <row r="254">
      <c r="B254" s="19"/>
      <c r="C254" s="19"/>
      <c r="D254" s="19"/>
      <c r="E254" s="19"/>
      <c r="L254" s="19"/>
    </row>
    <row r="255">
      <c r="B255" s="19"/>
      <c r="C255" s="19"/>
      <c r="D255" s="19"/>
      <c r="E255" s="19"/>
      <c r="L255" s="19"/>
    </row>
    <row r="256">
      <c r="B256" s="19"/>
      <c r="C256" s="19"/>
      <c r="D256" s="19"/>
      <c r="E256" s="19"/>
      <c r="L256" s="19"/>
    </row>
    <row r="257">
      <c r="B257" s="19"/>
      <c r="C257" s="19"/>
      <c r="D257" s="19"/>
      <c r="E257" s="19"/>
      <c r="L257" s="19"/>
    </row>
    <row r="258">
      <c r="B258" s="19"/>
      <c r="C258" s="19"/>
      <c r="D258" s="19"/>
      <c r="E258" s="19"/>
      <c r="L258" s="19"/>
    </row>
    <row r="259">
      <c r="B259" s="19"/>
      <c r="C259" s="19"/>
      <c r="D259" s="19"/>
      <c r="E259" s="19"/>
      <c r="L259" s="19"/>
    </row>
    <row r="260">
      <c r="B260" s="19"/>
      <c r="C260" s="19"/>
      <c r="D260" s="19"/>
      <c r="E260" s="19"/>
      <c r="L260" s="19"/>
    </row>
    <row r="261">
      <c r="B261" s="19"/>
      <c r="C261" s="19"/>
      <c r="D261" s="19"/>
      <c r="E261" s="19"/>
      <c r="L261" s="19"/>
    </row>
    <row r="262">
      <c r="B262" s="19"/>
      <c r="C262" s="19"/>
      <c r="D262" s="19"/>
      <c r="E262" s="19"/>
      <c r="L262" s="19"/>
    </row>
    <row r="263">
      <c r="B263" s="19"/>
      <c r="C263" s="19"/>
      <c r="D263" s="19"/>
      <c r="E263" s="19"/>
      <c r="L263" s="19"/>
    </row>
    <row r="264">
      <c r="B264" s="19"/>
      <c r="C264" s="19"/>
      <c r="D264" s="19"/>
      <c r="E264" s="19"/>
      <c r="L264" s="19"/>
    </row>
    <row r="265">
      <c r="B265" s="19"/>
      <c r="C265" s="19"/>
      <c r="D265" s="19"/>
      <c r="E265" s="19"/>
      <c r="L265" s="19"/>
    </row>
    <row r="266">
      <c r="B266" s="19"/>
      <c r="C266" s="19"/>
      <c r="D266" s="19"/>
      <c r="E266" s="19"/>
      <c r="L266" s="19"/>
    </row>
    <row r="267">
      <c r="B267" s="19"/>
      <c r="C267" s="19"/>
      <c r="D267" s="19"/>
      <c r="E267" s="19"/>
      <c r="L267" s="19"/>
    </row>
    <row r="268">
      <c r="B268" s="19"/>
      <c r="C268" s="19"/>
      <c r="D268" s="19"/>
      <c r="E268" s="19"/>
      <c r="L268" s="19"/>
    </row>
    <row r="269">
      <c r="B269" s="19"/>
      <c r="C269" s="19"/>
      <c r="D269" s="19"/>
      <c r="E269" s="19"/>
      <c r="L269" s="19"/>
    </row>
    <row r="270">
      <c r="B270" s="19"/>
      <c r="C270" s="19"/>
      <c r="D270" s="19"/>
      <c r="E270" s="19"/>
      <c r="L270" s="19"/>
    </row>
    <row r="271">
      <c r="B271" s="19"/>
      <c r="C271" s="19"/>
      <c r="D271" s="19"/>
      <c r="E271" s="19"/>
      <c r="L271" s="19"/>
    </row>
    <row r="272">
      <c r="B272" s="19"/>
      <c r="C272" s="19"/>
      <c r="D272" s="19"/>
      <c r="E272" s="19"/>
      <c r="L272" s="19"/>
    </row>
    <row r="273">
      <c r="B273" s="19"/>
      <c r="C273" s="19"/>
      <c r="D273" s="19"/>
      <c r="E273" s="19"/>
      <c r="L273" s="19"/>
    </row>
    <row r="274">
      <c r="B274" s="19"/>
      <c r="C274" s="19"/>
      <c r="D274" s="19"/>
      <c r="E274" s="19"/>
      <c r="L274" s="19"/>
    </row>
    <row r="275">
      <c r="B275" s="19"/>
      <c r="C275" s="19"/>
      <c r="D275" s="19"/>
      <c r="E275" s="19"/>
      <c r="L275" s="19"/>
    </row>
    <row r="276">
      <c r="B276" s="19"/>
      <c r="C276" s="19"/>
      <c r="D276" s="19"/>
      <c r="E276" s="19"/>
      <c r="L276" s="19"/>
    </row>
    <row r="277">
      <c r="B277" s="19"/>
      <c r="C277" s="19"/>
      <c r="D277" s="19"/>
      <c r="E277" s="19"/>
      <c r="L277" s="19"/>
    </row>
    <row r="278">
      <c r="B278" s="19"/>
      <c r="C278" s="19"/>
      <c r="D278" s="19"/>
      <c r="E278" s="19"/>
      <c r="L278" s="19"/>
    </row>
    <row r="279">
      <c r="B279" s="19"/>
      <c r="C279" s="19"/>
      <c r="D279" s="19"/>
      <c r="E279" s="19"/>
      <c r="L279" s="19"/>
    </row>
    <row r="280">
      <c r="B280" s="19"/>
      <c r="C280" s="19"/>
      <c r="D280" s="19"/>
      <c r="E280" s="19"/>
      <c r="L280" s="19"/>
    </row>
    <row r="281">
      <c r="B281" s="19"/>
      <c r="C281" s="19"/>
      <c r="D281" s="19"/>
      <c r="E281" s="19"/>
      <c r="L281" s="19"/>
    </row>
    <row r="282">
      <c r="B282" s="19"/>
      <c r="C282" s="19"/>
      <c r="D282" s="19"/>
      <c r="E282" s="19"/>
      <c r="L282" s="19"/>
    </row>
    <row r="283">
      <c r="B283" s="19"/>
      <c r="C283" s="19"/>
      <c r="D283" s="19"/>
      <c r="E283" s="19"/>
      <c r="L283" s="19"/>
    </row>
    <row r="284">
      <c r="B284" s="19"/>
      <c r="C284" s="19"/>
      <c r="D284" s="19"/>
      <c r="E284" s="19"/>
      <c r="L284" s="19"/>
    </row>
    <row r="285">
      <c r="B285" s="19"/>
      <c r="C285" s="19"/>
      <c r="D285" s="19"/>
      <c r="E285" s="19"/>
      <c r="L285" s="19"/>
    </row>
    <row r="286">
      <c r="B286" s="19"/>
      <c r="C286" s="19"/>
      <c r="D286" s="19"/>
      <c r="E286" s="19"/>
      <c r="L286" s="19"/>
    </row>
    <row r="287">
      <c r="B287" s="19"/>
      <c r="C287" s="19"/>
      <c r="D287" s="19"/>
      <c r="E287" s="19"/>
      <c r="L287" s="19"/>
    </row>
    <row r="288">
      <c r="B288" s="19"/>
      <c r="C288" s="19"/>
      <c r="D288" s="19"/>
      <c r="E288" s="19"/>
      <c r="L288" s="19"/>
    </row>
    <row r="289">
      <c r="B289" s="19"/>
      <c r="C289" s="19"/>
      <c r="D289" s="19"/>
      <c r="E289" s="19"/>
      <c r="L289" s="19"/>
    </row>
    <row r="290">
      <c r="B290" s="19"/>
      <c r="C290" s="19"/>
      <c r="D290" s="19"/>
      <c r="E290" s="19"/>
      <c r="L290" s="19"/>
    </row>
    <row r="291">
      <c r="B291" s="19"/>
      <c r="C291" s="19"/>
      <c r="D291" s="19"/>
      <c r="E291" s="19"/>
      <c r="L291" s="19"/>
    </row>
    <row r="292">
      <c r="B292" s="19"/>
      <c r="C292" s="19"/>
      <c r="D292" s="19"/>
      <c r="E292" s="19"/>
      <c r="L292" s="19"/>
    </row>
    <row r="293">
      <c r="B293" s="19"/>
      <c r="C293" s="19"/>
      <c r="D293" s="19"/>
      <c r="E293" s="19"/>
      <c r="L293" s="19"/>
    </row>
    <row r="294">
      <c r="B294" s="19"/>
      <c r="C294" s="19"/>
      <c r="D294" s="19"/>
      <c r="E294" s="19"/>
      <c r="L294" s="19"/>
    </row>
    <row r="295">
      <c r="B295" s="19"/>
      <c r="C295" s="19"/>
      <c r="D295" s="19"/>
      <c r="E295" s="19"/>
      <c r="L295" s="19"/>
    </row>
    <row r="296">
      <c r="B296" s="19"/>
      <c r="C296" s="19"/>
      <c r="D296" s="19"/>
      <c r="E296" s="19"/>
      <c r="L296" s="19"/>
    </row>
    <row r="297">
      <c r="B297" s="19"/>
      <c r="C297" s="19"/>
      <c r="D297" s="19"/>
      <c r="E297" s="19"/>
      <c r="L297" s="19"/>
    </row>
    <row r="298">
      <c r="B298" s="19"/>
      <c r="C298" s="19"/>
      <c r="D298" s="19"/>
      <c r="E298" s="19"/>
      <c r="L298" s="19"/>
    </row>
    <row r="299">
      <c r="B299" s="19"/>
      <c r="C299" s="19"/>
      <c r="D299" s="19"/>
      <c r="E299" s="19"/>
      <c r="L299" s="19"/>
    </row>
    <row r="300">
      <c r="B300" s="19"/>
      <c r="C300" s="19"/>
      <c r="D300" s="19"/>
      <c r="E300" s="19"/>
      <c r="L300" s="19"/>
    </row>
    <row r="301">
      <c r="B301" s="19"/>
      <c r="C301" s="19"/>
      <c r="D301" s="19"/>
      <c r="E301" s="19"/>
      <c r="L301" s="19"/>
    </row>
    <row r="302">
      <c r="B302" s="19"/>
      <c r="C302" s="19"/>
      <c r="D302" s="19"/>
      <c r="E302" s="19"/>
      <c r="L302" s="19"/>
    </row>
    <row r="303">
      <c r="B303" s="19"/>
      <c r="C303" s="19"/>
      <c r="D303" s="19"/>
      <c r="E303" s="19"/>
      <c r="L303" s="19"/>
    </row>
    <row r="304">
      <c r="B304" s="19"/>
      <c r="C304" s="19"/>
      <c r="D304" s="19"/>
      <c r="E304" s="19"/>
      <c r="L304" s="19"/>
    </row>
    <row r="305">
      <c r="B305" s="19"/>
      <c r="C305" s="19"/>
      <c r="D305" s="19"/>
      <c r="E305" s="19"/>
      <c r="L305" s="19"/>
    </row>
    <row r="306">
      <c r="B306" s="19"/>
      <c r="C306" s="19"/>
      <c r="D306" s="19"/>
      <c r="E306" s="19"/>
      <c r="L306" s="19"/>
    </row>
    <row r="307">
      <c r="B307" s="19"/>
      <c r="C307" s="19"/>
      <c r="D307" s="19"/>
      <c r="E307" s="19"/>
      <c r="L307" s="19"/>
    </row>
    <row r="308">
      <c r="B308" s="19"/>
      <c r="C308" s="19"/>
      <c r="D308" s="19"/>
      <c r="E308" s="19"/>
      <c r="L308" s="19"/>
    </row>
    <row r="309">
      <c r="B309" s="19"/>
      <c r="C309" s="19"/>
      <c r="D309" s="19"/>
      <c r="E309" s="19"/>
      <c r="L309" s="19"/>
    </row>
    <row r="310">
      <c r="B310" s="19"/>
      <c r="C310" s="19"/>
      <c r="D310" s="19"/>
      <c r="E310" s="19"/>
      <c r="L310" s="19"/>
    </row>
    <row r="311">
      <c r="B311" s="19"/>
      <c r="C311" s="19"/>
      <c r="D311" s="19"/>
      <c r="E311" s="19"/>
      <c r="L311" s="19"/>
    </row>
    <row r="312">
      <c r="B312" s="19"/>
      <c r="C312" s="19"/>
      <c r="D312" s="19"/>
      <c r="E312" s="19"/>
      <c r="L312" s="19"/>
    </row>
    <row r="313">
      <c r="B313" s="19"/>
      <c r="C313" s="19"/>
      <c r="D313" s="19"/>
      <c r="E313" s="19"/>
      <c r="L313" s="19"/>
    </row>
    <row r="314">
      <c r="B314" s="19"/>
      <c r="C314" s="19"/>
      <c r="D314" s="19"/>
      <c r="E314" s="19"/>
      <c r="L314" s="19"/>
    </row>
    <row r="315">
      <c r="B315" s="19"/>
      <c r="C315" s="19"/>
      <c r="D315" s="19"/>
      <c r="E315" s="19"/>
      <c r="L315" s="19"/>
    </row>
    <row r="316">
      <c r="B316" s="19"/>
      <c r="C316" s="19"/>
      <c r="D316" s="19"/>
      <c r="E316" s="19"/>
      <c r="L316" s="19"/>
    </row>
    <row r="317">
      <c r="B317" s="19"/>
      <c r="C317" s="19"/>
      <c r="D317" s="19"/>
      <c r="E317" s="19"/>
      <c r="L317" s="19"/>
    </row>
    <row r="318">
      <c r="B318" s="19"/>
      <c r="C318" s="19"/>
      <c r="D318" s="19"/>
      <c r="E318" s="19"/>
      <c r="L318" s="19"/>
    </row>
    <row r="319">
      <c r="B319" s="19"/>
      <c r="C319" s="19"/>
      <c r="D319" s="19"/>
      <c r="E319" s="19"/>
      <c r="L319" s="19"/>
    </row>
    <row r="320">
      <c r="B320" s="19"/>
      <c r="C320" s="19"/>
      <c r="D320" s="19"/>
      <c r="E320" s="19"/>
      <c r="L320" s="19"/>
    </row>
    <row r="321">
      <c r="B321" s="19"/>
      <c r="C321" s="19"/>
      <c r="D321" s="19"/>
      <c r="E321" s="19"/>
      <c r="L321" s="19"/>
    </row>
    <row r="322">
      <c r="B322" s="19"/>
      <c r="C322" s="19"/>
      <c r="D322" s="19"/>
      <c r="E322" s="19"/>
      <c r="L322" s="19"/>
    </row>
    <row r="323">
      <c r="B323" s="19"/>
      <c r="C323" s="19"/>
      <c r="D323" s="19"/>
      <c r="E323" s="19"/>
      <c r="L323" s="19"/>
    </row>
    <row r="324">
      <c r="B324" s="19"/>
      <c r="C324" s="19"/>
      <c r="D324" s="19"/>
      <c r="E324" s="19"/>
      <c r="L324" s="19"/>
    </row>
    <row r="325">
      <c r="B325" s="19"/>
      <c r="C325" s="19"/>
      <c r="D325" s="19"/>
      <c r="E325" s="19"/>
      <c r="L325" s="19"/>
    </row>
    <row r="326">
      <c r="B326" s="19"/>
      <c r="C326" s="19"/>
      <c r="D326" s="19"/>
      <c r="E326" s="19"/>
      <c r="L326" s="19"/>
    </row>
    <row r="327">
      <c r="B327" s="19"/>
      <c r="C327" s="19"/>
      <c r="D327" s="19"/>
      <c r="E327" s="19"/>
      <c r="L327" s="19"/>
    </row>
    <row r="328">
      <c r="B328" s="19"/>
      <c r="C328" s="19"/>
      <c r="D328" s="19"/>
      <c r="E328" s="19"/>
      <c r="L328" s="19"/>
    </row>
    <row r="329">
      <c r="B329" s="19"/>
      <c r="C329" s="19"/>
      <c r="D329" s="19"/>
      <c r="E329" s="19"/>
      <c r="L329" s="19"/>
    </row>
    <row r="330">
      <c r="B330" s="19"/>
      <c r="C330" s="19"/>
      <c r="D330" s="19"/>
      <c r="E330" s="19"/>
      <c r="L330" s="19"/>
    </row>
    <row r="331">
      <c r="B331" s="19"/>
      <c r="C331" s="19"/>
      <c r="D331" s="19"/>
      <c r="E331" s="19"/>
      <c r="L331" s="19"/>
    </row>
    <row r="332">
      <c r="B332" s="19"/>
      <c r="C332" s="19"/>
      <c r="D332" s="19"/>
      <c r="E332" s="19"/>
      <c r="L332" s="19"/>
    </row>
    <row r="333">
      <c r="B333" s="19"/>
      <c r="C333" s="19"/>
      <c r="D333" s="19"/>
      <c r="E333" s="19"/>
      <c r="L333" s="19"/>
    </row>
    <row r="334">
      <c r="B334" s="19"/>
      <c r="C334" s="19"/>
      <c r="D334" s="19"/>
      <c r="E334" s="19"/>
      <c r="L334" s="19"/>
    </row>
    <row r="335">
      <c r="B335" s="19"/>
      <c r="C335" s="19"/>
      <c r="D335" s="19"/>
      <c r="E335" s="19"/>
      <c r="L335" s="19"/>
    </row>
    <row r="336">
      <c r="B336" s="19"/>
      <c r="C336" s="19"/>
      <c r="D336" s="19"/>
      <c r="E336" s="19"/>
      <c r="L336" s="19"/>
    </row>
    <row r="337">
      <c r="B337" s="19"/>
      <c r="C337" s="19"/>
      <c r="D337" s="19"/>
      <c r="E337" s="19"/>
      <c r="L337" s="19"/>
    </row>
    <row r="338">
      <c r="B338" s="19"/>
      <c r="C338" s="19"/>
      <c r="D338" s="19"/>
      <c r="E338" s="19"/>
      <c r="L338" s="19"/>
    </row>
    <row r="339">
      <c r="B339" s="19"/>
      <c r="C339" s="19"/>
      <c r="D339" s="19"/>
      <c r="E339" s="19"/>
      <c r="L339" s="19"/>
    </row>
    <row r="340">
      <c r="B340" s="19"/>
      <c r="C340" s="19"/>
      <c r="D340" s="19"/>
      <c r="E340" s="19"/>
      <c r="L340" s="19"/>
    </row>
    <row r="341">
      <c r="B341" s="19"/>
      <c r="C341" s="19"/>
      <c r="D341" s="19"/>
      <c r="E341" s="19"/>
      <c r="L341" s="19"/>
    </row>
    <row r="342">
      <c r="B342" s="19"/>
      <c r="C342" s="19"/>
      <c r="D342" s="19"/>
      <c r="E342" s="19"/>
      <c r="L342" s="19"/>
    </row>
    <row r="343">
      <c r="B343" s="19"/>
      <c r="C343" s="19"/>
      <c r="D343" s="19"/>
      <c r="E343" s="19"/>
      <c r="L343" s="19"/>
    </row>
    <row r="344">
      <c r="B344" s="19"/>
      <c r="C344" s="19"/>
      <c r="D344" s="19"/>
      <c r="E344" s="19"/>
      <c r="L344" s="19"/>
    </row>
    <row r="345">
      <c r="B345" s="19"/>
      <c r="C345" s="19"/>
      <c r="D345" s="19"/>
      <c r="E345" s="19"/>
      <c r="L345" s="19"/>
    </row>
    <row r="346">
      <c r="B346" s="19"/>
      <c r="C346" s="19"/>
      <c r="D346" s="19"/>
      <c r="E346" s="19"/>
      <c r="L346" s="19"/>
    </row>
    <row r="347">
      <c r="B347" s="19"/>
      <c r="C347" s="19"/>
      <c r="D347" s="19"/>
      <c r="E347" s="19"/>
      <c r="L347" s="19"/>
    </row>
    <row r="348">
      <c r="B348" s="19"/>
      <c r="C348" s="19"/>
      <c r="D348" s="19"/>
      <c r="E348" s="19"/>
      <c r="L348" s="19"/>
    </row>
    <row r="349">
      <c r="B349" s="19"/>
      <c r="C349" s="19"/>
      <c r="D349" s="19"/>
      <c r="E349" s="19"/>
      <c r="L349" s="19"/>
    </row>
    <row r="350">
      <c r="B350" s="19"/>
      <c r="C350" s="19"/>
      <c r="D350" s="19"/>
      <c r="E350" s="19"/>
      <c r="L350" s="19"/>
    </row>
    <row r="351">
      <c r="B351" s="19"/>
      <c r="C351" s="19"/>
      <c r="D351" s="19"/>
      <c r="E351" s="19"/>
      <c r="L351" s="19"/>
    </row>
    <row r="352">
      <c r="B352" s="19"/>
      <c r="C352" s="19"/>
      <c r="D352" s="19"/>
      <c r="E352" s="19"/>
      <c r="L352" s="19"/>
    </row>
    <row r="353">
      <c r="B353" s="19"/>
      <c r="C353" s="19"/>
      <c r="D353" s="19"/>
      <c r="E353" s="19"/>
      <c r="L353" s="19"/>
    </row>
    <row r="354">
      <c r="B354" s="19"/>
      <c r="C354" s="19"/>
      <c r="D354" s="19"/>
      <c r="E354" s="19"/>
      <c r="L354" s="19"/>
    </row>
    <row r="355">
      <c r="B355" s="19"/>
      <c r="C355" s="19"/>
      <c r="D355" s="19"/>
      <c r="E355" s="19"/>
      <c r="L355" s="19"/>
    </row>
    <row r="356">
      <c r="B356" s="19"/>
      <c r="C356" s="19"/>
      <c r="D356" s="19"/>
      <c r="E356" s="19"/>
      <c r="L356" s="19"/>
    </row>
    <row r="357">
      <c r="B357" s="19"/>
      <c r="C357" s="19"/>
      <c r="D357" s="19"/>
      <c r="E357" s="19"/>
      <c r="L357" s="19"/>
    </row>
    <row r="358">
      <c r="B358" s="19"/>
      <c r="C358" s="19"/>
      <c r="D358" s="19"/>
      <c r="E358" s="19"/>
      <c r="L358" s="19"/>
    </row>
    <row r="359">
      <c r="B359" s="19"/>
      <c r="C359" s="19"/>
      <c r="D359" s="19"/>
      <c r="E359" s="19"/>
      <c r="L359" s="19"/>
    </row>
    <row r="360">
      <c r="B360" s="19"/>
      <c r="C360" s="19"/>
      <c r="D360" s="19"/>
      <c r="E360" s="19"/>
      <c r="L360" s="19"/>
    </row>
    <row r="361">
      <c r="B361" s="19"/>
      <c r="C361" s="19"/>
      <c r="D361" s="19"/>
      <c r="E361" s="19"/>
      <c r="L361" s="19"/>
    </row>
    <row r="362">
      <c r="B362" s="19"/>
      <c r="C362" s="19"/>
      <c r="D362" s="19"/>
      <c r="E362" s="19"/>
      <c r="L362" s="19"/>
    </row>
    <row r="363">
      <c r="B363" s="19"/>
      <c r="C363" s="19"/>
      <c r="D363" s="19"/>
      <c r="E363" s="19"/>
      <c r="L363" s="19"/>
    </row>
    <row r="364">
      <c r="B364" s="19"/>
      <c r="C364" s="19"/>
      <c r="D364" s="19"/>
      <c r="E364" s="19"/>
      <c r="L364" s="19"/>
    </row>
    <row r="365">
      <c r="B365" s="19"/>
      <c r="C365" s="19"/>
      <c r="D365" s="19"/>
      <c r="E365" s="19"/>
      <c r="L365" s="19"/>
    </row>
    <row r="366">
      <c r="B366" s="19"/>
      <c r="C366" s="19"/>
      <c r="D366" s="19"/>
      <c r="E366" s="19"/>
      <c r="L366" s="19"/>
    </row>
    <row r="367">
      <c r="B367" s="19"/>
      <c r="C367" s="19"/>
      <c r="D367" s="19"/>
      <c r="E367" s="19"/>
      <c r="L367" s="19"/>
    </row>
    <row r="368">
      <c r="B368" s="19"/>
      <c r="C368" s="19"/>
      <c r="D368" s="19"/>
      <c r="E368" s="19"/>
      <c r="L368" s="19"/>
    </row>
    <row r="369">
      <c r="B369" s="19"/>
      <c r="C369" s="19"/>
      <c r="D369" s="19"/>
      <c r="E369" s="19"/>
      <c r="L369" s="19"/>
    </row>
    <row r="370">
      <c r="B370" s="19"/>
      <c r="C370" s="19"/>
      <c r="D370" s="19"/>
      <c r="E370" s="19"/>
      <c r="L370" s="19"/>
    </row>
    <row r="371">
      <c r="B371" s="19"/>
      <c r="C371" s="19"/>
      <c r="D371" s="19"/>
      <c r="E371" s="19"/>
      <c r="L371" s="19"/>
    </row>
    <row r="372">
      <c r="B372" s="19"/>
      <c r="C372" s="19"/>
      <c r="D372" s="19"/>
      <c r="E372" s="19"/>
      <c r="L372" s="19"/>
    </row>
    <row r="373">
      <c r="B373" s="19"/>
      <c r="C373" s="19"/>
      <c r="D373" s="19"/>
      <c r="E373" s="19"/>
      <c r="L373" s="19"/>
    </row>
    <row r="374">
      <c r="B374" s="19"/>
      <c r="C374" s="19"/>
      <c r="D374" s="19"/>
      <c r="E374" s="19"/>
      <c r="L374" s="19"/>
    </row>
    <row r="375">
      <c r="B375" s="19"/>
      <c r="C375" s="19"/>
      <c r="D375" s="19"/>
      <c r="E375" s="19"/>
      <c r="L375" s="19"/>
    </row>
    <row r="376">
      <c r="B376" s="19"/>
      <c r="C376" s="19"/>
      <c r="D376" s="19"/>
      <c r="E376" s="19"/>
      <c r="L376" s="19"/>
    </row>
    <row r="377">
      <c r="B377" s="19"/>
      <c r="C377" s="19"/>
      <c r="D377" s="19"/>
      <c r="E377" s="19"/>
      <c r="L377" s="19"/>
    </row>
    <row r="378">
      <c r="B378" s="19"/>
      <c r="C378" s="19"/>
      <c r="D378" s="19"/>
      <c r="E378" s="19"/>
      <c r="L378" s="19"/>
    </row>
    <row r="379">
      <c r="B379" s="19"/>
      <c r="C379" s="19"/>
      <c r="D379" s="19"/>
      <c r="E379" s="19"/>
      <c r="L379" s="19"/>
    </row>
    <row r="380">
      <c r="B380" s="19"/>
      <c r="C380" s="19"/>
      <c r="D380" s="19"/>
      <c r="E380" s="19"/>
      <c r="L380" s="19"/>
    </row>
    <row r="381">
      <c r="B381" s="19"/>
      <c r="C381" s="19"/>
      <c r="D381" s="19"/>
      <c r="E381" s="19"/>
      <c r="L381" s="19"/>
    </row>
    <row r="382">
      <c r="B382" s="19"/>
      <c r="C382" s="19"/>
      <c r="D382" s="19"/>
      <c r="E382" s="19"/>
      <c r="L382" s="19"/>
    </row>
    <row r="383">
      <c r="B383" s="19"/>
      <c r="C383" s="19"/>
      <c r="D383" s="19"/>
      <c r="E383" s="19"/>
      <c r="L383" s="19"/>
    </row>
    <row r="384">
      <c r="B384" s="19"/>
      <c r="C384" s="19"/>
      <c r="D384" s="19"/>
      <c r="E384" s="19"/>
      <c r="L384" s="19"/>
    </row>
    <row r="385">
      <c r="B385" s="19"/>
      <c r="C385" s="19"/>
      <c r="D385" s="19"/>
      <c r="E385" s="19"/>
      <c r="L385" s="19"/>
    </row>
    <row r="386">
      <c r="B386" s="19"/>
      <c r="C386" s="19"/>
      <c r="D386" s="19"/>
      <c r="E386" s="19"/>
      <c r="L386" s="19"/>
    </row>
    <row r="387">
      <c r="B387" s="19"/>
      <c r="C387" s="19"/>
      <c r="D387" s="19"/>
      <c r="E387" s="19"/>
      <c r="L387" s="19"/>
    </row>
    <row r="388">
      <c r="B388" s="19"/>
      <c r="C388" s="19"/>
      <c r="D388" s="19"/>
      <c r="E388" s="19"/>
      <c r="L388" s="19"/>
    </row>
    <row r="389">
      <c r="B389" s="19"/>
      <c r="C389" s="19"/>
      <c r="D389" s="19"/>
      <c r="E389" s="19"/>
      <c r="L389" s="19"/>
    </row>
    <row r="390">
      <c r="B390" s="19"/>
      <c r="C390" s="19"/>
      <c r="D390" s="19"/>
      <c r="E390" s="19"/>
      <c r="L390" s="19"/>
    </row>
    <row r="391">
      <c r="B391" s="19"/>
      <c r="C391" s="19"/>
      <c r="D391" s="19"/>
      <c r="E391" s="19"/>
      <c r="L391" s="19"/>
    </row>
    <row r="392">
      <c r="B392" s="19"/>
      <c r="C392" s="19"/>
      <c r="D392" s="19"/>
      <c r="E392" s="19"/>
      <c r="L392" s="19"/>
    </row>
    <row r="393">
      <c r="B393" s="19"/>
      <c r="C393" s="19"/>
      <c r="D393" s="19"/>
      <c r="E393" s="19"/>
      <c r="L393" s="19"/>
    </row>
    <row r="394">
      <c r="B394" s="19"/>
      <c r="C394" s="19"/>
      <c r="D394" s="19"/>
      <c r="E394" s="19"/>
      <c r="L394" s="19"/>
    </row>
    <row r="395">
      <c r="B395" s="19"/>
      <c r="C395" s="19"/>
      <c r="D395" s="19"/>
      <c r="E395" s="19"/>
      <c r="L395" s="19"/>
    </row>
    <row r="396">
      <c r="B396" s="19"/>
      <c r="C396" s="19"/>
      <c r="D396" s="19"/>
      <c r="E396" s="19"/>
      <c r="L396" s="19"/>
    </row>
    <row r="397">
      <c r="B397" s="19"/>
      <c r="C397" s="19"/>
      <c r="D397" s="19"/>
      <c r="E397" s="19"/>
      <c r="L397" s="19"/>
    </row>
    <row r="398">
      <c r="B398" s="19"/>
      <c r="C398" s="19"/>
      <c r="D398" s="19"/>
      <c r="E398" s="19"/>
      <c r="L398" s="19"/>
    </row>
    <row r="399">
      <c r="B399" s="19"/>
      <c r="C399" s="19"/>
      <c r="D399" s="19"/>
      <c r="E399" s="19"/>
      <c r="L399" s="19"/>
    </row>
    <row r="400">
      <c r="B400" s="19"/>
      <c r="C400" s="19"/>
      <c r="D400" s="19"/>
      <c r="E400" s="19"/>
      <c r="L400" s="19"/>
    </row>
    <row r="401">
      <c r="B401" s="19"/>
      <c r="C401" s="19"/>
      <c r="D401" s="19"/>
      <c r="E401" s="19"/>
      <c r="L401" s="19"/>
    </row>
    <row r="402">
      <c r="B402" s="19"/>
      <c r="C402" s="19"/>
      <c r="D402" s="19"/>
      <c r="E402" s="19"/>
      <c r="L402" s="19"/>
    </row>
    <row r="403">
      <c r="B403" s="19"/>
      <c r="C403" s="19"/>
      <c r="D403" s="19"/>
      <c r="E403" s="19"/>
      <c r="L403" s="19"/>
    </row>
    <row r="404">
      <c r="B404" s="19"/>
      <c r="C404" s="19"/>
      <c r="D404" s="19"/>
      <c r="E404" s="19"/>
      <c r="L404" s="19"/>
    </row>
    <row r="405">
      <c r="B405" s="19"/>
      <c r="C405" s="19"/>
      <c r="D405" s="19"/>
      <c r="E405" s="19"/>
      <c r="L405" s="19"/>
    </row>
    <row r="406">
      <c r="B406" s="19"/>
      <c r="C406" s="19"/>
      <c r="D406" s="19"/>
      <c r="E406" s="19"/>
      <c r="L406" s="19"/>
    </row>
    <row r="407">
      <c r="B407" s="19"/>
      <c r="C407" s="19"/>
      <c r="D407" s="19"/>
      <c r="E407" s="19"/>
      <c r="L407" s="19"/>
    </row>
    <row r="408">
      <c r="B408" s="19"/>
      <c r="C408" s="19"/>
      <c r="D408" s="19"/>
      <c r="E408" s="19"/>
      <c r="L408" s="19"/>
    </row>
    <row r="409">
      <c r="B409" s="19"/>
      <c r="C409" s="19"/>
      <c r="D409" s="19"/>
      <c r="E409" s="19"/>
      <c r="L409" s="19"/>
    </row>
    <row r="410">
      <c r="B410" s="19"/>
      <c r="C410" s="19"/>
      <c r="D410" s="19"/>
      <c r="E410" s="19"/>
      <c r="L410" s="19"/>
    </row>
    <row r="411">
      <c r="B411" s="19"/>
      <c r="C411" s="19"/>
      <c r="D411" s="19"/>
      <c r="E411" s="19"/>
      <c r="L411" s="19"/>
    </row>
    <row r="412">
      <c r="B412" s="19"/>
      <c r="C412" s="19"/>
      <c r="D412" s="19"/>
      <c r="E412" s="19"/>
      <c r="L412" s="19"/>
    </row>
    <row r="413">
      <c r="B413" s="19"/>
      <c r="C413" s="19"/>
      <c r="D413" s="19"/>
      <c r="E413" s="19"/>
      <c r="L413" s="19"/>
    </row>
    <row r="414">
      <c r="B414" s="19"/>
      <c r="C414" s="19"/>
      <c r="D414" s="19"/>
      <c r="E414" s="19"/>
      <c r="L414" s="19"/>
    </row>
    <row r="415">
      <c r="B415" s="19"/>
      <c r="C415" s="19"/>
      <c r="D415" s="19"/>
      <c r="E415" s="19"/>
      <c r="L415" s="19"/>
    </row>
    <row r="416">
      <c r="B416" s="19"/>
      <c r="C416" s="19"/>
      <c r="D416" s="19"/>
      <c r="E416" s="19"/>
      <c r="L416" s="19"/>
    </row>
    <row r="417">
      <c r="B417" s="19"/>
      <c r="C417" s="19"/>
      <c r="D417" s="19"/>
      <c r="E417" s="19"/>
      <c r="L417" s="19"/>
    </row>
    <row r="418">
      <c r="B418" s="19"/>
      <c r="C418" s="19"/>
      <c r="D418" s="19"/>
      <c r="E418" s="19"/>
      <c r="L418" s="19"/>
    </row>
    <row r="419">
      <c r="B419" s="19"/>
      <c r="C419" s="19"/>
      <c r="D419" s="19"/>
      <c r="E419" s="19"/>
      <c r="L419" s="19"/>
    </row>
    <row r="420">
      <c r="B420" s="19"/>
      <c r="C420" s="19"/>
      <c r="D420" s="19"/>
      <c r="E420" s="19"/>
      <c r="L420" s="19"/>
    </row>
    <row r="421">
      <c r="B421" s="19"/>
      <c r="C421" s="19"/>
      <c r="D421" s="19"/>
      <c r="E421" s="19"/>
      <c r="L421" s="19"/>
    </row>
    <row r="422">
      <c r="B422" s="19"/>
      <c r="C422" s="19"/>
      <c r="D422" s="19"/>
      <c r="E422" s="19"/>
      <c r="L422" s="19"/>
    </row>
    <row r="423">
      <c r="B423" s="19"/>
      <c r="C423" s="19"/>
      <c r="D423" s="19"/>
      <c r="E423" s="19"/>
      <c r="L423" s="19"/>
    </row>
    <row r="424">
      <c r="B424" s="19"/>
      <c r="C424" s="19"/>
      <c r="D424" s="19"/>
      <c r="E424" s="19"/>
      <c r="L424" s="19"/>
    </row>
    <row r="425">
      <c r="B425" s="19"/>
      <c r="C425" s="19"/>
      <c r="D425" s="19"/>
      <c r="E425" s="19"/>
      <c r="L425" s="19"/>
    </row>
    <row r="426">
      <c r="B426" s="19"/>
      <c r="C426" s="19"/>
      <c r="D426" s="19"/>
      <c r="E426" s="19"/>
      <c r="L426" s="19"/>
    </row>
    <row r="427">
      <c r="B427" s="19"/>
      <c r="C427" s="19"/>
      <c r="D427" s="19"/>
      <c r="E427" s="19"/>
      <c r="L427" s="19"/>
    </row>
    <row r="428">
      <c r="B428" s="19"/>
      <c r="C428" s="19"/>
      <c r="D428" s="19"/>
      <c r="E428" s="19"/>
      <c r="L428" s="19"/>
    </row>
    <row r="429">
      <c r="B429" s="19"/>
      <c r="C429" s="19"/>
      <c r="D429" s="19"/>
      <c r="E429" s="19"/>
      <c r="L429" s="19"/>
    </row>
    <row r="430">
      <c r="B430" s="19"/>
      <c r="C430" s="19"/>
      <c r="D430" s="19"/>
      <c r="E430" s="19"/>
      <c r="L430" s="19"/>
    </row>
    <row r="431">
      <c r="B431" s="19"/>
      <c r="C431" s="19"/>
      <c r="D431" s="19"/>
      <c r="E431" s="19"/>
      <c r="L431" s="19"/>
    </row>
    <row r="432">
      <c r="B432" s="19"/>
      <c r="C432" s="19"/>
      <c r="D432" s="19"/>
      <c r="E432" s="19"/>
      <c r="L432" s="19"/>
    </row>
    <row r="433">
      <c r="B433" s="19"/>
      <c r="C433" s="19"/>
      <c r="D433" s="19"/>
      <c r="E433" s="19"/>
      <c r="L433" s="19"/>
    </row>
    <row r="434">
      <c r="B434" s="19"/>
      <c r="C434" s="19"/>
      <c r="D434" s="19"/>
      <c r="E434" s="19"/>
      <c r="L434" s="19"/>
    </row>
    <row r="435">
      <c r="B435" s="19"/>
      <c r="C435" s="19"/>
      <c r="D435" s="19"/>
      <c r="E435" s="19"/>
      <c r="L435" s="19"/>
    </row>
    <row r="436">
      <c r="B436" s="19"/>
      <c r="C436" s="19"/>
      <c r="D436" s="19"/>
      <c r="E436" s="19"/>
      <c r="L436" s="19"/>
    </row>
    <row r="437">
      <c r="B437" s="19"/>
      <c r="C437" s="19"/>
      <c r="D437" s="19"/>
      <c r="E437" s="19"/>
      <c r="L437" s="19"/>
    </row>
    <row r="438">
      <c r="B438" s="19"/>
      <c r="C438" s="19"/>
      <c r="D438" s="19"/>
      <c r="E438" s="19"/>
      <c r="L438" s="19"/>
    </row>
    <row r="439">
      <c r="B439" s="19"/>
      <c r="C439" s="19"/>
      <c r="D439" s="19"/>
      <c r="E439" s="19"/>
      <c r="L439" s="19"/>
    </row>
    <row r="440">
      <c r="B440" s="19"/>
      <c r="C440" s="19"/>
      <c r="D440" s="19"/>
      <c r="E440" s="19"/>
      <c r="L440" s="19"/>
    </row>
    <row r="441">
      <c r="B441" s="19"/>
      <c r="C441" s="19"/>
      <c r="D441" s="19"/>
      <c r="E441" s="19"/>
      <c r="L441" s="19"/>
    </row>
    <row r="442">
      <c r="B442" s="19"/>
      <c r="C442" s="19"/>
      <c r="D442" s="19"/>
      <c r="E442" s="19"/>
      <c r="L442" s="19"/>
    </row>
    <row r="443">
      <c r="B443" s="19"/>
      <c r="C443" s="19"/>
      <c r="D443" s="19"/>
      <c r="E443" s="19"/>
      <c r="L443" s="19"/>
    </row>
    <row r="444">
      <c r="B444" s="19"/>
      <c r="C444" s="19"/>
      <c r="D444" s="19"/>
      <c r="E444" s="19"/>
      <c r="L444" s="19"/>
    </row>
    <row r="445">
      <c r="B445" s="19"/>
      <c r="C445" s="19"/>
      <c r="D445" s="19"/>
      <c r="E445" s="19"/>
      <c r="L445" s="19"/>
    </row>
    <row r="446">
      <c r="B446" s="19"/>
      <c r="C446" s="19"/>
      <c r="D446" s="19"/>
      <c r="E446" s="19"/>
      <c r="L446" s="19"/>
    </row>
    <row r="447">
      <c r="B447" s="19"/>
      <c r="C447" s="19"/>
      <c r="D447" s="19"/>
      <c r="E447" s="19"/>
      <c r="L447" s="19"/>
    </row>
    <row r="448">
      <c r="B448" s="19"/>
      <c r="C448" s="19"/>
      <c r="D448" s="19"/>
      <c r="E448" s="19"/>
      <c r="L448" s="19"/>
    </row>
    <row r="449">
      <c r="B449" s="19"/>
      <c r="C449" s="19"/>
      <c r="D449" s="19"/>
      <c r="E449" s="19"/>
      <c r="L449" s="19"/>
    </row>
    <row r="450">
      <c r="B450" s="19"/>
      <c r="C450" s="19"/>
      <c r="D450" s="19"/>
      <c r="E450" s="19"/>
      <c r="L450" s="19"/>
    </row>
    <row r="451">
      <c r="B451" s="19"/>
      <c r="C451" s="19"/>
      <c r="D451" s="19"/>
      <c r="E451" s="19"/>
      <c r="L451" s="19"/>
    </row>
    <row r="452">
      <c r="B452" s="19"/>
      <c r="C452" s="19"/>
      <c r="D452" s="19"/>
      <c r="E452" s="19"/>
      <c r="L452" s="19"/>
    </row>
    <row r="453">
      <c r="B453" s="19"/>
      <c r="C453" s="19"/>
      <c r="D453" s="19"/>
      <c r="E453" s="19"/>
      <c r="L453" s="19"/>
    </row>
    <row r="454">
      <c r="B454" s="19"/>
      <c r="C454" s="19"/>
      <c r="D454" s="19"/>
      <c r="E454" s="19"/>
      <c r="L454" s="19"/>
    </row>
    <row r="455">
      <c r="B455" s="19"/>
      <c r="C455" s="19"/>
      <c r="D455" s="19"/>
      <c r="E455" s="19"/>
      <c r="L455" s="19"/>
    </row>
    <row r="456">
      <c r="B456" s="19"/>
      <c r="C456" s="19"/>
      <c r="D456" s="19"/>
      <c r="E456" s="19"/>
      <c r="L456" s="19"/>
    </row>
    <row r="457">
      <c r="B457" s="19"/>
      <c r="C457" s="19"/>
      <c r="D457" s="19"/>
      <c r="E457" s="19"/>
      <c r="L457" s="19"/>
    </row>
    <row r="458">
      <c r="B458" s="19"/>
      <c r="C458" s="19"/>
      <c r="D458" s="19"/>
      <c r="E458" s="19"/>
      <c r="L458" s="19"/>
    </row>
    <row r="459">
      <c r="B459" s="19"/>
      <c r="C459" s="19"/>
      <c r="D459" s="19"/>
      <c r="E459" s="19"/>
      <c r="L459" s="19"/>
    </row>
    <row r="460">
      <c r="B460" s="19"/>
      <c r="C460" s="19"/>
      <c r="D460" s="19"/>
      <c r="E460" s="19"/>
      <c r="L460" s="19"/>
    </row>
    <row r="461">
      <c r="B461" s="19"/>
      <c r="C461" s="19"/>
      <c r="D461" s="19"/>
      <c r="E461" s="19"/>
      <c r="L461" s="19"/>
    </row>
    <row r="462">
      <c r="B462" s="19"/>
      <c r="C462" s="19"/>
      <c r="D462" s="19"/>
      <c r="E462" s="19"/>
      <c r="L462" s="19"/>
    </row>
    <row r="463">
      <c r="B463" s="19"/>
      <c r="C463" s="19"/>
      <c r="D463" s="19"/>
      <c r="E463" s="19"/>
      <c r="L463" s="19"/>
    </row>
    <row r="464">
      <c r="B464" s="19"/>
      <c r="C464" s="19"/>
      <c r="D464" s="19"/>
      <c r="E464" s="19"/>
      <c r="L464" s="19"/>
    </row>
    <row r="465">
      <c r="B465" s="19"/>
      <c r="C465" s="19"/>
      <c r="D465" s="19"/>
      <c r="E465" s="19"/>
      <c r="L465" s="19"/>
    </row>
    <row r="466">
      <c r="B466" s="19"/>
      <c r="C466" s="19"/>
      <c r="D466" s="19"/>
      <c r="E466" s="19"/>
      <c r="L466" s="19"/>
    </row>
    <row r="467">
      <c r="B467" s="19"/>
      <c r="C467" s="19"/>
      <c r="D467" s="19"/>
      <c r="E467" s="19"/>
      <c r="L467" s="19"/>
    </row>
    <row r="468">
      <c r="B468" s="19"/>
      <c r="C468" s="19"/>
      <c r="D468" s="19"/>
      <c r="E468" s="19"/>
      <c r="L468" s="19"/>
    </row>
    <row r="469">
      <c r="B469" s="19"/>
      <c r="C469" s="19"/>
      <c r="D469" s="19"/>
      <c r="E469" s="19"/>
      <c r="L469" s="19"/>
    </row>
    <row r="470">
      <c r="B470" s="19"/>
      <c r="C470" s="19"/>
      <c r="D470" s="19"/>
      <c r="E470" s="19"/>
      <c r="L470" s="19"/>
    </row>
    <row r="471">
      <c r="B471" s="19"/>
      <c r="C471" s="19"/>
      <c r="D471" s="19"/>
      <c r="E471" s="19"/>
      <c r="L471" s="19"/>
    </row>
    <row r="472">
      <c r="B472" s="19"/>
      <c r="C472" s="19"/>
      <c r="D472" s="19"/>
      <c r="E472" s="19"/>
      <c r="L472" s="19"/>
    </row>
    <row r="473">
      <c r="B473" s="19"/>
      <c r="C473" s="19"/>
      <c r="D473" s="19"/>
      <c r="E473" s="19"/>
      <c r="L473" s="19"/>
    </row>
    <row r="474">
      <c r="B474" s="19"/>
      <c r="C474" s="19"/>
      <c r="D474" s="19"/>
      <c r="E474" s="19"/>
      <c r="L474" s="19"/>
    </row>
    <row r="475">
      <c r="B475" s="19"/>
      <c r="C475" s="19"/>
      <c r="D475" s="19"/>
      <c r="E475" s="19"/>
      <c r="L475" s="19"/>
    </row>
    <row r="476">
      <c r="B476" s="19"/>
      <c r="C476" s="19"/>
      <c r="D476" s="19"/>
      <c r="E476" s="19"/>
      <c r="L476" s="19"/>
    </row>
    <row r="477">
      <c r="B477" s="19"/>
      <c r="C477" s="19"/>
      <c r="D477" s="19"/>
      <c r="E477" s="19"/>
      <c r="L477" s="19"/>
    </row>
    <row r="478">
      <c r="B478" s="19"/>
      <c r="C478" s="19"/>
      <c r="D478" s="19"/>
      <c r="E478" s="19"/>
      <c r="L478" s="19"/>
    </row>
    <row r="479">
      <c r="B479" s="19"/>
      <c r="C479" s="19"/>
      <c r="D479" s="19"/>
      <c r="E479" s="19"/>
      <c r="L479" s="19"/>
    </row>
    <row r="480">
      <c r="B480" s="19"/>
      <c r="C480" s="19"/>
      <c r="D480" s="19"/>
      <c r="E480" s="19"/>
      <c r="L480" s="19"/>
    </row>
    <row r="481">
      <c r="B481" s="19"/>
      <c r="C481" s="19"/>
      <c r="D481" s="19"/>
      <c r="E481" s="19"/>
      <c r="L481" s="19"/>
    </row>
    <row r="482">
      <c r="B482" s="19"/>
      <c r="C482" s="19"/>
      <c r="D482" s="19"/>
      <c r="E482" s="19"/>
      <c r="L482" s="19"/>
    </row>
    <row r="483">
      <c r="B483" s="19"/>
      <c r="C483" s="19"/>
      <c r="D483" s="19"/>
      <c r="E483" s="19"/>
      <c r="L483" s="19"/>
    </row>
    <row r="484">
      <c r="B484" s="19"/>
      <c r="C484" s="19"/>
      <c r="D484" s="19"/>
      <c r="E484" s="19"/>
      <c r="L484" s="19"/>
    </row>
    <row r="485">
      <c r="B485" s="19"/>
      <c r="C485" s="19"/>
      <c r="D485" s="19"/>
      <c r="E485" s="19"/>
      <c r="L485" s="19"/>
    </row>
    <row r="486">
      <c r="B486" s="19"/>
      <c r="C486" s="19"/>
      <c r="D486" s="19"/>
      <c r="E486" s="19"/>
      <c r="L486" s="19"/>
    </row>
    <row r="487">
      <c r="B487" s="19"/>
      <c r="C487" s="19"/>
      <c r="D487" s="19"/>
      <c r="E487" s="19"/>
      <c r="L487" s="19"/>
    </row>
    <row r="488">
      <c r="B488" s="19"/>
      <c r="C488" s="19"/>
      <c r="D488" s="19"/>
      <c r="E488" s="19"/>
      <c r="L488" s="19"/>
    </row>
    <row r="489">
      <c r="B489" s="19"/>
      <c r="C489" s="19"/>
      <c r="D489" s="19"/>
      <c r="E489" s="19"/>
      <c r="L489" s="19"/>
    </row>
    <row r="490">
      <c r="B490" s="19"/>
      <c r="C490" s="19"/>
      <c r="D490" s="19"/>
      <c r="E490" s="19"/>
      <c r="L490" s="19"/>
    </row>
    <row r="491">
      <c r="B491" s="19"/>
      <c r="C491" s="19"/>
      <c r="D491" s="19"/>
      <c r="E491" s="19"/>
      <c r="L491" s="19"/>
    </row>
    <row r="492">
      <c r="B492" s="19"/>
      <c r="C492" s="19"/>
      <c r="D492" s="19"/>
      <c r="E492" s="19"/>
      <c r="L492" s="19"/>
    </row>
    <row r="493">
      <c r="B493" s="19"/>
      <c r="C493" s="19"/>
      <c r="D493" s="19"/>
      <c r="E493" s="19"/>
      <c r="L493" s="19"/>
    </row>
    <row r="494">
      <c r="B494" s="19"/>
      <c r="C494" s="19"/>
      <c r="D494" s="19"/>
      <c r="E494" s="19"/>
      <c r="L494" s="19"/>
    </row>
    <row r="495">
      <c r="B495" s="19"/>
      <c r="C495" s="19"/>
      <c r="D495" s="19"/>
      <c r="E495" s="19"/>
      <c r="L495" s="19"/>
    </row>
    <row r="496">
      <c r="B496" s="19"/>
      <c r="C496" s="19"/>
      <c r="D496" s="19"/>
      <c r="E496" s="19"/>
      <c r="L496" s="19"/>
    </row>
    <row r="497">
      <c r="B497" s="19"/>
      <c r="C497" s="19"/>
      <c r="D497" s="19"/>
      <c r="E497" s="19"/>
      <c r="L497" s="19"/>
    </row>
    <row r="498">
      <c r="B498" s="19"/>
      <c r="C498" s="19"/>
      <c r="D498" s="19"/>
      <c r="E498" s="19"/>
      <c r="L498" s="19"/>
    </row>
    <row r="499">
      <c r="B499" s="19"/>
      <c r="C499" s="19"/>
      <c r="D499" s="19"/>
      <c r="E499" s="19"/>
      <c r="L499" s="19"/>
    </row>
    <row r="500">
      <c r="B500" s="19"/>
      <c r="C500" s="19"/>
      <c r="D500" s="19"/>
      <c r="E500" s="19"/>
      <c r="L500" s="19"/>
    </row>
    <row r="501">
      <c r="B501" s="19"/>
      <c r="C501" s="19"/>
      <c r="D501" s="19"/>
      <c r="E501" s="19"/>
      <c r="L501" s="19"/>
    </row>
    <row r="502">
      <c r="B502" s="19"/>
      <c r="C502" s="19"/>
      <c r="D502" s="19"/>
      <c r="E502" s="19"/>
      <c r="L502" s="19"/>
    </row>
    <row r="503">
      <c r="B503" s="19"/>
      <c r="C503" s="19"/>
      <c r="D503" s="19"/>
      <c r="E503" s="19"/>
      <c r="L503" s="19"/>
    </row>
    <row r="504">
      <c r="B504" s="19"/>
      <c r="C504" s="19"/>
      <c r="D504" s="19"/>
      <c r="E504" s="19"/>
      <c r="L504" s="19"/>
    </row>
    <row r="505">
      <c r="B505" s="19"/>
      <c r="C505" s="19"/>
      <c r="D505" s="19"/>
      <c r="E505" s="19"/>
      <c r="L505" s="19"/>
    </row>
    <row r="506">
      <c r="B506" s="19"/>
      <c r="C506" s="19"/>
      <c r="D506" s="19"/>
      <c r="E506" s="19"/>
      <c r="L506" s="19"/>
    </row>
    <row r="507">
      <c r="B507" s="19"/>
      <c r="C507" s="19"/>
      <c r="D507" s="19"/>
      <c r="E507" s="19"/>
      <c r="L507" s="19"/>
    </row>
    <row r="508">
      <c r="B508" s="19"/>
      <c r="C508" s="19"/>
      <c r="D508" s="19"/>
      <c r="E508" s="19"/>
      <c r="L508" s="19"/>
    </row>
    <row r="509">
      <c r="B509" s="19"/>
      <c r="C509" s="19"/>
      <c r="D509" s="19"/>
      <c r="E509" s="19"/>
      <c r="L509" s="19"/>
    </row>
    <row r="510">
      <c r="B510" s="19"/>
      <c r="C510" s="19"/>
      <c r="D510" s="19"/>
      <c r="E510" s="19"/>
      <c r="L510" s="19"/>
    </row>
    <row r="511">
      <c r="B511" s="19"/>
      <c r="C511" s="19"/>
      <c r="D511" s="19"/>
      <c r="E511" s="19"/>
      <c r="L511" s="19"/>
    </row>
    <row r="512">
      <c r="B512" s="19"/>
      <c r="C512" s="19"/>
      <c r="D512" s="19"/>
      <c r="E512" s="19"/>
      <c r="L512" s="19"/>
    </row>
    <row r="513">
      <c r="B513" s="19"/>
      <c r="C513" s="19"/>
      <c r="D513" s="19"/>
      <c r="E513" s="19"/>
      <c r="L513" s="19"/>
    </row>
    <row r="514">
      <c r="B514" s="19"/>
      <c r="C514" s="19"/>
      <c r="D514" s="19"/>
      <c r="E514" s="19"/>
      <c r="L514" s="19"/>
    </row>
    <row r="515">
      <c r="B515" s="19"/>
      <c r="C515" s="19"/>
      <c r="D515" s="19"/>
      <c r="E515" s="19"/>
      <c r="L515" s="19"/>
    </row>
    <row r="516">
      <c r="B516" s="19"/>
      <c r="C516" s="19"/>
      <c r="D516" s="19"/>
      <c r="E516" s="19"/>
      <c r="L516" s="19"/>
    </row>
    <row r="517">
      <c r="B517" s="19"/>
      <c r="C517" s="19"/>
      <c r="D517" s="19"/>
      <c r="E517" s="19"/>
      <c r="L517" s="19"/>
    </row>
    <row r="518">
      <c r="B518" s="19"/>
      <c r="C518" s="19"/>
      <c r="D518" s="19"/>
      <c r="E518" s="19"/>
      <c r="L518" s="19"/>
    </row>
    <row r="519">
      <c r="B519" s="19"/>
      <c r="C519" s="19"/>
      <c r="D519" s="19"/>
      <c r="E519" s="19"/>
      <c r="L519" s="19"/>
    </row>
    <row r="520">
      <c r="B520" s="19"/>
      <c r="C520" s="19"/>
      <c r="D520" s="19"/>
      <c r="E520" s="19"/>
      <c r="L520" s="19"/>
    </row>
    <row r="521">
      <c r="B521" s="19"/>
      <c r="C521" s="19"/>
      <c r="D521" s="19"/>
      <c r="E521" s="19"/>
      <c r="L521" s="19"/>
    </row>
    <row r="522">
      <c r="B522" s="19"/>
      <c r="C522" s="19"/>
      <c r="D522" s="19"/>
      <c r="E522" s="19"/>
      <c r="L522" s="19"/>
    </row>
    <row r="523">
      <c r="B523" s="19"/>
      <c r="C523" s="19"/>
      <c r="D523" s="19"/>
      <c r="E523" s="19"/>
      <c r="L523" s="19"/>
    </row>
    <row r="524">
      <c r="B524" s="19"/>
      <c r="C524" s="19"/>
      <c r="D524" s="19"/>
      <c r="E524" s="19"/>
      <c r="L524" s="19"/>
    </row>
    <row r="525">
      <c r="B525" s="19"/>
      <c r="C525" s="19"/>
      <c r="D525" s="19"/>
      <c r="E525" s="19"/>
      <c r="L525" s="19"/>
    </row>
    <row r="526">
      <c r="B526" s="19"/>
      <c r="C526" s="19"/>
      <c r="D526" s="19"/>
      <c r="E526" s="19"/>
      <c r="L526" s="19"/>
    </row>
    <row r="527">
      <c r="B527" s="19"/>
      <c r="C527" s="19"/>
      <c r="D527" s="19"/>
      <c r="E527" s="19"/>
      <c r="L527" s="19"/>
    </row>
    <row r="528">
      <c r="B528" s="19"/>
      <c r="C528" s="19"/>
      <c r="D528" s="19"/>
      <c r="E528" s="19"/>
      <c r="L528" s="19"/>
    </row>
    <row r="529">
      <c r="B529" s="19"/>
      <c r="C529" s="19"/>
      <c r="D529" s="19"/>
      <c r="E529" s="19"/>
      <c r="L529" s="19"/>
    </row>
    <row r="530">
      <c r="B530" s="19"/>
      <c r="C530" s="19"/>
      <c r="D530" s="19"/>
      <c r="E530" s="19"/>
      <c r="L530" s="19"/>
    </row>
    <row r="531">
      <c r="B531" s="19"/>
      <c r="C531" s="19"/>
      <c r="D531" s="19"/>
      <c r="E531" s="19"/>
      <c r="L531" s="19"/>
    </row>
    <row r="532">
      <c r="B532" s="19"/>
      <c r="C532" s="19"/>
      <c r="D532" s="19"/>
      <c r="E532" s="19"/>
      <c r="L532" s="19"/>
    </row>
    <row r="533">
      <c r="B533" s="19"/>
      <c r="C533" s="19"/>
      <c r="D533" s="19"/>
      <c r="E533" s="19"/>
      <c r="L533" s="19"/>
    </row>
    <row r="534">
      <c r="B534" s="19"/>
      <c r="C534" s="19"/>
      <c r="D534" s="19"/>
      <c r="E534" s="19"/>
      <c r="L534" s="19"/>
    </row>
    <row r="535">
      <c r="B535" s="19"/>
      <c r="C535" s="19"/>
      <c r="D535" s="19"/>
      <c r="E535" s="19"/>
      <c r="L535" s="19"/>
    </row>
    <row r="536">
      <c r="B536" s="19"/>
      <c r="C536" s="19"/>
      <c r="D536" s="19"/>
      <c r="E536" s="19"/>
      <c r="L536" s="19"/>
    </row>
    <row r="537">
      <c r="B537" s="19"/>
      <c r="C537" s="19"/>
      <c r="D537" s="19"/>
      <c r="E537" s="19"/>
      <c r="L537" s="19"/>
    </row>
    <row r="538">
      <c r="B538" s="19"/>
      <c r="C538" s="19"/>
      <c r="D538" s="19"/>
      <c r="E538" s="19"/>
      <c r="L538" s="19"/>
    </row>
    <row r="539">
      <c r="B539" s="19"/>
      <c r="C539" s="19"/>
      <c r="D539" s="19"/>
      <c r="E539" s="19"/>
      <c r="L539" s="19"/>
    </row>
    <row r="540">
      <c r="B540" s="19"/>
      <c r="C540" s="19"/>
      <c r="D540" s="19"/>
      <c r="E540" s="19"/>
      <c r="L540" s="19"/>
    </row>
    <row r="541">
      <c r="B541" s="19"/>
      <c r="C541" s="19"/>
      <c r="D541" s="19"/>
      <c r="E541" s="19"/>
      <c r="L541" s="19"/>
    </row>
    <row r="542">
      <c r="B542" s="19"/>
      <c r="C542" s="19"/>
      <c r="D542" s="19"/>
      <c r="E542" s="19"/>
      <c r="L542" s="19"/>
    </row>
    <row r="543">
      <c r="B543" s="19"/>
      <c r="C543" s="19"/>
      <c r="D543" s="19"/>
      <c r="E543" s="19"/>
      <c r="L543" s="19"/>
    </row>
    <row r="544">
      <c r="B544" s="19"/>
      <c r="C544" s="19"/>
      <c r="D544" s="19"/>
      <c r="E544" s="19"/>
      <c r="L544" s="19"/>
    </row>
    <row r="545">
      <c r="B545" s="19"/>
      <c r="C545" s="19"/>
      <c r="D545" s="19"/>
      <c r="E545" s="19"/>
      <c r="L545" s="19"/>
    </row>
    <row r="546">
      <c r="B546" s="19"/>
      <c r="C546" s="19"/>
      <c r="D546" s="19"/>
      <c r="E546" s="19"/>
      <c r="L546" s="19"/>
    </row>
    <row r="547">
      <c r="B547" s="19"/>
      <c r="C547" s="19"/>
      <c r="D547" s="19"/>
      <c r="E547" s="19"/>
      <c r="L547" s="19"/>
    </row>
    <row r="548">
      <c r="B548" s="19"/>
      <c r="C548" s="19"/>
      <c r="D548" s="19"/>
      <c r="E548" s="19"/>
      <c r="L548" s="19"/>
    </row>
    <row r="549">
      <c r="B549" s="19"/>
      <c r="C549" s="19"/>
      <c r="D549" s="19"/>
      <c r="E549" s="19"/>
      <c r="L549" s="19"/>
    </row>
    <row r="550">
      <c r="B550" s="19"/>
      <c r="C550" s="19"/>
      <c r="D550" s="19"/>
      <c r="E550" s="19"/>
      <c r="L550" s="19"/>
    </row>
    <row r="551">
      <c r="B551" s="19"/>
      <c r="C551" s="19"/>
      <c r="D551" s="19"/>
      <c r="E551" s="19"/>
      <c r="L551" s="19"/>
    </row>
    <row r="552">
      <c r="B552" s="19"/>
      <c r="C552" s="19"/>
      <c r="D552" s="19"/>
      <c r="E552" s="19"/>
      <c r="L552" s="19"/>
    </row>
    <row r="553">
      <c r="B553" s="19"/>
      <c r="C553" s="19"/>
      <c r="D553" s="19"/>
      <c r="E553" s="19"/>
      <c r="L553" s="19"/>
    </row>
    <row r="554">
      <c r="B554" s="19"/>
      <c r="C554" s="19"/>
      <c r="D554" s="19"/>
      <c r="E554" s="19"/>
      <c r="L554" s="19"/>
    </row>
    <row r="555">
      <c r="B555" s="19"/>
      <c r="C555" s="19"/>
      <c r="D555" s="19"/>
      <c r="E555" s="19"/>
      <c r="L555" s="19"/>
    </row>
    <row r="556">
      <c r="B556" s="19"/>
      <c r="C556" s="19"/>
      <c r="D556" s="19"/>
      <c r="E556" s="19"/>
      <c r="L556" s="19"/>
    </row>
    <row r="557">
      <c r="B557" s="19"/>
      <c r="C557" s="19"/>
      <c r="D557" s="19"/>
      <c r="E557" s="19"/>
      <c r="L557" s="19"/>
    </row>
    <row r="558">
      <c r="B558" s="19"/>
      <c r="C558" s="19"/>
      <c r="D558" s="19"/>
      <c r="E558" s="19"/>
      <c r="L558" s="19"/>
    </row>
    <row r="559">
      <c r="B559" s="19"/>
      <c r="C559" s="19"/>
      <c r="D559" s="19"/>
      <c r="E559" s="19"/>
      <c r="L559" s="19"/>
    </row>
    <row r="560">
      <c r="B560" s="19"/>
      <c r="C560" s="19"/>
      <c r="D560" s="19"/>
      <c r="E560" s="19"/>
      <c r="L560" s="19"/>
    </row>
    <row r="561">
      <c r="B561" s="19"/>
      <c r="C561" s="19"/>
      <c r="D561" s="19"/>
      <c r="E561" s="19"/>
      <c r="L561" s="19"/>
    </row>
    <row r="562">
      <c r="B562" s="19"/>
      <c r="C562" s="19"/>
      <c r="D562" s="19"/>
      <c r="E562" s="19"/>
      <c r="L562" s="19"/>
    </row>
    <row r="563">
      <c r="B563" s="19"/>
      <c r="C563" s="19"/>
      <c r="D563" s="19"/>
      <c r="E563" s="19"/>
      <c r="L563" s="19"/>
    </row>
    <row r="564">
      <c r="B564" s="19"/>
      <c r="C564" s="19"/>
      <c r="D564" s="19"/>
      <c r="E564" s="19"/>
      <c r="L564" s="19"/>
    </row>
    <row r="565">
      <c r="B565" s="19"/>
      <c r="C565" s="19"/>
      <c r="D565" s="19"/>
      <c r="E565" s="19"/>
      <c r="L565" s="19"/>
    </row>
    <row r="566">
      <c r="B566" s="19"/>
      <c r="C566" s="19"/>
      <c r="D566" s="19"/>
      <c r="E566" s="19"/>
      <c r="L566" s="19"/>
    </row>
    <row r="567">
      <c r="B567" s="19"/>
      <c r="C567" s="19"/>
      <c r="D567" s="19"/>
      <c r="E567" s="19"/>
      <c r="L567" s="19"/>
    </row>
    <row r="568">
      <c r="B568" s="19"/>
      <c r="C568" s="19"/>
      <c r="D568" s="19"/>
      <c r="E568" s="19"/>
      <c r="L568" s="19"/>
    </row>
    <row r="569">
      <c r="B569" s="19"/>
      <c r="C569" s="19"/>
      <c r="D569" s="19"/>
      <c r="E569" s="19"/>
      <c r="L569" s="19"/>
    </row>
    <row r="570">
      <c r="B570" s="19"/>
      <c r="C570" s="19"/>
      <c r="D570" s="19"/>
      <c r="E570" s="19"/>
      <c r="L570" s="19"/>
    </row>
    <row r="571">
      <c r="B571" s="19"/>
      <c r="C571" s="19"/>
      <c r="D571" s="19"/>
      <c r="E571" s="19"/>
      <c r="L571" s="19"/>
    </row>
    <row r="572">
      <c r="B572" s="19"/>
      <c r="C572" s="19"/>
      <c r="D572" s="19"/>
      <c r="E572" s="19"/>
      <c r="L572" s="19"/>
    </row>
    <row r="573">
      <c r="B573" s="19"/>
      <c r="C573" s="19"/>
      <c r="D573" s="19"/>
      <c r="E573" s="19"/>
      <c r="L573" s="19"/>
    </row>
    <row r="574">
      <c r="B574" s="19"/>
      <c r="C574" s="19"/>
      <c r="D574" s="19"/>
      <c r="E574" s="19"/>
      <c r="L574" s="19"/>
    </row>
    <row r="575">
      <c r="B575" s="19"/>
      <c r="C575" s="19"/>
      <c r="D575" s="19"/>
      <c r="E575" s="19"/>
      <c r="L575" s="19"/>
    </row>
    <row r="576">
      <c r="B576" s="19"/>
      <c r="C576" s="19"/>
      <c r="D576" s="19"/>
      <c r="E576" s="19"/>
      <c r="L576" s="19"/>
    </row>
    <row r="577">
      <c r="B577" s="19"/>
      <c r="C577" s="19"/>
      <c r="D577" s="19"/>
      <c r="E577" s="19"/>
      <c r="L577" s="19"/>
    </row>
    <row r="578">
      <c r="B578" s="19"/>
      <c r="C578" s="19"/>
      <c r="D578" s="19"/>
      <c r="E578" s="19"/>
      <c r="L578" s="19"/>
    </row>
    <row r="579">
      <c r="B579" s="19"/>
      <c r="C579" s="19"/>
      <c r="D579" s="19"/>
      <c r="E579" s="19"/>
      <c r="L579" s="19"/>
    </row>
    <row r="580">
      <c r="B580" s="19"/>
      <c r="C580" s="19"/>
      <c r="D580" s="19"/>
      <c r="E580" s="19"/>
      <c r="L580" s="19"/>
    </row>
    <row r="581">
      <c r="B581" s="19"/>
      <c r="C581" s="19"/>
      <c r="D581" s="19"/>
      <c r="E581" s="19"/>
      <c r="L581" s="19"/>
    </row>
    <row r="582">
      <c r="B582" s="19"/>
      <c r="C582" s="19"/>
      <c r="D582" s="19"/>
      <c r="E582" s="19"/>
      <c r="L582" s="19"/>
    </row>
    <row r="583">
      <c r="B583" s="19"/>
      <c r="C583" s="19"/>
      <c r="D583" s="19"/>
      <c r="E583" s="19"/>
      <c r="L583" s="19"/>
    </row>
    <row r="584">
      <c r="B584" s="19"/>
      <c r="C584" s="19"/>
      <c r="D584" s="19"/>
      <c r="E584" s="19"/>
      <c r="L584" s="19"/>
    </row>
    <row r="585">
      <c r="B585" s="19"/>
      <c r="C585" s="19"/>
      <c r="D585" s="19"/>
      <c r="E585" s="19"/>
      <c r="L585" s="19"/>
    </row>
    <row r="586">
      <c r="B586" s="19"/>
      <c r="C586" s="19"/>
      <c r="D586" s="19"/>
      <c r="E586" s="19"/>
      <c r="L586" s="19"/>
    </row>
    <row r="587">
      <c r="B587" s="19"/>
      <c r="C587" s="19"/>
      <c r="D587" s="19"/>
      <c r="E587" s="19"/>
      <c r="L587" s="19"/>
    </row>
    <row r="588">
      <c r="B588" s="19"/>
      <c r="C588" s="19"/>
      <c r="D588" s="19"/>
      <c r="E588" s="19"/>
      <c r="L588" s="19"/>
    </row>
    <row r="589">
      <c r="B589" s="19"/>
      <c r="C589" s="19"/>
      <c r="D589" s="19"/>
      <c r="E589" s="19"/>
      <c r="L589" s="19"/>
    </row>
    <row r="590">
      <c r="B590" s="19"/>
      <c r="C590" s="19"/>
      <c r="D590" s="19"/>
      <c r="E590" s="19"/>
      <c r="L590" s="19"/>
    </row>
    <row r="591">
      <c r="B591" s="19"/>
      <c r="C591" s="19"/>
      <c r="D591" s="19"/>
      <c r="E591" s="19"/>
      <c r="L591" s="19"/>
    </row>
    <row r="592">
      <c r="B592" s="19"/>
      <c r="C592" s="19"/>
      <c r="D592" s="19"/>
      <c r="E592" s="19"/>
      <c r="L592" s="19"/>
    </row>
    <row r="593">
      <c r="B593" s="19"/>
      <c r="C593" s="19"/>
      <c r="D593" s="19"/>
      <c r="E593" s="19"/>
      <c r="L593" s="19"/>
    </row>
    <row r="594">
      <c r="B594" s="19"/>
      <c r="C594" s="19"/>
      <c r="D594" s="19"/>
      <c r="E594" s="19"/>
      <c r="L594" s="19"/>
    </row>
    <row r="595">
      <c r="B595" s="19"/>
      <c r="C595" s="19"/>
      <c r="D595" s="19"/>
      <c r="E595" s="19"/>
      <c r="L595" s="19"/>
    </row>
    <row r="596">
      <c r="B596" s="19"/>
      <c r="C596" s="19"/>
      <c r="D596" s="19"/>
      <c r="E596" s="19"/>
      <c r="L596" s="19"/>
    </row>
    <row r="597">
      <c r="B597" s="19"/>
      <c r="C597" s="19"/>
      <c r="D597" s="19"/>
      <c r="E597" s="19"/>
      <c r="L597" s="19"/>
    </row>
    <row r="598">
      <c r="B598" s="19"/>
      <c r="C598" s="19"/>
      <c r="D598" s="19"/>
      <c r="E598" s="19"/>
      <c r="L598" s="19"/>
    </row>
    <row r="599">
      <c r="B599" s="19"/>
      <c r="C599" s="19"/>
      <c r="D599" s="19"/>
      <c r="E599" s="19"/>
      <c r="L599" s="19"/>
    </row>
    <row r="600">
      <c r="B600" s="19"/>
      <c r="C600" s="19"/>
      <c r="D600" s="19"/>
      <c r="E600" s="19"/>
      <c r="L600" s="19"/>
    </row>
    <row r="601">
      <c r="B601" s="19"/>
      <c r="C601" s="19"/>
      <c r="D601" s="19"/>
      <c r="E601" s="19"/>
      <c r="L601" s="19"/>
    </row>
    <row r="602">
      <c r="B602" s="19"/>
      <c r="C602" s="19"/>
      <c r="D602" s="19"/>
      <c r="E602" s="19"/>
      <c r="L602" s="19"/>
    </row>
    <row r="603">
      <c r="B603" s="19"/>
      <c r="C603" s="19"/>
      <c r="D603" s="19"/>
      <c r="E603" s="19"/>
      <c r="L603" s="19"/>
    </row>
    <row r="604">
      <c r="B604" s="19"/>
      <c r="C604" s="19"/>
      <c r="D604" s="19"/>
      <c r="E604" s="19"/>
      <c r="L604" s="19"/>
    </row>
    <row r="605">
      <c r="B605" s="19"/>
      <c r="C605" s="19"/>
      <c r="D605" s="19"/>
      <c r="E605" s="19"/>
      <c r="L605" s="19"/>
    </row>
    <row r="606">
      <c r="B606" s="19"/>
      <c r="C606" s="19"/>
      <c r="D606" s="19"/>
      <c r="E606" s="19"/>
      <c r="L606" s="19"/>
    </row>
    <row r="607">
      <c r="B607" s="19"/>
      <c r="C607" s="19"/>
      <c r="D607" s="19"/>
      <c r="E607" s="19"/>
      <c r="L607" s="19"/>
    </row>
    <row r="608">
      <c r="B608" s="19"/>
      <c r="C608" s="19"/>
      <c r="D608" s="19"/>
      <c r="E608" s="19"/>
      <c r="L608" s="19"/>
    </row>
    <row r="609">
      <c r="B609" s="19"/>
      <c r="C609" s="19"/>
      <c r="D609" s="19"/>
      <c r="E609" s="19"/>
      <c r="L609" s="19"/>
    </row>
    <row r="610">
      <c r="B610" s="19"/>
      <c r="C610" s="19"/>
      <c r="D610" s="19"/>
      <c r="E610" s="19"/>
      <c r="L610" s="19"/>
    </row>
    <row r="611">
      <c r="B611" s="19"/>
      <c r="C611" s="19"/>
      <c r="D611" s="19"/>
      <c r="E611" s="19"/>
      <c r="L611" s="19"/>
    </row>
    <row r="612">
      <c r="B612" s="19"/>
      <c r="C612" s="19"/>
      <c r="D612" s="19"/>
      <c r="E612" s="19"/>
      <c r="L612" s="19"/>
    </row>
    <row r="613">
      <c r="B613" s="19"/>
      <c r="C613" s="19"/>
      <c r="D613" s="19"/>
      <c r="E613" s="19"/>
      <c r="L613" s="19"/>
    </row>
    <row r="614">
      <c r="B614" s="19"/>
      <c r="C614" s="19"/>
      <c r="D614" s="19"/>
      <c r="E614" s="19"/>
      <c r="L614" s="19"/>
    </row>
    <row r="615">
      <c r="B615" s="19"/>
      <c r="C615" s="19"/>
      <c r="D615" s="19"/>
      <c r="E615" s="19"/>
      <c r="L615" s="19"/>
    </row>
    <row r="616">
      <c r="B616" s="19"/>
      <c r="C616" s="19"/>
      <c r="D616" s="19"/>
      <c r="E616" s="19"/>
      <c r="L616" s="19"/>
    </row>
    <row r="617">
      <c r="B617" s="19"/>
      <c r="C617" s="19"/>
      <c r="D617" s="19"/>
      <c r="E617" s="19"/>
      <c r="L617" s="19"/>
    </row>
    <row r="618">
      <c r="B618" s="19"/>
      <c r="C618" s="19"/>
      <c r="D618" s="19"/>
      <c r="E618" s="19"/>
      <c r="L618" s="19"/>
    </row>
    <row r="619">
      <c r="B619" s="19"/>
      <c r="C619" s="19"/>
      <c r="D619" s="19"/>
      <c r="E619" s="19"/>
      <c r="L619" s="19"/>
    </row>
    <row r="620">
      <c r="B620" s="19"/>
      <c r="C620" s="19"/>
      <c r="D620" s="19"/>
      <c r="E620" s="19"/>
      <c r="L620" s="19"/>
    </row>
    <row r="621">
      <c r="B621" s="19"/>
      <c r="C621" s="19"/>
      <c r="D621" s="19"/>
      <c r="E621" s="19"/>
      <c r="L621" s="19"/>
    </row>
    <row r="622">
      <c r="B622" s="19"/>
      <c r="C622" s="19"/>
      <c r="D622" s="19"/>
      <c r="E622" s="19"/>
      <c r="L622" s="19"/>
    </row>
    <row r="623">
      <c r="B623" s="19"/>
      <c r="C623" s="19"/>
      <c r="D623" s="19"/>
      <c r="E623" s="19"/>
      <c r="L623" s="19"/>
    </row>
    <row r="624">
      <c r="B624" s="19"/>
      <c r="C624" s="19"/>
      <c r="D624" s="19"/>
      <c r="E624" s="19"/>
      <c r="L624" s="19"/>
    </row>
    <row r="625">
      <c r="B625" s="19"/>
      <c r="C625" s="19"/>
      <c r="D625" s="19"/>
      <c r="E625" s="19"/>
      <c r="L625" s="19"/>
    </row>
    <row r="626">
      <c r="B626" s="19"/>
      <c r="C626" s="19"/>
      <c r="D626" s="19"/>
      <c r="E626" s="19"/>
      <c r="L626" s="19"/>
    </row>
    <row r="627">
      <c r="B627" s="19"/>
      <c r="C627" s="19"/>
      <c r="D627" s="19"/>
      <c r="E627" s="19"/>
      <c r="L627" s="19"/>
    </row>
    <row r="628">
      <c r="B628" s="19"/>
      <c r="C628" s="19"/>
      <c r="D628" s="19"/>
      <c r="E628" s="19"/>
      <c r="L628" s="19"/>
    </row>
    <row r="629">
      <c r="B629" s="19"/>
      <c r="C629" s="19"/>
      <c r="D629" s="19"/>
      <c r="E629" s="19"/>
      <c r="L629" s="19"/>
    </row>
    <row r="630">
      <c r="B630" s="19"/>
      <c r="C630" s="19"/>
      <c r="D630" s="19"/>
      <c r="E630" s="19"/>
      <c r="L630" s="19"/>
    </row>
    <row r="631">
      <c r="B631" s="19"/>
      <c r="C631" s="19"/>
      <c r="D631" s="19"/>
      <c r="E631" s="19"/>
      <c r="L631" s="19"/>
    </row>
    <row r="632">
      <c r="B632" s="19"/>
      <c r="C632" s="19"/>
      <c r="D632" s="19"/>
      <c r="E632" s="19"/>
      <c r="L632" s="19"/>
    </row>
    <row r="633">
      <c r="B633" s="19"/>
      <c r="C633" s="19"/>
      <c r="D633" s="19"/>
      <c r="E633" s="19"/>
      <c r="L633" s="19"/>
    </row>
    <row r="634">
      <c r="B634" s="19"/>
      <c r="C634" s="19"/>
      <c r="D634" s="19"/>
      <c r="E634" s="19"/>
      <c r="L634" s="19"/>
    </row>
    <row r="635">
      <c r="B635" s="19"/>
      <c r="C635" s="19"/>
      <c r="D635" s="19"/>
      <c r="E635" s="19"/>
      <c r="L635" s="19"/>
    </row>
    <row r="636">
      <c r="B636" s="19"/>
      <c r="C636" s="19"/>
      <c r="D636" s="19"/>
      <c r="E636" s="19"/>
      <c r="L636" s="19"/>
    </row>
    <row r="637">
      <c r="B637" s="19"/>
      <c r="C637" s="19"/>
      <c r="D637" s="19"/>
      <c r="E637" s="19"/>
      <c r="L637" s="19"/>
    </row>
    <row r="638">
      <c r="B638" s="19"/>
      <c r="C638" s="19"/>
      <c r="D638" s="19"/>
      <c r="E638" s="19"/>
      <c r="L638" s="19"/>
    </row>
    <row r="639">
      <c r="B639" s="19"/>
      <c r="C639" s="19"/>
      <c r="D639" s="19"/>
      <c r="E639" s="19"/>
      <c r="L639" s="19"/>
    </row>
    <row r="640">
      <c r="B640" s="19"/>
      <c r="C640" s="19"/>
      <c r="D640" s="19"/>
      <c r="E640" s="19"/>
      <c r="L640" s="19"/>
    </row>
    <row r="641">
      <c r="B641" s="19"/>
      <c r="C641" s="19"/>
      <c r="D641" s="19"/>
      <c r="E641" s="19"/>
      <c r="L641" s="19"/>
    </row>
    <row r="642">
      <c r="B642" s="19"/>
      <c r="C642" s="19"/>
      <c r="D642" s="19"/>
      <c r="E642" s="19"/>
      <c r="L642" s="19"/>
    </row>
    <row r="643">
      <c r="B643" s="19"/>
      <c r="C643" s="19"/>
      <c r="D643" s="19"/>
      <c r="E643" s="19"/>
      <c r="L643" s="19"/>
    </row>
    <row r="644">
      <c r="B644" s="19"/>
      <c r="C644" s="19"/>
      <c r="D644" s="19"/>
      <c r="E644" s="19"/>
      <c r="L644" s="19"/>
    </row>
    <row r="645">
      <c r="B645" s="19"/>
      <c r="C645" s="19"/>
      <c r="D645" s="19"/>
      <c r="E645" s="19"/>
      <c r="L645" s="19"/>
    </row>
    <row r="646">
      <c r="B646" s="19"/>
      <c r="C646" s="19"/>
      <c r="D646" s="19"/>
      <c r="E646" s="19"/>
      <c r="L646" s="19"/>
    </row>
    <row r="647">
      <c r="B647" s="19"/>
      <c r="C647" s="19"/>
      <c r="D647" s="19"/>
      <c r="E647" s="19"/>
      <c r="L647" s="19"/>
    </row>
    <row r="648">
      <c r="B648" s="19"/>
      <c r="C648" s="19"/>
      <c r="D648" s="19"/>
      <c r="E648" s="19"/>
      <c r="L648" s="19"/>
    </row>
    <row r="649">
      <c r="B649" s="19"/>
      <c r="C649" s="19"/>
      <c r="D649" s="19"/>
      <c r="E649" s="19"/>
      <c r="L649" s="19"/>
    </row>
    <row r="650">
      <c r="B650" s="19"/>
      <c r="C650" s="19"/>
      <c r="D650" s="19"/>
      <c r="E650" s="19"/>
      <c r="L650" s="19"/>
    </row>
    <row r="651">
      <c r="B651" s="19"/>
      <c r="C651" s="19"/>
      <c r="D651" s="19"/>
      <c r="E651" s="19"/>
      <c r="L651" s="19"/>
    </row>
    <row r="652">
      <c r="B652" s="19"/>
      <c r="C652" s="19"/>
      <c r="D652" s="19"/>
      <c r="E652" s="19"/>
      <c r="L652" s="19"/>
    </row>
    <row r="653">
      <c r="B653" s="19"/>
      <c r="C653" s="19"/>
      <c r="D653" s="19"/>
      <c r="E653" s="19"/>
      <c r="L653" s="19"/>
    </row>
    <row r="654">
      <c r="B654" s="19"/>
      <c r="C654" s="19"/>
      <c r="D654" s="19"/>
      <c r="E654" s="19"/>
      <c r="L654" s="19"/>
    </row>
    <row r="655">
      <c r="B655" s="19"/>
      <c r="C655" s="19"/>
      <c r="D655" s="19"/>
      <c r="E655" s="19"/>
      <c r="L655" s="19"/>
    </row>
    <row r="656">
      <c r="B656" s="19"/>
      <c r="C656" s="19"/>
      <c r="D656" s="19"/>
      <c r="E656" s="19"/>
      <c r="L656" s="19"/>
    </row>
    <row r="657">
      <c r="B657" s="19"/>
      <c r="C657" s="19"/>
      <c r="D657" s="19"/>
      <c r="E657" s="19"/>
      <c r="L657" s="19"/>
    </row>
    <row r="658">
      <c r="B658" s="19"/>
      <c r="C658" s="19"/>
      <c r="D658" s="19"/>
      <c r="E658" s="19"/>
      <c r="L658" s="19"/>
    </row>
    <row r="659">
      <c r="B659" s="19"/>
      <c r="C659" s="19"/>
      <c r="D659" s="19"/>
      <c r="E659" s="19"/>
      <c r="L659" s="19"/>
    </row>
    <row r="660">
      <c r="B660" s="19"/>
      <c r="C660" s="19"/>
      <c r="D660" s="19"/>
      <c r="E660" s="19"/>
      <c r="L660" s="19"/>
    </row>
    <row r="661">
      <c r="B661" s="19"/>
      <c r="C661" s="19"/>
      <c r="D661" s="19"/>
      <c r="E661" s="19"/>
      <c r="L661" s="19"/>
    </row>
    <row r="662">
      <c r="B662" s="19"/>
      <c r="C662" s="19"/>
      <c r="D662" s="19"/>
      <c r="E662" s="19"/>
      <c r="L662" s="19"/>
    </row>
    <row r="663">
      <c r="B663" s="19"/>
      <c r="C663" s="19"/>
      <c r="D663" s="19"/>
      <c r="E663" s="19"/>
      <c r="L663" s="19"/>
    </row>
    <row r="664">
      <c r="B664" s="19"/>
      <c r="C664" s="19"/>
      <c r="D664" s="19"/>
      <c r="E664" s="19"/>
      <c r="L664" s="19"/>
    </row>
    <row r="665">
      <c r="B665" s="19"/>
      <c r="C665" s="19"/>
      <c r="D665" s="19"/>
      <c r="E665" s="19"/>
      <c r="L665" s="19"/>
    </row>
    <row r="666">
      <c r="B666" s="19"/>
      <c r="C666" s="19"/>
      <c r="D666" s="19"/>
      <c r="E666" s="19"/>
      <c r="L666" s="19"/>
    </row>
    <row r="667">
      <c r="B667" s="19"/>
      <c r="C667" s="19"/>
      <c r="D667" s="19"/>
      <c r="E667" s="19"/>
      <c r="L667" s="19"/>
    </row>
    <row r="668">
      <c r="B668" s="19"/>
      <c r="C668" s="19"/>
      <c r="D668" s="19"/>
      <c r="E668" s="19"/>
      <c r="L668" s="19"/>
    </row>
    <row r="669">
      <c r="B669" s="19"/>
      <c r="C669" s="19"/>
      <c r="D669" s="19"/>
      <c r="E669" s="19"/>
      <c r="L669" s="19"/>
    </row>
    <row r="670">
      <c r="B670" s="19"/>
      <c r="C670" s="19"/>
      <c r="D670" s="19"/>
      <c r="E670" s="19"/>
      <c r="L670" s="19"/>
    </row>
    <row r="671">
      <c r="B671" s="19"/>
      <c r="C671" s="19"/>
      <c r="D671" s="19"/>
      <c r="E671" s="19"/>
      <c r="L671" s="19"/>
    </row>
    <row r="672">
      <c r="B672" s="19"/>
      <c r="C672" s="19"/>
      <c r="D672" s="19"/>
      <c r="E672" s="19"/>
      <c r="L672" s="19"/>
    </row>
    <row r="673">
      <c r="B673" s="19"/>
      <c r="C673" s="19"/>
      <c r="D673" s="19"/>
      <c r="E673" s="19"/>
      <c r="L673" s="19"/>
    </row>
    <row r="674">
      <c r="B674" s="19"/>
      <c r="C674" s="19"/>
      <c r="D674" s="19"/>
      <c r="E674" s="19"/>
      <c r="L674" s="19"/>
    </row>
    <row r="675">
      <c r="B675" s="19"/>
      <c r="C675" s="19"/>
      <c r="D675" s="19"/>
      <c r="E675" s="19"/>
      <c r="L675" s="19"/>
    </row>
    <row r="676">
      <c r="B676" s="19"/>
      <c r="C676" s="19"/>
      <c r="D676" s="19"/>
      <c r="E676" s="19"/>
      <c r="L676" s="19"/>
    </row>
    <row r="677">
      <c r="B677" s="19"/>
      <c r="C677" s="19"/>
      <c r="D677" s="19"/>
      <c r="E677" s="19"/>
      <c r="L677" s="19"/>
    </row>
    <row r="678">
      <c r="B678" s="19"/>
      <c r="C678" s="19"/>
      <c r="D678" s="19"/>
      <c r="E678" s="19"/>
      <c r="L678" s="19"/>
    </row>
    <row r="679">
      <c r="B679" s="19"/>
      <c r="C679" s="19"/>
      <c r="D679" s="19"/>
      <c r="E679" s="19"/>
      <c r="L679" s="19"/>
    </row>
    <row r="680">
      <c r="B680" s="19"/>
      <c r="C680" s="19"/>
      <c r="D680" s="19"/>
      <c r="E680" s="19"/>
      <c r="L680" s="19"/>
    </row>
    <row r="681">
      <c r="B681" s="19"/>
      <c r="C681" s="19"/>
      <c r="D681" s="19"/>
      <c r="E681" s="19"/>
      <c r="L681" s="19"/>
    </row>
    <row r="682">
      <c r="B682" s="19"/>
      <c r="C682" s="19"/>
      <c r="D682" s="19"/>
      <c r="E682" s="19"/>
      <c r="L682" s="19"/>
    </row>
    <row r="683">
      <c r="B683" s="19"/>
      <c r="C683" s="19"/>
      <c r="D683" s="19"/>
      <c r="E683" s="19"/>
      <c r="L683" s="19"/>
    </row>
    <row r="684">
      <c r="B684" s="19"/>
      <c r="C684" s="19"/>
      <c r="D684" s="19"/>
      <c r="E684" s="19"/>
      <c r="L684" s="19"/>
    </row>
    <row r="685">
      <c r="B685" s="19"/>
      <c r="C685" s="19"/>
      <c r="D685" s="19"/>
      <c r="E685" s="19"/>
      <c r="L685" s="19"/>
    </row>
    <row r="686">
      <c r="B686" s="19"/>
      <c r="C686" s="19"/>
      <c r="D686" s="19"/>
      <c r="E686" s="19"/>
      <c r="L686" s="19"/>
    </row>
    <row r="687">
      <c r="B687" s="19"/>
      <c r="C687" s="19"/>
      <c r="D687" s="19"/>
      <c r="E687" s="19"/>
      <c r="L687" s="19"/>
    </row>
    <row r="688">
      <c r="B688" s="19"/>
      <c r="C688" s="19"/>
      <c r="D688" s="19"/>
      <c r="E688" s="19"/>
      <c r="L688" s="19"/>
    </row>
    <row r="689">
      <c r="B689" s="19"/>
      <c r="C689" s="19"/>
      <c r="D689" s="19"/>
      <c r="E689" s="19"/>
      <c r="L689" s="19"/>
    </row>
    <row r="690">
      <c r="B690" s="19"/>
      <c r="C690" s="19"/>
      <c r="D690" s="19"/>
      <c r="E690" s="19"/>
      <c r="L690" s="19"/>
    </row>
    <row r="691">
      <c r="B691" s="19"/>
      <c r="C691" s="19"/>
      <c r="D691" s="19"/>
      <c r="E691" s="19"/>
      <c r="L691" s="19"/>
    </row>
    <row r="692">
      <c r="B692" s="19"/>
      <c r="C692" s="19"/>
      <c r="D692" s="19"/>
      <c r="E692" s="19"/>
      <c r="L692" s="19"/>
    </row>
    <row r="693">
      <c r="B693" s="19"/>
      <c r="C693" s="19"/>
      <c r="D693" s="19"/>
      <c r="E693" s="19"/>
      <c r="L693" s="19"/>
    </row>
    <row r="694">
      <c r="B694" s="19"/>
      <c r="C694" s="19"/>
      <c r="D694" s="19"/>
      <c r="E694" s="19"/>
      <c r="L694" s="19"/>
    </row>
    <row r="695">
      <c r="B695" s="19"/>
      <c r="C695" s="19"/>
      <c r="D695" s="19"/>
      <c r="E695" s="19"/>
      <c r="L695" s="19"/>
    </row>
    <row r="696">
      <c r="B696" s="19"/>
      <c r="C696" s="19"/>
      <c r="D696" s="19"/>
      <c r="E696" s="19"/>
      <c r="L696" s="19"/>
    </row>
    <row r="697">
      <c r="B697" s="19"/>
      <c r="C697" s="19"/>
      <c r="D697" s="19"/>
      <c r="E697" s="19"/>
      <c r="L697" s="19"/>
    </row>
    <row r="698">
      <c r="B698" s="19"/>
      <c r="C698" s="19"/>
      <c r="D698" s="19"/>
      <c r="E698" s="19"/>
      <c r="L698" s="19"/>
    </row>
    <row r="699">
      <c r="B699" s="19"/>
      <c r="C699" s="19"/>
      <c r="D699" s="19"/>
      <c r="E699" s="19"/>
      <c r="L699" s="19"/>
    </row>
    <row r="700">
      <c r="B700" s="19"/>
      <c r="C700" s="19"/>
      <c r="D700" s="19"/>
      <c r="E700" s="19"/>
      <c r="L700" s="19"/>
    </row>
    <row r="701">
      <c r="B701" s="19"/>
      <c r="C701" s="19"/>
      <c r="D701" s="19"/>
      <c r="E701" s="19"/>
      <c r="L701" s="19"/>
    </row>
    <row r="702">
      <c r="B702" s="19"/>
      <c r="C702" s="19"/>
      <c r="D702" s="19"/>
      <c r="E702" s="19"/>
      <c r="L702" s="19"/>
    </row>
    <row r="703">
      <c r="B703" s="19"/>
      <c r="C703" s="19"/>
      <c r="D703" s="19"/>
      <c r="E703" s="19"/>
      <c r="L703" s="19"/>
    </row>
    <row r="704">
      <c r="B704" s="19"/>
      <c r="C704" s="19"/>
      <c r="D704" s="19"/>
      <c r="E704" s="19"/>
      <c r="L704" s="19"/>
    </row>
    <row r="705">
      <c r="B705" s="19"/>
      <c r="C705" s="19"/>
      <c r="D705" s="19"/>
      <c r="E705" s="19"/>
      <c r="L705" s="19"/>
    </row>
    <row r="706">
      <c r="B706" s="19"/>
      <c r="C706" s="19"/>
      <c r="D706" s="19"/>
      <c r="E706" s="19"/>
      <c r="L706" s="19"/>
    </row>
    <row r="707">
      <c r="B707" s="19"/>
      <c r="C707" s="19"/>
      <c r="D707" s="19"/>
      <c r="E707" s="19"/>
      <c r="L707" s="19"/>
    </row>
    <row r="708">
      <c r="B708" s="19"/>
      <c r="C708" s="19"/>
      <c r="D708" s="19"/>
      <c r="E708" s="19"/>
      <c r="L708" s="19"/>
    </row>
    <row r="709">
      <c r="B709" s="19"/>
      <c r="C709" s="19"/>
      <c r="D709" s="19"/>
      <c r="E709" s="19"/>
      <c r="L709" s="19"/>
    </row>
    <row r="710">
      <c r="B710" s="19"/>
      <c r="C710" s="19"/>
      <c r="D710" s="19"/>
      <c r="E710" s="19"/>
      <c r="L710" s="19"/>
    </row>
    <row r="711">
      <c r="B711" s="19"/>
      <c r="C711" s="19"/>
      <c r="D711" s="19"/>
      <c r="E711" s="19"/>
      <c r="L711" s="19"/>
    </row>
    <row r="712">
      <c r="B712" s="19"/>
      <c r="C712" s="19"/>
      <c r="D712" s="19"/>
      <c r="E712" s="19"/>
      <c r="L712" s="19"/>
    </row>
    <row r="713">
      <c r="B713" s="19"/>
      <c r="C713" s="19"/>
      <c r="D713" s="19"/>
      <c r="E713" s="19"/>
      <c r="L713" s="19"/>
    </row>
    <row r="714">
      <c r="B714" s="19"/>
      <c r="C714" s="19"/>
      <c r="D714" s="19"/>
      <c r="E714" s="19"/>
      <c r="L714" s="19"/>
    </row>
    <row r="715">
      <c r="B715" s="19"/>
      <c r="C715" s="19"/>
      <c r="D715" s="19"/>
      <c r="E715" s="19"/>
      <c r="L715" s="19"/>
    </row>
    <row r="716">
      <c r="B716" s="19"/>
      <c r="C716" s="19"/>
      <c r="D716" s="19"/>
      <c r="E716" s="19"/>
      <c r="L716" s="19"/>
    </row>
    <row r="717">
      <c r="B717" s="19"/>
      <c r="C717" s="19"/>
      <c r="D717" s="19"/>
      <c r="E717" s="19"/>
      <c r="L717" s="19"/>
    </row>
    <row r="718">
      <c r="B718" s="19"/>
      <c r="C718" s="19"/>
      <c r="D718" s="19"/>
      <c r="E718" s="19"/>
      <c r="L718" s="19"/>
    </row>
    <row r="719">
      <c r="B719" s="19"/>
      <c r="C719" s="19"/>
      <c r="D719" s="19"/>
      <c r="E719" s="19"/>
      <c r="L719" s="19"/>
    </row>
    <row r="720">
      <c r="B720" s="19"/>
      <c r="C720" s="19"/>
      <c r="D720" s="19"/>
      <c r="E720" s="19"/>
      <c r="L720" s="19"/>
    </row>
    <row r="721">
      <c r="B721" s="19"/>
      <c r="C721" s="19"/>
      <c r="D721" s="19"/>
      <c r="E721" s="19"/>
      <c r="L721" s="19"/>
    </row>
    <row r="722">
      <c r="B722" s="19"/>
      <c r="C722" s="19"/>
      <c r="D722" s="19"/>
      <c r="E722" s="19"/>
      <c r="L722" s="19"/>
    </row>
    <row r="723">
      <c r="B723" s="19"/>
      <c r="C723" s="19"/>
      <c r="D723" s="19"/>
      <c r="E723" s="19"/>
      <c r="L723" s="19"/>
    </row>
    <row r="724">
      <c r="B724" s="19"/>
      <c r="C724" s="19"/>
      <c r="D724" s="19"/>
      <c r="E724" s="19"/>
      <c r="L724" s="19"/>
    </row>
    <row r="725">
      <c r="B725" s="19"/>
      <c r="C725" s="19"/>
      <c r="D725" s="19"/>
      <c r="E725" s="19"/>
      <c r="L725" s="19"/>
    </row>
    <row r="726">
      <c r="B726" s="19"/>
      <c r="C726" s="19"/>
      <c r="D726" s="19"/>
      <c r="E726" s="19"/>
      <c r="L726" s="19"/>
    </row>
    <row r="727">
      <c r="B727" s="19"/>
      <c r="C727" s="19"/>
      <c r="D727" s="19"/>
      <c r="E727" s="19"/>
      <c r="L727" s="19"/>
    </row>
    <row r="728">
      <c r="B728" s="19"/>
      <c r="C728" s="19"/>
      <c r="D728" s="19"/>
      <c r="E728" s="19"/>
      <c r="L728" s="19"/>
    </row>
    <row r="729">
      <c r="B729" s="19"/>
      <c r="C729" s="19"/>
      <c r="D729" s="19"/>
      <c r="E729" s="19"/>
      <c r="L729" s="19"/>
    </row>
    <row r="730">
      <c r="B730" s="19"/>
      <c r="C730" s="19"/>
      <c r="D730" s="19"/>
      <c r="E730" s="19"/>
      <c r="L730" s="19"/>
    </row>
    <row r="731">
      <c r="B731" s="19"/>
      <c r="C731" s="19"/>
      <c r="D731" s="19"/>
      <c r="E731" s="19"/>
      <c r="L731" s="19"/>
    </row>
    <row r="732">
      <c r="B732" s="19"/>
      <c r="C732" s="19"/>
      <c r="D732" s="19"/>
      <c r="E732" s="19"/>
      <c r="L732" s="19"/>
    </row>
    <row r="733">
      <c r="B733" s="19"/>
      <c r="C733" s="19"/>
      <c r="D733" s="19"/>
      <c r="E733" s="19"/>
      <c r="L733" s="19"/>
    </row>
    <row r="734">
      <c r="B734" s="19"/>
      <c r="C734" s="19"/>
      <c r="D734" s="19"/>
      <c r="E734" s="19"/>
      <c r="L734" s="19"/>
    </row>
    <row r="735">
      <c r="B735" s="19"/>
      <c r="C735" s="19"/>
      <c r="D735" s="19"/>
      <c r="E735" s="19"/>
      <c r="L735" s="19"/>
    </row>
    <row r="736">
      <c r="B736" s="19"/>
      <c r="C736" s="19"/>
      <c r="D736" s="19"/>
      <c r="E736" s="19"/>
      <c r="L736" s="19"/>
    </row>
    <row r="737">
      <c r="B737" s="19"/>
      <c r="C737" s="19"/>
      <c r="D737" s="19"/>
      <c r="E737" s="19"/>
      <c r="L737" s="19"/>
    </row>
    <row r="738">
      <c r="B738" s="19"/>
      <c r="C738" s="19"/>
      <c r="D738" s="19"/>
      <c r="E738" s="19"/>
      <c r="L738" s="19"/>
    </row>
    <row r="739">
      <c r="B739" s="19"/>
      <c r="C739" s="19"/>
      <c r="D739" s="19"/>
      <c r="E739" s="19"/>
      <c r="L739" s="19"/>
    </row>
    <row r="740">
      <c r="B740" s="19"/>
      <c r="C740" s="19"/>
      <c r="D740" s="19"/>
      <c r="E740" s="19"/>
      <c r="L740" s="19"/>
    </row>
    <row r="741">
      <c r="B741" s="19"/>
      <c r="C741" s="19"/>
      <c r="D741" s="19"/>
      <c r="E741" s="19"/>
      <c r="L741" s="19"/>
    </row>
    <row r="742">
      <c r="B742" s="19"/>
      <c r="C742" s="19"/>
      <c r="D742" s="19"/>
      <c r="E742" s="19"/>
      <c r="L742" s="19"/>
    </row>
    <row r="743">
      <c r="B743" s="19"/>
      <c r="C743" s="19"/>
      <c r="D743" s="19"/>
      <c r="E743" s="19"/>
      <c r="L743" s="19"/>
    </row>
    <row r="744">
      <c r="B744" s="19"/>
      <c r="C744" s="19"/>
      <c r="D744" s="19"/>
      <c r="E744" s="19"/>
      <c r="L744" s="19"/>
    </row>
    <row r="745">
      <c r="B745" s="19"/>
      <c r="C745" s="19"/>
      <c r="D745" s="19"/>
      <c r="E745" s="19"/>
      <c r="L745" s="19"/>
    </row>
    <row r="746">
      <c r="B746" s="19"/>
      <c r="C746" s="19"/>
      <c r="D746" s="19"/>
      <c r="E746" s="19"/>
      <c r="L746" s="19"/>
    </row>
    <row r="747">
      <c r="B747" s="19"/>
      <c r="C747" s="19"/>
      <c r="D747" s="19"/>
      <c r="E747" s="19"/>
      <c r="L747" s="19"/>
    </row>
    <row r="748">
      <c r="B748" s="19"/>
      <c r="C748" s="19"/>
      <c r="D748" s="19"/>
      <c r="E748" s="19"/>
      <c r="L748" s="19"/>
    </row>
    <row r="749">
      <c r="B749" s="19"/>
      <c r="C749" s="19"/>
      <c r="D749" s="19"/>
      <c r="E749" s="19"/>
      <c r="L749" s="19"/>
    </row>
    <row r="750">
      <c r="B750" s="19"/>
      <c r="C750" s="19"/>
      <c r="D750" s="19"/>
      <c r="E750" s="19"/>
      <c r="L750" s="19"/>
    </row>
    <row r="751">
      <c r="B751" s="19"/>
      <c r="C751" s="19"/>
      <c r="D751" s="19"/>
      <c r="E751" s="19"/>
      <c r="L751" s="19"/>
    </row>
    <row r="752">
      <c r="B752" s="19"/>
      <c r="C752" s="19"/>
      <c r="D752" s="19"/>
      <c r="E752" s="19"/>
      <c r="L752" s="19"/>
    </row>
    <row r="753">
      <c r="B753" s="19"/>
      <c r="C753" s="19"/>
      <c r="D753" s="19"/>
      <c r="E753" s="19"/>
      <c r="L753" s="19"/>
    </row>
    <row r="754">
      <c r="B754" s="19"/>
      <c r="C754" s="19"/>
      <c r="D754" s="19"/>
      <c r="E754" s="19"/>
      <c r="L754" s="19"/>
    </row>
    <row r="755">
      <c r="B755" s="19"/>
      <c r="C755" s="19"/>
      <c r="D755" s="19"/>
      <c r="E755" s="19"/>
      <c r="L755" s="19"/>
    </row>
    <row r="756">
      <c r="B756" s="19"/>
      <c r="C756" s="19"/>
      <c r="D756" s="19"/>
      <c r="E756" s="19"/>
      <c r="L756" s="19"/>
    </row>
    <row r="757">
      <c r="B757" s="19"/>
      <c r="C757" s="19"/>
      <c r="D757" s="19"/>
      <c r="E757" s="19"/>
      <c r="L757" s="19"/>
    </row>
    <row r="758">
      <c r="B758" s="19"/>
      <c r="C758" s="19"/>
      <c r="D758" s="19"/>
      <c r="E758" s="19"/>
      <c r="L758" s="19"/>
    </row>
    <row r="759">
      <c r="B759" s="19"/>
      <c r="C759" s="19"/>
      <c r="D759" s="19"/>
      <c r="E759" s="19"/>
      <c r="L759" s="19"/>
    </row>
    <row r="760">
      <c r="B760" s="19"/>
      <c r="C760" s="19"/>
      <c r="D760" s="19"/>
      <c r="E760" s="19"/>
      <c r="L760" s="19"/>
    </row>
    <row r="761">
      <c r="B761" s="19"/>
      <c r="C761" s="19"/>
      <c r="D761" s="19"/>
      <c r="E761" s="19"/>
      <c r="L761" s="19"/>
    </row>
    <row r="762">
      <c r="B762" s="19"/>
      <c r="C762" s="19"/>
      <c r="D762" s="19"/>
      <c r="E762" s="19"/>
      <c r="L762" s="19"/>
    </row>
    <row r="763">
      <c r="B763" s="19"/>
      <c r="C763" s="19"/>
      <c r="D763" s="19"/>
      <c r="E763" s="19"/>
      <c r="L763" s="19"/>
    </row>
    <row r="764">
      <c r="B764" s="19"/>
      <c r="C764" s="19"/>
      <c r="D764" s="19"/>
      <c r="E764" s="19"/>
      <c r="L764" s="19"/>
    </row>
    <row r="765">
      <c r="B765" s="19"/>
      <c r="C765" s="19"/>
      <c r="D765" s="19"/>
      <c r="E765" s="19"/>
      <c r="L765" s="19"/>
    </row>
    <row r="766">
      <c r="B766" s="19"/>
      <c r="C766" s="19"/>
      <c r="D766" s="19"/>
      <c r="E766" s="19"/>
      <c r="L766" s="19"/>
    </row>
    <row r="767">
      <c r="B767" s="19"/>
      <c r="C767" s="19"/>
      <c r="D767" s="19"/>
      <c r="E767" s="19"/>
      <c r="L767" s="19"/>
    </row>
    <row r="768">
      <c r="B768" s="19"/>
      <c r="C768" s="19"/>
      <c r="D768" s="19"/>
      <c r="E768" s="19"/>
      <c r="L768" s="19"/>
    </row>
    <row r="769">
      <c r="B769" s="19"/>
      <c r="C769" s="19"/>
      <c r="D769" s="19"/>
      <c r="E769" s="19"/>
      <c r="L769" s="19"/>
    </row>
    <row r="770">
      <c r="B770" s="19"/>
      <c r="C770" s="19"/>
      <c r="D770" s="19"/>
      <c r="E770" s="19"/>
      <c r="L770" s="19"/>
    </row>
    <row r="771">
      <c r="B771" s="19"/>
      <c r="C771" s="19"/>
      <c r="D771" s="19"/>
      <c r="E771" s="19"/>
      <c r="L771" s="19"/>
    </row>
    <row r="772">
      <c r="B772" s="19"/>
      <c r="C772" s="19"/>
      <c r="D772" s="19"/>
      <c r="E772" s="19"/>
      <c r="L772" s="19"/>
    </row>
    <row r="773">
      <c r="B773" s="19"/>
      <c r="C773" s="19"/>
      <c r="D773" s="19"/>
      <c r="E773" s="19"/>
      <c r="L773" s="19"/>
    </row>
    <row r="774">
      <c r="B774" s="19"/>
      <c r="C774" s="19"/>
      <c r="D774" s="19"/>
      <c r="E774" s="19"/>
      <c r="L774" s="19"/>
    </row>
    <row r="775">
      <c r="B775" s="19"/>
      <c r="C775" s="19"/>
      <c r="D775" s="19"/>
      <c r="E775" s="19"/>
      <c r="L775" s="19"/>
    </row>
    <row r="776">
      <c r="B776" s="19"/>
      <c r="C776" s="19"/>
      <c r="D776" s="19"/>
      <c r="E776" s="19"/>
      <c r="L776" s="19"/>
    </row>
    <row r="777">
      <c r="B777" s="19"/>
      <c r="C777" s="19"/>
      <c r="D777" s="19"/>
      <c r="E777" s="19"/>
      <c r="L777" s="19"/>
    </row>
    <row r="778">
      <c r="B778" s="19"/>
      <c r="C778" s="19"/>
      <c r="D778" s="19"/>
      <c r="E778" s="19"/>
      <c r="L778" s="19"/>
    </row>
    <row r="779">
      <c r="B779" s="19"/>
      <c r="C779" s="19"/>
      <c r="D779" s="19"/>
      <c r="E779" s="19"/>
      <c r="L779" s="19"/>
    </row>
    <row r="780">
      <c r="B780" s="19"/>
      <c r="C780" s="19"/>
      <c r="D780" s="19"/>
      <c r="E780" s="19"/>
      <c r="L780" s="19"/>
    </row>
    <row r="781">
      <c r="B781" s="19"/>
      <c r="C781" s="19"/>
      <c r="D781" s="19"/>
      <c r="E781" s="19"/>
      <c r="L781" s="19"/>
    </row>
    <row r="782">
      <c r="B782" s="19"/>
      <c r="C782" s="19"/>
      <c r="D782" s="19"/>
      <c r="E782" s="19"/>
      <c r="L782" s="19"/>
    </row>
    <row r="783">
      <c r="B783" s="19"/>
      <c r="C783" s="19"/>
      <c r="D783" s="19"/>
      <c r="E783" s="19"/>
      <c r="L783" s="19"/>
    </row>
    <row r="784">
      <c r="B784" s="19"/>
      <c r="C784" s="19"/>
      <c r="D784" s="19"/>
      <c r="E784" s="19"/>
      <c r="L784" s="19"/>
    </row>
    <row r="785">
      <c r="B785" s="19"/>
      <c r="C785" s="19"/>
      <c r="D785" s="19"/>
      <c r="E785" s="19"/>
      <c r="L785" s="19"/>
    </row>
    <row r="786">
      <c r="B786" s="19"/>
      <c r="C786" s="19"/>
      <c r="D786" s="19"/>
      <c r="E786" s="19"/>
      <c r="L786" s="19"/>
    </row>
    <row r="787">
      <c r="B787" s="19"/>
      <c r="C787" s="19"/>
      <c r="D787" s="19"/>
      <c r="E787" s="19"/>
      <c r="L787" s="19"/>
    </row>
    <row r="788">
      <c r="B788" s="19"/>
      <c r="C788" s="19"/>
      <c r="D788" s="19"/>
      <c r="E788" s="19"/>
      <c r="L788" s="19"/>
    </row>
    <row r="789">
      <c r="B789" s="19"/>
      <c r="C789" s="19"/>
      <c r="D789" s="19"/>
      <c r="E789" s="19"/>
      <c r="L789" s="19"/>
    </row>
    <row r="790">
      <c r="B790" s="19"/>
      <c r="C790" s="19"/>
      <c r="D790" s="19"/>
      <c r="E790" s="19"/>
      <c r="L790" s="19"/>
    </row>
    <row r="791">
      <c r="B791" s="19"/>
      <c r="C791" s="19"/>
      <c r="D791" s="19"/>
      <c r="E791" s="19"/>
      <c r="L791" s="19"/>
    </row>
    <row r="792">
      <c r="B792" s="19"/>
      <c r="C792" s="19"/>
      <c r="D792" s="19"/>
      <c r="E792" s="19"/>
      <c r="L792" s="19"/>
    </row>
    <row r="793">
      <c r="B793" s="19"/>
      <c r="C793" s="19"/>
      <c r="D793" s="19"/>
      <c r="E793" s="19"/>
      <c r="L793" s="19"/>
    </row>
    <row r="794">
      <c r="B794" s="19"/>
      <c r="C794" s="19"/>
      <c r="D794" s="19"/>
      <c r="E794" s="19"/>
      <c r="L794" s="19"/>
    </row>
    <row r="795">
      <c r="B795" s="19"/>
      <c r="C795" s="19"/>
      <c r="D795" s="19"/>
      <c r="E795" s="19"/>
      <c r="L795" s="19"/>
    </row>
    <row r="796">
      <c r="B796" s="19"/>
      <c r="C796" s="19"/>
      <c r="D796" s="19"/>
      <c r="E796" s="19"/>
      <c r="L796" s="19"/>
    </row>
    <row r="797">
      <c r="B797" s="19"/>
      <c r="C797" s="19"/>
      <c r="D797" s="19"/>
      <c r="E797" s="19"/>
      <c r="L797" s="19"/>
    </row>
    <row r="798">
      <c r="B798" s="19"/>
      <c r="C798" s="19"/>
      <c r="D798" s="19"/>
      <c r="E798" s="19"/>
      <c r="L798" s="19"/>
    </row>
    <row r="799">
      <c r="B799" s="19"/>
      <c r="C799" s="19"/>
      <c r="D799" s="19"/>
      <c r="E799" s="19"/>
      <c r="L799" s="19"/>
    </row>
    <row r="800">
      <c r="B800" s="19"/>
      <c r="C800" s="19"/>
      <c r="D800" s="19"/>
      <c r="E800" s="19"/>
      <c r="L800" s="19"/>
    </row>
    <row r="801">
      <c r="B801" s="19"/>
      <c r="C801" s="19"/>
      <c r="D801" s="19"/>
      <c r="E801" s="19"/>
      <c r="L801" s="19"/>
    </row>
    <row r="802">
      <c r="B802" s="19"/>
      <c r="C802" s="19"/>
      <c r="D802" s="19"/>
      <c r="E802" s="19"/>
      <c r="L802" s="19"/>
    </row>
    <row r="803">
      <c r="B803" s="19"/>
      <c r="C803" s="19"/>
      <c r="D803" s="19"/>
      <c r="E803" s="19"/>
      <c r="L803" s="19"/>
    </row>
    <row r="804">
      <c r="B804" s="19"/>
      <c r="C804" s="19"/>
      <c r="D804" s="19"/>
      <c r="E804" s="19"/>
      <c r="L804" s="19"/>
    </row>
    <row r="805">
      <c r="B805" s="19"/>
      <c r="C805" s="19"/>
      <c r="D805" s="19"/>
      <c r="E805" s="19"/>
      <c r="L805" s="19"/>
    </row>
    <row r="806">
      <c r="B806" s="19"/>
      <c r="C806" s="19"/>
      <c r="D806" s="19"/>
      <c r="E806" s="19"/>
      <c r="L806" s="19"/>
    </row>
    <row r="807">
      <c r="B807" s="19"/>
      <c r="C807" s="19"/>
      <c r="D807" s="19"/>
      <c r="E807" s="19"/>
      <c r="L807" s="19"/>
    </row>
    <row r="808">
      <c r="B808" s="19"/>
      <c r="C808" s="19"/>
      <c r="D808" s="19"/>
      <c r="E808" s="19"/>
      <c r="L808" s="19"/>
    </row>
    <row r="809">
      <c r="B809" s="19"/>
      <c r="C809" s="19"/>
      <c r="D809" s="19"/>
      <c r="E809" s="19"/>
      <c r="L809" s="19"/>
    </row>
    <row r="810">
      <c r="B810" s="19"/>
      <c r="C810" s="19"/>
      <c r="D810" s="19"/>
      <c r="E810" s="19"/>
      <c r="L810" s="19"/>
    </row>
    <row r="811">
      <c r="B811" s="19"/>
      <c r="C811" s="19"/>
      <c r="D811" s="19"/>
      <c r="E811" s="19"/>
      <c r="L811" s="19"/>
    </row>
    <row r="812">
      <c r="B812" s="19"/>
      <c r="C812" s="19"/>
      <c r="D812" s="19"/>
      <c r="E812" s="19"/>
      <c r="L812" s="19"/>
    </row>
    <row r="813">
      <c r="B813" s="19"/>
      <c r="C813" s="19"/>
      <c r="D813" s="19"/>
      <c r="E813" s="19"/>
      <c r="L813" s="19"/>
    </row>
    <row r="814">
      <c r="B814" s="19"/>
      <c r="C814" s="19"/>
      <c r="D814" s="19"/>
      <c r="E814" s="19"/>
      <c r="L814" s="19"/>
    </row>
    <row r="815">
      <c r="B815" s="19"/>
      <c r="C815" s="19"/>
      <c r="D815" s="19"/>
      <c r="E815" s="19"/>
      <c r="L815" s="19"/>
    </row>
    <row r="816">
      <c r="B816" s="19"/>
      <c r="C816" s="19"/>
      <c r="D816" s="19"/>
      <c r="E816" s="19"/>
      <c r="L816" s="19"/>
    </row>
    <row r="817">
      <c r="B817" s="19"/>
      <c r="C817" s="19"/>
      <c r="D817" s="19"/>
      <c r="E817" s="19"/>
      <c r="L817" s="19"/>
    </row>
    <row r="818">
      <c r="B818" s="19"/>
      <c r="C818" s="19"/>
      <c r="D818" s="19"/>
      <c r="E818" s="19"/>
      <c r="L818" s="19"/>
    </row>
    <row r="819">
      <c r="B819" s="19"/>
      <c r="C819" s="19"/>
      <c r="D819" s="19"/>
      <c r="E819" s="19"/>
      <c r="L819" s="19"/>
    </row>
    <row r="820">
      <c r="B820" s="19"/>
      <c r="C820" s="19"/>
      <c r="D820" s="19"/>
      <c r="E820" s="19"/>
      <c r="L820" s="19"/>
    </row>
    <row r="821">
      <c r="B821" s="19"/>
      <c r="C821" s="19"/>
      <c r="D821" s="19"/>
      <c r="E821" s="19"/>
      <c r="L821" s="19"/>
    </row>
    <row r="822">
      <c r="B822" s="19"/>
      <c r="C822" s="19"/>
      <c r="D822" s="19"/>
      <c r="E822" s="19"/>
      <c r="L822" s="19"/>
    </row>
    <row r="823">
      <c r="B823" s="19"/>
      <c r="C823" s="19"/>
      <c r="D823" s="19"/>
      <c r="E823" s="19"/>
      <c r="L823" s="19"/>
    </row>
    <row r="824">
      <c r="B824" s="19"/>
      <c r="C824" s="19"/>
      <c r="D824" s="19"/>
      <c r="E824" s="19"/>
      <c r="L824" s="19"/>
    </row>
    <row r="825">
      <c r="B825" s="19"/>
      <c r="C825" s="19"/>
      <c r="D825" s="19"/>
      <c r="E825" s="19"/>
      <c r="L825" s="19"/>
    </row>
    <row r="826">
      <c r="B826" s="19"/>
      <c r="C826" s="19"/>
      <c r="D826" s="19"/>
      <c r="E826" s="19"/>
      <c r="L826" s="19"/>
    </row>
    <row r="827">
      <c r="B827" s="19"/>
      <c r="C827" s="19"/>
      <c r="D827" s="19"/>
      <c r="E827" s="19"/>
      <c r="L827" s="19"/>
    </row>
    <row r="828">
      <c r="B828" s="19"/>
      <c r="C828" s="19"/>
      <c r="D828" s="19"/>
      <c r="E828" s="19"/>
      <c r="L828" s="19"/>
    </row>
    <row r="829">
      <c r="B829" s="19"/>
      <c r="C829" s="19"/>
      <c r="D829" s="19"/>
      <c r="E829" s="19"/>
      <c r="L829" s="19"/>
    </row>
    <row r="830">
      <c r="B830" s="19"/>
      <c r="C830" s="19"/>
      <c r="D830" s="19"/>
      <c r="E830" s="19"/>
      <c r="L830" s="19"/>
    </row>
    <row r="831">
      <c r="B831" s="19"/>
      <c r="C831" s="19"/>
      <c r="D831" s="19"/>
      <c r="E831" s="19"/>
      <c r="L831" s="19"/>
    </row>
    <row r="832">
      <c r="B832" s="19"/>
      <c r="C832" s="19"/>
      <c r="D832" s="19"/>
      <c r="E832" s="19"/>
      <c r="L832" s="19"/>
    </row>
    <row r="833">
      <c r="B833" s="19"/>
      <c r="C833" s="19"/>
      <c r="D833" s="19"/>
      <c r="E833" s="19"/>
      <c r="L833" s="19"/>
    </row>
    <row r="834">
      <c r="B834" s="19"/>
      <c r="C834" s="19"/>
      <c r="D834" s="19"/>
      <c r="E834" s="19"/>
      <c r="L834" s="19"/>
    </row>
    <row r="835">
      <c r="B835" s="19"/>
      <c r="C835" s="19"/>
      <c r="D835" s="19"/>
      <c r="E835" s="19"/>
      <c r="L835" s="19"/>
    </row>
    <row r="836">
      <c r="B836" s="19"/>
      <c r="C836" s="19"/>
      <c r="D836" s="19"/>
      <c r="E836" s="19"/>
      <c r="L836" s="19"/>
    </row>
    <row r="837">
      <c r="B837" s="19"/>
      <c r="C837" s="19"/>
      <c r="D837" s="19"/>
      <c r="E837" s="19"/>
      <c r="L837" s="19"/>
    </row>
    <row r="838">
      <c r="B838" s="19"/>
      <c r="C838" s="19"/>
      <c r="D838" s="19"/>
      <c r="E838" s="19"/>
      <c r="L838" s="19"/>
    </row>
    <row r="839">
      <c r="B839" s="19"/>
      <c r="C839" s="19"/>
      <c r="D839" s="19"/>
      <c r="E839" s="19"/>
      <c r="L839" s="19"/>
    </row>
    <row r="840">
      <c r="B840" s="19"/>
      <c r="C840" s="19"/>
      <c r="D840" s="19"/>
      <c r="E840" s="19"/>
      <c r="L840" s="19"/>
    </row>
    <row r="841">
      <c r="B841" s="19"/>
      <c r="C841" s="19"/>
      <c r="D841" s="19"/>
      <c r="E841" s="19"/>
      <c r="L841" s="19"/>
    </row>
    <row r="842">
      <c r="B842" s="19"/>
      <c r="C842" s="19"/>
      <c r="D842" s="19"/>
      <c r="E842" s="19"/>
      <c r="L842" s="19"/>
    </row>
    <row r="843">
      <c r="B843" s="19"/>
      <c r="C843" s="19"/>
      <c r="D843" s="19"/>
      <c r="E843" s="19"/>
      <c r="L843" s="19"/>
    </row>
    <row r="844">
      <c r="B844" s="19"/>
      <c r="C844" s="19"/>
      <c r="D844" s="19"/>
      <c r="E844" s="19"/>
      <c r="L844" s="19"/>
    </row>
    <row r="845">
      <c r="B845" s="19"/>
      <c r="C845" s="19"/>
      <c r="D845" s="19"/>
      <c r="E845" s="19"/>
      <c r="L845" s="19"/>
    </row>
    <row r="846">
      <c r="B846" s="19"/>
      <c r="C846" s="19"/>
      <c r="D846" s="19"/>
      <c r="E846" s="19"/>
      <c r="L846" s="19"/>
    </row>
    <row r="847">
      <c r="B847" s="19"/>
      <c r="C847" s="19"/>
      <c r="D847" s="19"/>
      <c r="E847" s="19"/>
      <c r="L847" s="19"/>
    </row>
    <row r="848">
      <c r="B848" s="19"/>
      <c r="C848" s="19"/>
      <c r="D848" s="19"/>
      <c r="E848" s="19"/>
      <c r="L848" s="19"/>
    </row>
    <row r="849">
      <c r="B849" s="19"/>
      <c r="C849" s="19"/>
      <c r="D849" s="19"/>
      <c r="E849" s="19"/>
      <c r="L849" s="19"/>
    </row>
    <row r="850">
      <c r="B850" s="19"/>
      <c r="C850" s="19"/>
      <c r="D850" s="19"/>
      <c r="E850" s="19"/>
      <c r="L850" s="19"/>
    </row>
    <row r="851">
      <c r="B851" s="19"/>
      <c r="C851" s="19"/>
      <c r="D851" s="19"/>
      <c r="E851" s="19"/>
      <c r="L851" s="19"/>
    </row>
    <row r="852">
      <c r="B852" s="19"/>
      <c r="C852" s="19"/>
      <c r="D852" s="19"/>
      <c r="E852" s="19"/>
      <c r="L852" s="19"/>
    </row>
    <row r="853">
      <c r="B853" s="19"/>
      <c r="C853" s="19"/>
      <c r="D853" s="19"/>
      <c r="E853" s="19"/>
      <c r="L853" s="19"/>
    </row>
    <row r="854">
      <c r="B854" s="19"/>
      <c r="C854" s="19"/>
      <c r="D854" s="19"/>
      <c r="E854" s="19"/>
      <c r="L854" s="19"/>
    </row>
    <row r="855">
      <c r="B855" s="19"/>
      <c r="C855" s="19"/>
      <c r="D855" s="19"/>
      <c r="E855" s="19"/>
      <c r="L855" s="19"/>
    </row>
    <row r="856">
      <c r="B856" s="19"/>
      <c r="C856" s="19"/>
      <c r="D856" s="19"/>
      <c r="E856" s="19"/>
      <c r="L856" s="19"/>
    </row>
    <row r="857">
      <c r="B857" s="19"/>
      <c r="C857" s="19"/>
      <c r="D857" s="19"/>
      <c r="E857" s="19"/>
      <c r="L857" s="19"/>
    </row>
    <row r="858">
      <c r="B858" s="19"/>
      <c r="C858" s="19"/>
      <c r="D858" s="19"/>
      <c r="E858" s="19"/>
      <c r="L858" s="19"/>
    </row>
    <row r="859">
      <c r="B859" s="19"/>
      <c r="C859" s="19"/>
      <c r="D859" s="19"/>
      <c r="E859" s="19"/>
      <c r="L859" s="19"/>
    </row>
    <row r="860">
      <c r="B860" s="19"/>
      <c r="C860" s="19"/>
      <c r="D860" s="19"/>
      <c r="E860" s="19"/>
      <c r="L860" s="19"/>
    </row>
    <row r="861">
      <c r="B861" s="19"/>
      <c r="C861" s="19"/>
      <c r="D861" s="19"/>
      <c r="E861" s="19"/>
      <c r="L861" s="19"/>
    </row>
    <row r="862">
      <c r="B862" s="19"/>
      <c r="C862" s="19"/>
      <c r="D862" s="19"/>
      <c r="E862" s="19"/>
      <c r="L862" s="19"/>
    </row>
    <row r="863">
      <c r="B863" s="19"/>
      <c r="C863" s="19"/>
      <c r="D863" s="19"/>
      <c r="E863" s="19"/>
      <c r="L863" s="19"/>
    </row>
    <row r="864">
      <c r="B864" s="19"/>
      <c r="C864" s="19"/>
      <c r="D864" s="19"/>
      <c r="E864" s="19"/>
      <c r="L864" s="19"/>
    </row>
    <row r="865">
      <c r="B865" s="19"/>
      <c r="C865" s="19"/>
      <c r="D865" s="19"/>
      <c r="E865" s="19"/>
      <c r="L865" s="19"/>
    </row>
    <row r="866">
      <c r="B866" s="19"/>
      <c r="C866" s="19"/>
      <c r="D866" s="19"/>
      <c r="E866" s="19"/>
      <c r="L866" s="19"/>
    </row>
    <row r="867">
      <c r="B867" s="19"/>
      <c r="C867" s="19"/>
      <c r="D867" s="19"/>
      <c r="E867" s="19"/>
      <c r="L867" s="19"/>
    </row>
    <row r="868">
      <c r="B868" s="19"/>
      <c r="C868" s="19"/>
      <c r="D868" s="19"/>
      <c r="E868" s="19"/>
      <c r="L868" s="19"/>
    </row>
    <row r="869">
      <c r="B869" s="19"/>
      <c r="C869" s="19"/>
      <c r="D869" s="19"/>
      <c r="E869" s="19"/>
      <c r="L869" s="19"/>
    </row>
    <row r="870">
      <c r="B870" s="19"/>
      <c r="C870" s="19"/>
      <c r="D870" s="19"/>
      <c r="E870" s="19"/>
      <c r="L870" s="19"/>
    </row>
    <row r="871">
      <c r="B871" s="19"/>
      <c r="C871" s="19"/>
      <c r="D871" s="19"/>
      <c r="E871" s="19"/>
      <c r="L871" s="19"/>
    </row>
    <row r="872">
      <c r="B872" s="19"/>
      <c r="C872" s="19"/>
      <c r="D872" s="19"/>
      <c r="E872" s="19"/>
      <c r="L872" s="19"/>
    </row>
    <row r="873">
      <c r="B873" s="19"/>
      <c r="C873" s="19"/>
      <c r="D873" s="19"/>
      <c r="E873" s="19"/>
      <c r="L873" s="19"/>
    </row>
    <row r="874">
      <c r="B874" s="19"/>
      <c r="C874" s="19"/>
      <c r="D874" s="19"/>
      <c r="E874" s="19"/>
      <c r="L874" s="19"/>
    </row>
    <row r="875">
      <c r="B875" s="19"/>
      <c r="C875" s="19"/>
      <c r="D875" s="19"/>
      <c r="E875" s="19"/>
      <c r="L875" s="19"/>
    </row>
    <row r="876">
      <c r="B876" s="19"/>
      <c r="C876" s="19"/>
      <c r="D876" s="19"/>
      <c r="E876" s="19"/>
      <c r="L876" s="19"/>
    </row>
    <row r="877">
      <c r="B877" s="19"/>
      <c r="C877" s="19"/>
      <c r="D877" s="19"/>
      <c r="E877" s="19"/>
      <c r="L877" s="19"/>
    </row>
    <row r="878">
      <c r="B878" s="19"/>
      <c r="C878" s="19"/>
      <c r="D878" s="19"/>
      <c r="E878" s="19"/>
      <c r="L878" s="19"/>
    </row>
    <row r="879">
      <c r="B879" s="19"/>
      <c r="C879" s="19"/>
      <c r="D879" s="19"/>
      <c r="E879" s="19"/>
      <c r="L879" s="19"/>
    </row>
    <row r="880">
      <c r="B880" s="19"/>
      <c r="C880" s="19"/>
      <c r="D880" s="19"/>
      <c r="E880" s="19"/>
      <c r="L880" s="19"/>
    </row>
    <row r="881">
      <c r="B881" s="19"/>
      <c r="C881" s="19"/>
      <c r="D881" s="19"/>
      <c r="E881" s="19"/>
      <c r="L881" s="19"/>
    </row>
    <row r="882">
      <c r="B882" s="19"/>
      <c r="C882" s="19"/>
      <c r="D882" s="19"/>
      <c r="E882" s="19"/>
      <c r="L882" s="19"/>
    </row>
    <row r="883">
      <c r="B883" s="19"/>
      <c r="C883" s="19"/>
      <c r="D883" s="19"/>
      <c r="E883" s="19"/>
      <c r="L883" s="19"/>
    </row>
    <row r="884">
      <c r="B884" s="19"/>
      <c r="C884" s="19"/>
      <c r="D884" s="19"/>
      <c r="E884" s="19"/>
      <c r="L884" s="19"/>
    </row>
    <row r="885">
      <c r="B885" s="19"/>
      <c r="C885" s="19"/>
      <c r="D885" s="19"/>
      <c r="E885" s="19"/>
      <c r="L885" s="19"/>
    </row>
    <row r="886">
      <c r="B886" s="19"/>
      <c r="C886" s="19"/>
      <c r="D886" s="19"/>
      <c r="E886" s="19"/>
      <c r="L886" s="19"/>
    </row>
    <row r="887">
      <c r="B887" s="19"/>
      <c r="C887" s="19"/>
      <c r="D887" s="19"/>
      <c r="E887" s="19"/>
      <c r="L887" s="19"/>
    </row>
    <row r="888">
      <c r="B888" s="19"/>
      <c r="C888" s="19"/>
      <c r="D888" s="19"/>
      <c r="E888" s="19"/>
      <c r="L888" s="19"/>
    </row>
    <row r="889">
      <c r="B889" s="19"/>
      <c r="C889" s="19"/>
      <c r="D889" s="19"/>
      <c r="E889" s="19"/>
      <c r="L889" s="19"/>
    </row>
    <row r="890">
      <c r="B890" s="19"/>
      <c r="C890" s="19"/>
      <c r="D890" s="19"/>
      <c r="E890" s="19"/>
      <c r="L890" s="19"/>
    </row>
    <row r="891">
      <c r="B891" s="19"/>
      <c r="C891" s="19"/>
      <c r="D891" s="19"/>
      <c r="E891" s="19"/>
      <c r="L891" s="19"/>
    </row>
    <row r="892">
      <c r="B892" s="19"/>
      <c r="C892" s="19"/>
      <c r="D892" s="19"/>
      <c r="E892" s="19"/>
      <c r="L892" s="19"/>
    </row>
    <row r="893">
      <c r="B893" s="19"/>
      <c r="C893" s="19"/>
      <c r="D893" s="19"/>
      <c r="E893" s="19"/>
      <c r="L893" s="19"/>
    </row>
    <row r="894">
      <c r="B894" s="19"/>
      <c r="C894" s="19"/>
      <c r="D894" s="19"/>
      <c r="E894" s="19"/>
      <c r="L894" s="19"/>
    </row>
    <row r="895">
      <c r="B895" s="19"/>
      <c r="C895" s="19"/>
      <c r="D895" s="19"/>
      <c r="E895" s="19"/>
      <c r="L895" s="19"/>
    </row>
    <row r="896">
      <c r="B896" s="19"/>
      <c r="C896" s="19"/>
      <c r="D896" s="19"/>
      <c r="E896" s="19"/>
      <c r="L896" s="19"/>
    </row>
    <row r="897">
      <c r="B897" s="19"/>
      <c r="C897" s="19"/>
      <c r="D897" s="19"/>
      <c r="E897" s="19"/>
      <c r="L897" s="19"/>
    </row>
    <row r="898">
      <c r="B898" s="19"/>
      <c r="C898" s="19"/>
      <c r="D898" s="19"/>
      <c r="E898" s="19"/>
      <c r="L898" s="19"/>
    </row>
    <row r="899">
      <c r="B899" s="19"/>
      <c r="C899" s="19"/>
      <c r="D899" s="19"/>
      <c r="E899" s="19"/>
      <c r="L899" s="19"/>
    </row>
    <row r="900">
      <c r="B900" s="19"/>
      <c r="C900" s="19"/>
      <c r="D900" s="19"/>
      <c r="E900" s="19"/>
      <c r="L900" s="19"/>
    </row>
    <row r="901">
      <c r="B901" s="19"/>
      <c r="C901" s="19"/>
      <c r="D901" s="19"/>
      <c r="E901" s="19"/>
      <c r="L901" s="19"/>
    </row>
    <row r="902">
      <c r="B902" s="19"/>
      <c r="C902" s="19"/>
      <c r="D902" s="19"/>
      <c r="E902" s="19"/>
      <c r="L902" s="19"/>
    </row>
    <row r="903">
      <c r="B903" s="19"/>
      <c r="C903" s="19"/>
      <c r="D903" s="19"/>
      <c r="E903" s="19"/>
      <c r="L903" s="19"/>
    </row>
    <row r="904">
      <c r="B904" s="19"/>
      <c r="C904" s="19"/>
      <c r="D904" s="19"/>
      <c r="E904" s="19"/>
      <c r="L904" s="19"/>
    </row>
    <row r="905">
      <c r="B905" s="19"/>
      <c r="C905" s="19"/>
      <c r="D905" s="19"/>
      <c r="E905" s="19"/>
      <c r="L905" s="19"/>
    </row>
    <row r="906">
      <c r="B906" s="19"/>
      <c r="C906" s="19"/>
      <c r="D906" s="19"/>
      <c r="E906" s="19"/>
      <c r="L906" s="19"/>
    </row>
    <row r="907">
      <c r="B907" s="19"/>
      <c r="C907" s="19"/>
      <c r="D907" s="19"/>
      <c r="E907" s="19"/>
      <c r="L907" s="19"/>
    </row>
    <row r="908">
      <c r="B908" s="19"/>
      <c r="C908" s="19"/>
      <c r="D908" s="19"/>
      <c r="E908" s="19"/>
      <c r="L908" s="19"/>
    </row>
    <row r="909">
      <c r="B909" s="19"/>
      <c r="C909" s="19"/>
      <c r="D909" s="19"/>
      <c r="E909" s="19"/>
      <c r="L909" s="19"/>
    </row>
    <row r="910">
      <c r="B910" s="19"/>
      <c r="C910" s="19"/>
      <c r="D910" s="19"/>
      <c r="E910" s="19"/>
      <c r="L910" s="19"/>
    </row>
    <row r="911">
      <c r="B911" s="19"/>
      <c r="C911" s="19"/>
      <c r="D911" s="19"/>
      <c r="E911" s="19"/>
      <c r="L911" s="19"/>
    </row>
    <row r="912">
      <c r="B912" s="19"/>
      <c r="C912" s="19"/>
      <c r="D912" s="19"/>
      <c r="E912" s="19"/>
      <c r="L912" s="19"/>
    </row>
    <row r="913">
      <c r="B913" s="19"/>
      <c r="C913" s="19"/>
      <c r="D913" s="19"/>
      <c r="E913" s="19"/>
      <c r="L913" s="19"/>
    </row>
    <row r="914">
      <c r="B914" s="19"/>
      <c r="C914" s="19"/>
      <c r="D914" s="19"/>
      <c r="E914" s="19"/>
      <c r="L914" s="19"/>
    </row>
    <row r="915">
      <c r="B915" s="19"/>
      <c r="C915" s="19"/>
      <c r="D915" s="19"/>
      <c r="E915" s="19"/>
      <c r="L915" s="19"/>
    </row>
    <row r="916">
      <c r="B916" s="19"/>
      <c r="C916" s="19"/>
      <c r="D916" s="19"/>
      <c r="E916" s="19"/>
      <c r="L916" s="19"/>
    </row>
    <row r="917">
      <c r="B917" s="19"/>
      <c r="C917" s="19"/>
      <c r="D917" s="19"/>
      <c r="E917" s="19"/>
      <c r="L917" s="19"/>
    </row>
    <row r="918">
      <c r="B918" s="19"/>
      <c r="C918" s="19"/>
      <c r="D918" s="19"/>
      <c r="E918" s="19"/>
      <c r="L918" s="19"/>
    </row>
    <row r="919">
      <c r="B919" s="19"/>
      <c r="C919" s="19"/>
      <c r="D919" s="19"/>
      <c r="E919" s="19"/>
      <c r="L919" s="19"/>
    </row>
    <row r="920">
      <c r="B920" s="19"/>
      <c r="C920" s="19"/>
      <c r="D920" s="19"/>
      <c r="E920" s="19"/>
      <c r="L920" s="19"/>
    </row>
    <row r="921">
      <c r="B921" s="19"/>
      <c r="C921" s="19"/>
      <c r="D921" s="19"/>
      <c r="E921" s="19"/>
      <c r="L921" s="19"/>
    </row>
    <row r="922">
      <c r="B922" s="19"/>
      <c r="C922" s="19"/>
      <c r="D922" s="19"/>
      <c r="E922" s="19"/>
      <c r="L922" s="19"/>
    </row>
    <row r="923">
      <c r="B923" s="19"/>
      <c r="C923" s="19"/>
      <c r="D923" s="19"/>
      <c r="E923" s="19"/>
      <c r="L923" s="19"/>
    </row>
    <row r="924">
      <c r="B924" s="19"/>
      <c r="C924" s="19"/>
      <c r="D924" s="19"/>
      <c r="E924" s="19"/>
      <c r="L924" s="19"/>
    </row>
    <row r="925">
      <c r="B925" s="19"/>
      <c r="C925" s="19"/>
      <c r="D925" s="19"/>
      <c r="E925" s="19"/>
      <c r="L925" s="19"/>
    </row>
    <row r="926">
      <c r="B926" s="19"/>
      <c r="C926" s="19"/>
      <c r="D926" s="19"/>
      <c r="E926" s="19"/>
      <c r="L926" s="19"/>
    </row>
    <row r="927">
      <c r="B927" s="19"/>
      <c r="C927" s="19"/>
      <c r="D927" s="19"/>
      <c r="E927" s="19"/>
      <c r="L927" s="19"/>
    </row>
    <row r="928">
      <c r="B928" s="19"/>
      <c r="C928" s="19"/>
      <c r="D928" s="19"/>
      <c r="E928" s="19"/>
      <c r="L928" s="19"/>
    </row>
    <row r="929">
      <c r="B929" s="19"/>
      <c r="C929" s="19"/>
      <c r="D929" s="19"/>
      <c r="E929" s="19"/>
      <c r="L929" s="19"/>
    </row>
    <row r="930">
      <c r="B930" s="19"/>
      <c r="C930" s="19"/>
      <c r="D930" s="19"/>
      <c r="E930" s="19"/>
      <c r="L930" s="19"/>
    </row>
    <row r="931">
      <c r="B931" s="19"/>
      <c r="C931" s="19"/>
      <c r="D931" s="19"/>
      <c r="E931" s="19"/>
      <c r="L931" s="19"/>
    </row>
    <row r="932">
      <c r="B932" s="19"/>
      <c r="C932" s="19"/>
      <c r="D932" s="19"/>
      <c r="E932" s="19"/>
      <c r="L932" s="19"/>
    </row>
    <row r="933">
      <c r="B933" s="19"/>
      <c r="C933" s="19"/>
      <c r="D933" s="19"/>
      <c r="E933" s="19"/>
      <c r="L933" s="19"/>
    </row>
    <row r="934">
      <c r="B934" s="19"/>
      <c r="C934" s="19"/>
      <c r="D934" s="19"/>
      <c r="E934" s="19"/>
      <c r="L934" s="19"/>
    </row>
    <row r="935">
      <c r="B935" s="19"/>
      <c r="C935" s="19"/>
      <c r="D935" s="19"/>
      <c r="E935" s="19"/>
      <c r="L935" s="19"/>
    </row>
    <row r="936">
      <c r="B936" s="19"/>
      <c r="C936" s="19"/>
      <c r="D936" s="19"/>
      <c r="E936" s="19"/>
      <c r="L936" s="19"/>
    </row>
    <row r="937">
      <c r="B937" s="19"/>
      <c r="C937" s="19"/>
      <c r="D937" s="19"/>
      <c r="E937" s="19"/>
      <c r="L937" s="19"/>
    </row>
    <row r="938">
      <c r="B938" s="19"/>
      <c r="C938" s="19"/>
      <c r="D938" s="19"/>
      <c r="E938" s="19"/>
      <c r="L938" s="19"/>
    </row>
    <row r="939">
      <c r="B939" s="19"/>
      <c r="C939" s="19"/>
      <c r="D939" s="19"/>
      <c r="E939" s="19"/>
      <c r="L939" s="19"/>
    </row>
    <row r="940">
      <c r="B940" s="19"/>
      <c r="C940" s="19"/>
      <c r="D940" s="19"/>
      <c r="E940" s="19"/>
      <c r="L940" s="19"/>
    </row>
    <row r="941">
      <c r="B941" s="19"/>
      <c r="C941" s="19"/>
      <c r="D941" s="19"/>
      <c r="E941" s="19"/>
      <c r="L941" s="19"/>
    </row>
    <row r="942">
      <c r="B942" s="19"/>
      <c r="C942" s="19"/>
      <c r="D942" s="19"/>
      <c r="E942" s="19"/>
      <c r="L942" s="19"/>
    </row>
    <row r="943">
      <c r="B943" s="19"/>
      <c r="C943" s="19"/>
      <c r="D943" s="19"/>
      <c r="E943" s="19"/>
      <c r="L943" s="19"/>
    </row>
    <row r="944">
      <c r="B944" s="19"/>
      <c r="C944" s="19"/>
      <c r="D944" s="19"/>
      <c r="E944" s="19"/>
      <c r="L944" s="19"/>
    </row>
    <row r="945">
      <c r="B945" s="19"/>
      <c r="C945" s="19"/>
      <c r="D945" s="19"/>
      <c r="E945" s="19"/>
      <c r="L945" s="19"/>
    </row>
    <row r="946">
      <c r="B946" s="19"/>
      <c r="C946" s="19"/>
      <c r="D946" s="19"/>
      <c r="E946" s="19"/>
      <c r="L946" s="19"/>
    </row>
    <row r="947">
      <c r="B947" s="19"/>
      <c r="C947" s="19"/>
      <c r="D947" s="19"/>
      <c r="E947" s="19"/>
      <c r="L947" s="19"/>
    </row>
    <row r="948">
      <c r="B948" s="19"/>
      <c r="C948" s="19"/>
      <c r="D948" s="19"/>
      <c r="E948" s="19"/>
      <c r="L948" s="19"/>
    </row>
    <row r="949">
      <c r="B949" s="19"/>
      <c r="C949" s="19"/>
      <c r="D949" s="19"/>
      <c r="E949" s="19"/>
      <c r="L949" s="19"/>
    </row>
    <row r="950">
      <c r="B950" s="19"/>
      <c r="C950" s="19"/>
      <c r="D950" s="19"/>
      <c r="E950" s="19"/>
      <c r="L950" s="19"/>
    </row>
    <row r="951">
      <c r="B951" s="19"/>
      <c r="C951" s="19"/>
      <c r="D951" s="19"/>
      <c r="E951" s="19"/>
      <c r="L951" s="19"/>
    </row>
    <row r="952">
      <c r="B952" s="19"/>
      <c r="C952" s="19"/>
      <c r="D952" s="19"/>
      <c r="E952" s="19"/>
      <c r="L952" s="19"/>
    </row>
    <row r="953">
      <c r="B953" s="19"/>
      <c r="C953" s="19"/>
      <c r="D953" s="19"/>
      <c r="E953" s="19"/>
      <c r="L953" s="19"/>
    </row>
    <row r="954">
      <c r="B954" s="19"/>
      <c r="C954" s="19"/>
      <c r="D954" s="19"/>
      <c r="E954" s="19"/>
      <c r="L954" s="19"/>
    </row>
    <row r="955">
      <c r="B955" s="19"/>
      <c r="C955" s="19"/>
      <c r="D955" s="19"/>
      <c r="E955" s="19"/>
      <c r="L955" s="19"/>
    </row>
    <row r="956">
      <c r="B956" s="19"/>
      <c r="C956" s="19"/>
      <c r="D956" s="19"/>
      <c r="E956" s="19"/>
      <c r="L956" s="19"/>
    </row>
    <row r="957">
      <c r="B957" s="19"/>
      <c r="C957" s="19"/>
      <c r="D957" s="19"/>
      <c r="E957" s="19"/>
      <c r="L957" s="19"/>
    </row>
    <row r="958">
      <c r="B958" s="19"/>
      <c r="C958" s="19"/>
      <c r="D958" s="19"/>
      <c r="E958" s="19"/>
      <c r="L958" s="19"/>
    </row>
    <row r="959">
      <c r="B959" s="19"/>
      <c r="C959" s="19"/>
      <c r="D959" s="19"/>
      <c r="E959" s="19"/>
      <c r="L959" s="19"/>
    </row>
    <row r="960">
      <c r="B960" s="19"/>
      <c r="C960" s="19"/>
      <c r="D960" s="19"/>
      <c r="E960" s="19"/>
      <c r="L960" s="19"/>
    </row>
    <row r="961">
      <c r="B961" s="19"/>
      <c r="C961" s="19"/>
      <c r="D961" s="19"/>
      <c r="E961" s="19"/>
      <c r="L961" s="19"/>
    </row>
    <row r="962">
      <c r="B962" s="19"/>
      <c r="C962" s="19"/>
      <c r="D962" s="19"/>
      <c r="E962" s="19"/>
      <c r="L962" s="19"/>
    </row>
    <row r="963">
      <c r="B963" s="19"/>
      <c r="C963" s="19"/>
      <c r="D963" s="19"/>
      <c r="E963" s="19"/>
      <c r="L963" s="19"/>
    </row>
    <row r="964">
      <c r="B964" s="19"/>
      <c r="C964" s="19"/>
      <c r="D964" s="19"/>
      <c r="E964" s="19"/>
      <c r="L964" s="19"/>
    </row>
    <row r="965">
      <c r="B965" s="19"/>
      <c r="C965" s="19"/>
      <c r="D965" s="19"/>
      <c r="E965" s="19"/>
      <c r="L965" s="19"/>
    </row>
    <row r="966">
      <c r="B966" s="19"/>
      <c r="C966" s="19"/>
      <c r="D966" s="19"/>
      <c r="E966" s="19"/>
      <c r="L966" s="19"/>
    </row>
    <row r="967">
      <c r="B967" s="19"/>
      <c r="C967" s="19"/>
      <c r="D967" s="19"/>
      <c r="E967" s="19"/>
      <c r="L967" s="19"/>
    </row>
    <row r="968">
      <c r="B968" s="19"/>
      <c r="C968" s="19"/>
      <c r="D968" s="19"/>
      <c r="E968" s="19"/>
      <c r="L968" s="19"/>
    </row>
    <row r="969">
      <c r="B969" s="19"/>
      <c r="C969" s="19"/>
      <c r="D969" s="19"/>
      <c r="E969" s="19"/>
      <c r="L969" s="19"/>
    </row>
    <row r="970">
      <c r="B970" s="19"/>
      <c r="C970" s="19"/>
      <c r="D970" s="19"/>
      <c r="E970" s="19"/>
      <c r="L970" s="19"/>
    </row>
    <row r="971">
      <c r="B971" s="19"/>
      <c r="C971" s="19"/>
      <c r="D971" s="19"/>
      <c r="E971" s="19"/>
      <c r="L971" s="19"/>
    </row>
    <row r="972">
      <c r="B972" s="19"/>
      <c r="C972" s="19"/>
      <c r="D972" s="19"/>
      <c r="E972" s="19"/>
      <c r="L972" s="19"/>
    </row>
    <row r="973">
      <c r="B973" s="19"/>
      <c r="C973" s="19"/>
      <c r="D973" s="19"/>
      <c r="E973" s="19"/>
      <c r="L973" s="19"/>
    </row>
    <row r="974">
      <c r="B974" s="19"/>
      <c r="C974" s="19"/>
      <c r="D974" s="19"/>
      <c r="E974" s="19"/>
      <c r="L974" s="19"/>
    </row>
    <row r="975">
      <c r="B975" s="19"/>
      <c r="C975" s="19"/>
      <c r="D975" s="19"/>
      <c r="E975" s="19"/>
      <c r="L975" s="19"/>
    </row>
    <row r="976">
      <c r="B976" s="19"/>
      <c r="C976" s="19"/>
      <c r="D976" s="19"/>
      <c r="E976" s="19"/>
      <c r="L976" s="19"/>
    </row>
    <row r="977">
      <c r="B977" s="19"/>
      <c r="C977" s="19"/>
      <c r="D977" s="19"/>
      <c r="E977" s="19"/>
      <c r="L977" s="19"/>
    </row>
    <row r="978">
      <c r="B978" s="19"/>
      <c r="C978" s="19"/>
      <c r="D978" s="19"/>
      <c r="E978" s="19"/>
      <c r="L978" s="19"/>
    </row>
    <row r="979">
      <c r="B979" s="19"/>
      <c r="C979" s="19"/>
      <c r="D979" s="19"/>
      <c r="E979" s="19"/>
      <c r="L979" s="19"/>
    </row>
    <row r="980">
      <c r="B980" s="19"/>
      <c r="C980" s="19"/>
      <c r="D980" s="19"/>
      <c r="E980" s="19"/>
      <c r="L980" s="19"/>
    </row>
    <row r="981">
      <c r="B981" s="19"/>
      <c r="C981" s="19"/>
      <c r="D981" s="19"/>
      <c r="E981" s="19"/>
      <c r="L981" s="19"/>
    </row>
    <row r="982">
      <c r="B982" s="19"/>
      <c r="C982" s="19"/>
      <c r="D982" s="19"/>
      <c r="E982" s="19"/>
      <c r="L982" s="19"/>
    </row>
    <row r="983">
      <c r="B983" s="19"/>
      <c r="C983" s="19"/>
      <c r="D983" s="19"/>
      <c r="E983" s="19"/>
      <c r="L983" s="19"/>
    </row>
    <row r="984">
      <c r="B984" s="19"/>
      <c r="C984" s="19"/>
      <c r="D984" s="19"/>
      <c r="E984" s="19"/>
      <c r="L984" s="19"/>
    </row>
    <row r="985">
      <c r="B985" s="19"/>
      <c r="C985" s="19"/>
      <c r="D985" s="19"/>
      <c r="E985" s="19"/>
      <c r="L985" s="19"/>
    </row>
    <row r="986">
      <c r="B986" s="19"/>
      <c r="C986" s="19"/>
      <c r="D986" s="19"/>
      <c r="E986" s="19"/>
      <c r="L986" s="19"/>
    </row>
    <row r="987">
      <c r="B987" s="19"/>
      <c r="C987" s="19"/>
      <c r="D987" s="19"/>
      <c r="E987" s="19"/>
      <c r="L987" s="19"/>
    </row>
    <row r="988">
      <c r="B988" s="19"/>
      <c r="C988" s="19"/>
      <c r="D988" s="19"/>
      <c r="E988" s="19"/>
      <c r="L988" s="19"/>
    </row>
    <row r="989">
      <c r="B989" s="19"/>
      <c r="C989" s="19"/>
      <c r="D989" s="19"/>
      <c r="E989" s="19"/>
      <c r="L989" s="19"/>
    </row>
    <row r="990">
      <c r="B990" s="19"/>
      <c r="C990" s="19"/>
      <c r="D990" s="19"/>
      <c r="E990" s="19"/>
      <c r="L990" s="19"/>
    </row>
    <row r="991">
      <c r="B991" s="19"/>
      <c r="C991" s="19"/>
      <c r="D991" s="19"/>
      <c r="E991" s="19"/>
      <c r="L991" s="19"/>
    </row>
    <row r="992">
      <c r="B992" s="19"/>
      <c r="C992" s="19"/>
      <c r="D992" s="19"/>
      <c r="E992" s="19"/>
      <c r="L992" s="19"/>
    </row>
    <row r="993">
      <c r="B993" s="19"/>
      <c r="C993" s="19"/>
      <c r="D993" s="19"/>
      <c r="E993" s="19"/>
      <c r="L993" s="19"/>
    </row>
    <row r="994">
      <c r="B994" s="19"/>
      <c r="C994" s="19"/>
      <c r="D994" s="19"/>
      <c r="E994" s="19"/>
      <c r="L994" s="19"/>
    </row>
    <row r="995">
      <c r="B995" s="19"/>
      <c r="C995" s="19"/>
      <c r="D995" s="19"/>
      <c r="E995" s="19"/>
      <c r="L995" s="19"/>
    </row>
    <row r="996">
      <c r="B996" s="19"/>
      <c r="C996" s="19"/>
      <c r="D996" s="19"/>
      <c r="E996" s="19"/>
      <c r="L996" s="19"/>
    </row>
    <row r="997">
      <c r="B997" s="19"/>
      <c r="C997" s="19"/>
      <c r="D997" s="19"/>
      <c r="E997" s="19"/>
      <c r="L997" s="19"/>
    </row>
    <row r="998">
      <c r="B998" s="19"/>
      <c r="C998" s="19"/>
      <c r="D998" s="19"/>
      <c r="E998" s="19"/>
      <c r="L998" s="19"/>
    </row>
    <row r="999">
      <c r="B999" s="19"/>
      <c r="C999" s="19"/>
      <c r="D999" s="19"/>
      <c r="E999" s="19"/>
      <c r="L999" s="19"/>
    </row>
    <row r="1000">
      <c r="B1000" s="19"/>
      <c r="C1000" s="19"/>
      <c r="D1000" s="19"/>
      <c r="E1000" s="19"/>
      <c r="L1000" s="19"/>
    </row>
  </sheetData>
  <autoFilter ref="$B$2:$B$21"/>
  <mergeCells count="14">
    <mergeCell ref="L16:L17"/>
    <mergeCell ref="L18:L19"/>
    <mergeCell ref="L20:L21"/>
    <mergeCell ref="L22:L23"/>
    <mergeCell ref="C2:E2"/>
    <mergeCell ref="F2:H2"/>
    <mergeCell ref="I2:K2"/>
    <mergeCell ref="L14:L15"/>
    <mergeCell ref="L6:L7"/>
    <mergeCell ref="L10:L11"/>
    <mergeCell ref="L8:L9"/>
    <mergeCell ref="L12:L13"/>
    <mergeCell ref="L4:L5"/>
    <mergeCell ref="L2:L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0.86"/>
    <col customWidth="1" min="3" max="3" width="20.43"/>
    <col customWidth="1" min="4" max="4" width="24.29"/>
    <col customWidth="1" min="6" max="6" width="6.29"/>
    <col customWidth="1" min="7" max="7" width="8.0"/>
  </cols>
  <sheetData>
    <row r="1">
      <c r="D1" s="135"/>
      <c r="E1" s="136" t="s">
        <v>757</v>
      </c>
      <c r="F1" s="137">
        <f>F2+G2</f>
        <v>16</v>
      </c>
      <c r="G1" s="138"/>
    </row>
    <row r="2">
      <c r="D2" s="135"/>
      <c r="E2" s="139" t="s">
        <v>474</v>
      </c>
      <c r="F2" s="140">
        <f t="shared" ref="F2:G2" si="1">SUM(F4:F13)</f>
        <v>15</v>
      </c>
      <c r="G2" s="140">
        <f t="shared" si="1"/>
        <v>1</v>
      </c>
    </row>
    <row r="3">
      <c r="A3" s="141" t="s">
        <v>759</v>
      </c>
      <c r="B3" s="141" t="s">
        <v>760</v>
      </c>
      <c r="C3" s="141" t="s">
        <v>761</v>
      </c>
      <c r="D3" s="142" t="s">
        <v>481</v>
      </c>
      <c r="E3" s="141" t="s">
        <v>3</v>
      </c>
      <c r="F3" s="143" t="s">
        <v>471</v>
      </c>
      <c r="G3" s="143" t="s">
        <v>762</v>
      </c>
      <c r="I3" s="144" t="s">
        <v>763</v>
      </c>
    </row>
    <row r="4">
      <c r="A4" s="141" t="s">
        <v>764</v>
      </c>
      <c r="B4" s="145"/>
      <c r="C4" s="145"/>
      <c r="D4" s="146"/>
      <c r="E4" s="145"/>
      <c r="F4" s="143">
        <v>3.0</v>
      </c>
      <c r="G4" s="143">
        <v>0.0</v>
      </c>
    </row>
    <row r="5">
      <c r="A5" s="141" t="s">
        <v>765</v>
      </c>
      <c r="B5" s="141" t="s">
        <v>766</v>
      </c>
      <c r="C5" s="141" t="s">
        <v>767</v>
      </c>
      <c r="D5" s="142" t="s">
        <v>768</v>
      </c>
      <c r="E5" s="141" t="s">
        <v>674</v>
      </c>
      <c r="F5" s="143">
        <v>4.0</v>
      </c>
      <c r="G5" s="143">
        <v>0.0</v>
      </c>
    </row>
    <row r="6">
      <c r="A6" s="141" t="s">
        <v>769</v>
      </c>
      <c r="B6" s="141" t="s">
        <v>658</v>
      </c>
      <c r="C6" s="141" t="s">
        <v>659</v>
      </c>
      <c r="D6" s="142" t="s">
        <v>660</v>
      </c>
      <c r="E6" s="141" t="s">
        <v>661</v>
      </c>
      <c r="F6" s="143">
        <v>3.0</v>
      </c>
      <c r="G6" s="143">
        <v>1.0</v>
      </c>
    </row>
    <row r="7">
      <c r="A7" s="141" t="s">
        <v>770</v>
      </c>
      <c r="B7" s="145"/>
      <c r="C7" s="145"/>
      <c r="D7" s="146"/>
      <c r="E7" s="145"/>
      <c r="F7" s="143">
        <v>3.0</v>
      </c>
      <c r="G7" s="143">
        <v>0.0</v>
      </c>
    </row>
    <row r="8">
      <c r="A8" s="141" t="s">
        <v>771</v>
      </c>
      <c r="B8" s="141" t="s">
        <v>532</v>
      </c>
      <c r="C8" s="141" t="s">
        <v>533</v>
      </c>
      <c r="D8" s="142" t="s">
        <v>772</v>
      </c>
      <c r="E8" s="141" t="s">
        <v>535</v>
      </c>
      <c r="F8" s="143">
        <v>2.0</v>
      </c>
      <c r="G8" s="143">
        <v>0.0</v>
      </c>
    </row>
    <row r="9">
      <c r="A9" s="141"/>
      <c r="B9" s="145"/>
      <c r="C9" s="145"/>
      <c r="D9" s="142"/>
      <c r="E9" s="145"/>
      <c r="F9" s="143"/>
      <c r="G9" s="143"/>
    </row>
    <row r="10">
      <c r="A10" s="145"/>
      <c r="B10" s="145"/>
      <c r="C10" s="145"/>
      <c r="D10" s="146"/>
      <c r="E10" s="145"/>
      <c r="F10" s="148"/>
      <c r="G10" s="148"/>
    </row>
    <row r="11">
      <c r="A11" s="145"/>
      <c r="B11" s="145"/>
      <c r="C11" s="145"/>
      <c r="D11" s="146"/>
      <c r="E11" s="145"/>
      <c r="F11" s="148"/>
      <c r="G11" s="148"/>
    </row>
    <row r="12">
      <c r="A12" s="145"/>
      <c r="B12" s="145"/>
      <c r="C12" s="145"/>
      <c r="D12" s="146"/>
      <c r="E12" s="145"/>
      <c r="F12" s="148"/>
      <c r="G12" s="148"/>
    </row>
    <row r="13">
      <c r="A13" s="145"/>
      <c r="B13" s="145"/>
      <c r="C13" s="145"/>
      <c r="D13" s="146"/>
      <c r="E13" s="145"/>
      <c r="F13" s="148"/>
      <c r="G13" s="148"/>
    </row>
    <row r="14">
      <c r="A14" s="149"/>
      <c r="B14" s="149"/>
      <c r="C14" s="149"/>
      <c r="D14" s="150"/>
      <c r="E14" s="149"/>
      <c r="F14" s="151"/>
      <c r="G14" s="151"/>
    </row>
    <row r="15">
      <c r="D15" s="135"/>
      <c r="F15" s="152"/>
      <c r="G15" s="152"/>
    </row>
    <row r="16">
      <c r="D16" s="135"/>
      <c r="F16" s="152"/>
      <c r="G16" s="152"/>
    </row>
    <row r="17">
      <c r="A17" s="153" t="s">
        <v>773</v>
      </c>
      <c r="B17" s="62"/>
      <c r="C17" s="62"/>
      <c r="D17" s="62"/>
      <c r="E17" s="62"/>
      <c r="F17" s="62"/>
      <c r="G17" s="64"/>
    </row>
    <row r="18">
      <c r="A18" s="154" t="s">
        <v>774</v>
      </c>
      <c r="B18" s="154" t="s">
        <v>593</v>
      </c>
      <c r="C18" s="154" t="s">
        <v>594</v>
      </c>
      <c r="D18" s="155" t="s">
        <v>595</v>
      </c>
      <c r="E18" s="154" t="s">
        <v>596</v>
      </c>
      <c r="F18" s="156">
        <v>3.0</v>
      </c>
      <c r="G18" s="157"/>
    </row>
    <row r="19">
      <c r="D19" s="135"/>
      <c r="F19" s="152"/>
      <c r="G19" s="152"/>
    </row>
    <row r="20">
      <c r="D20" s="135"/>
      <c r="F20" s="152"/>
      <c r="G20" s="152"/>
    </row>
    <row r="21">
      <c r="D21" s="135"/>
      <c r="F21" s="152"/>
      <c r="G21" s="152"/>
    </row>
    <row r="22">
      <c r="D22" s="135"/>
      <c r="F22" s="152"/>
      <c r="G22" s="152"/>
    </row>
    <row r="23">
      <c r="D23" s="135"/>
      <c r="F23" s="152"/>
      <c r="G23" s="152"/>
    </row>
    <row r="24">
      <c r="D24" s="135"/>
      <c r="F24" s="152"/>
      <c r="G24" s="152"/>
    </row>
    <row r="25">
      <c r="D25" s="135"/>
      <c r="F25" s="152"/>
      <c r="G25" s="152"/>
    </row>
    <row r="26">
      <c r="D26" s="135"/>
      <c r="F26" s="152"/>
      <c r="G26" s="152"/>
    </row>
    <row r="27">
      <c r="D27" s="135"/>
      <c r="F27" s="152"/>
      <c r="G27" s="152"/>
    </row>
    <row r="28">
      <c r="D28" s="135"/>
      <c r="F28" s="152"/>
      <c r="G28" s="152"/>
    </row>
    <row r="29">
      <c r="D29" s="135"/>
      <c r="F29" s="152"/>
      <c r="G29" s="152"/>
    </row>
    <row r="30">
      <c r="D30" s="135"/>
      <c r="F30" s="152"/>
      <c r="G30" s="152"/>
    </row>
    <row r="31">
      <c r="D31" s="135"/>
      <c r="F31" s="152"/>
      <c r="G31" s="152"/>
    </row>
    <row r="32">
      <c r="D32" s="135"/>
      <c r="F32" s="152"/>
      <c r="G32" s="152"/>
    </row>
    <row r="33">
      <c r="D33" s="135"/>
      <c r="F33" s="152"/>
      <c r="G33" s="152"/>
    </row>
    <row r="34">
      <c r="D34" s="135"/>
      <c r="F34" s="152"/>
      <c r="G34" s="152"/>
    </row>
    <row r="35">
      <c r="D35" s="135"/>
      <c r="F35" s="152"/>
      <c r="G35" s="152"/>
    </row>
    <row r="36">
      <c r="D36" s="135"/>
      <c r="F36" s="152"/>
      <c r="G36" s="152"/>
    </row>
    <row r="37">
      <c r="D37" s="135"/>
      <c r="F37" s="152"/>
      <c r="G37" s="152"/>
    </row>
    <row r="38">
      <c r="D38" s="135"/>
      <c r="F38" s="152"/>
      <c r="G38" s="152"/>
    </row>
    <row r="39">
      <c r="D39" s="135"/>
      <c r="F39" s="152"/>
      <c r="G39" s="152"/>
    </row>
    <row r="40">
      <c r="D40" s="135"/>
      <c r="F40" s="152"/>
      <c r="G40" s="152"/>
    </row>
    <row r="41">
      <c r="D41" s="135"/>
      <c r="F41" s="152"/>
      <c r="G41" s="152"/>
    </row>
    <row r="42">
      <c r="D42" s="135"/>
      <c r="F42" s="152"/>
      <c r="G42" s="152"/>
    </row>
    <row r="43">
      <c r="D43" s="135"/>
      <c r="F43" s="152"/>
      <c r="G43" s="152"/>
    </row>
    <row r="44">
      <c r="D44" s="135"/>
      <c r="F44" s="152"/>
      <c r="G44" s="152"/>
    </row>
    <row r="45">
      <c r="D45" s="135"/>
      <c r="F45" s="152"/>
      <c r="G45" s="152"/>
    </row>
    <row r="46">
      <c r="D46" s="135"/>
      <c r="F46" s="152"/>
      <c r="G46" s="152"/>
    </row>
    <row r="47">
      <c r="D47" s="135"/>
      <c r="F47" s="152"/>
      <c r="G47" s="152"/>
    </row>
    <row r="48">
      <c r="D48" s="135"/>
      <c r="F48" s="152"/>
      <c r="G48" s="152"/>
    </row>
    <row r="49">
      <c r="D49" s="135"/>
      <c r="F49" s="152"/>
      <c r="G49" s="152"/>
    </row>
    <row r="50">
      <c r="D50" s="135"/>
      <c r="F50" s="152"/>
      <c r="G50" s="152"/>
    </row>
    <row r="51">
      <c r="D51" s="135"/>
      <c r="F51" s="152"/>
      <c r="G51" s="152"/>
    </row>
    <row r="52">
      <c r="D52" s="135"/>
      <c r="F52" s="152"/>
      <c r="G52" s="152"/>
    </row>
    <row r="53">
      <c r="D53" s="135"/>
      <c r="F53" s="152"/>
      <c r="G53" s="152"/>
    </row>
    <row r="54">
      <c r="D54" s="135"/>
      <c r="F54" s="152"/>
      <c r="G54" s="152"/>
    </row>
    <row r="55">
      <c r="D55" s="135"/>
      <c r="F55" s="152"/>
      <c r="G55" s="152"/>
    </row>
    <row r="56">
      <c r="D56" s="135"/>
      <c r="F56" s="152"/>
      <c r="G56" s="152"/>
    </row>
    <row r="57">
      <c r="D57" s="135"/>
      <c r="F57" s="152"/>
      <c r="G57" s="152"/>
    </row>
    <row r="58">
      <c r="D58" s="135"/>
      <c r="F58" s="152"/>
      <c r="G58" s="152"/>
    </row>
    <row r="59">
      <c r="D59" s="135"/>
      <c r="F59" s="152"/>
      <c r="G59" s="152"/>
    </row>
    <row r="60">
      <c r="D60" s="135"/>
      <c r="F60" s="152"/>
      <c r="G60" s="152"/>
    </row>
    <row r="61">
      <c r="D61" s="135"/>
      <c r="F61" s="152"/>
      <c r="G61" s="152"/>
    </row>
    <row r="62">
      <c r="D62" s="135"/>
      <c r="F62" s="152"/>
      <c r="G62" s="152"/>
    </row>
    <row r="63">
      <c r="D63" s="135"/>
      <c r="F63" s="152"/>
      <c r="G63" s="152"/>
    </row>
    <row r="64">
      <c r="D64" s="135"/>
      <c r="F64" s="152"/>
      <c r="G64" s="152"/>
    </row>
    <row r="65">
      <c r="D65" s="135"/>
      <c r="F65" s="152"/>
      <c r="G65" s="152"/>
    </row>
    <row r="66">
      <c r="D66" s="135"/>
      <c r="F66" s="152"/>
      <c r="G66" s="152"/>
    </row>
    <row r="67">
      <c r="D67" s="135"/>
      <c r="F67" s="152"/>
      <c r="G67" s="152"/>
    </row>
    <row r="68">
      <c r="D68" s="135"/>
      <c r="F68" s="152"/>
      <c r="G68" s="152"/>
    </row>
    <row r="69">
      <c r="D69" s="135"/>
      <c r="F69" s="152"/>
      <c r="G69" s="152"/>
    </row>
    <row r="70">
      <c r="D70" s="135"/>
      <c r="F70" s="152"/>
      <c r="G70" s="152"/>
    </row>
    <row r="71">
      <c r="D71" s="135"/>
      <c r="F71" s="152"/>
      <c r="G71" s="152"/>
    </row>
    <row r="72">
      <c r="D72" s="135"/>
      <c r="F72" s="152"/>
      <c r="G72" s="152"/>
    </row>
    <row r="73">
      <c r="D73" s="135"/>
      <c r="F73" s="152"/>
      <c r="G73" s="152"/>
    </row>
    <row r="74">
      <c r="D74" s="135"/>
      <c r="F74" s="152"/>
      <c r="G74" s="152"/>
    </row>
    <row r="75">
      <c r="D75" s="135"/>
      <c r="F75" s="152"/>
      <c r="G75" s="152"/>
    </row>
    <row r="76">
      <c r="D76" s="135"/>
      <c r="F76" s="152"/>
      <c r="G76" s="152"/>
    </row>
    <row r="77">
      <c r="D77" s="135"/>
      <c r="F77" s="152"/>
      <c r="G77" s="152"/>
    </row>
    <row r="78">
      <c r="D78" s="135"/>
      <c r="F78" s="152"/>
      <c r="G78" s="152"/>
    </row>
    <row r="79">
      <c r="D79" s="135"/>
      <c r="F79" s="152"/>
      <c r="G79" s="152"/>
    </row>
    <row r="80">
      <c r="D80" s="135"/>
      <c r="F80" s="152"/>
      <c r="G80" s="152"/>
    </row>
    <row r="81">
      <c r="D81" s="135"/>
      <c r="F81" s="152"/>
      <c r="G81" s="152"/>
    </row>
    <row r="82">
      <c r="D82" s="135"/>
      <c r="F82" s="152"/>
      <c r="G82" s="152"/>
    </row>
    <row r="83">
      <c r="D83" s="135"/>
      <c r="F83" s="152"/>
      <c r="G83" s="152"/>
    </row>
    <row r="84">
      <c r="D84" s="135"/>
      <c r="F84" s="152"/>
      <c r="G84" s="152"/>
    </row>
    <row r="85">
      <c r="D85" s="135"/>
      <c r="F85" s="152"/>
      <c r="G85" s="152"/>
    </row>
    <row r="86">
      <c r="D86" s="135"/>
      <c r="F86" s="152"/>
      <c r="G86" s="152"/>
    </row>
    <row r="87">
      <c r="D87" s="135"/>
      <c r="F87" s="152"/>
      <c r="G87" s="152"/>
    </row>
    <row r="88">
      <c r="D88" s="135"/>
      <c r="F88" s="152"/>
      <c r="G88" s="152"/>
    </row>
    <row r="89">
      <c r="D89" s="135"/>
      <c r="F89" s="152"/>
      <c r="G89" s="152"/>
    </row>
    <row r="90">
      <c r="D90" s="135"/>
      <c r="F90" s="152"/>
      <c r="G90" s="152"/>
    </row>
    <row r="91">
      <c r="D91" s="135"/>
      <c r="F91" s="152"/>
      <c r="G91" s="152"/>
    </row>
    <row r="92">
      <c r="D92" s="135"/>
      <c r="F92" s="152"/>
      <c r="G92" s="152"/>
    </row>
    <row r="93">
      <c r="D93" s="135"/>
      <c r="F93" s="152"/>
      <c r="G93" s="152"/>
    </row>
    <row r="94">
      <c r="D94" s="135"/>
      <c r="F94" s="152"/>
      <c r="G94" s="152"/>
    </row>
    <row r="95">
      <c r="D95" s="135"/>
      <c r="F95" s="152"/>
      <c r="G95" s="152"/>
    </row>
    <row r="96">
      <c r="D96" s="135"/>
      <c r="F96" s="152"/>
      <c r="G96" s="152"/>
    </row>
    <row r="97">
      <c r="D97" s="135"/>
      <c r="F97" s="152"/>
      <c r="G97" s="152"/>
    </row>
    <row r="98">
      <c r="D98" s="135"/>
      <c r="F98" s="152"/>
      <c r="G98" s="152"/>
    </row>
    <row r="99">
      <c r="D99" s="135"/>
      <c r="F99" s="152"/>
      <c r="G99" s="152"/>
    </row>
    <row r="100">
      <c r="D100" s="135"/>
      <c r="F100" s="152"/>
      <c r="G100" s="152"/>
    </row>
    <row r="101">
      <c r="D101" s="135"/>
      <c r="F101" s="152"/>
      <c r="G101" s="152"/>
    </row>
    <row r="102">
      <c r="D102" s="135"/>
      <c r="F102" s="152"/>
      <c r="G102" s="152"/>
    </row>
    <row r="103">
      <c r="D103" s="135"/>
      <c r="F103" s="152"/>
      <c r="G103" s="152"/>
    </row>
    <row r="104">
      <c r="D104" s="135"/>
      <c r="F104" s="152"/>
      <c r="G104" s="152"/>
    </row>
    <row r="105">
      <c r="D105" s="135"/>
      <c r="F105" s="152"/>
      <c r="G105" s="152"/>
    </row>
    <row r="106">
      <c r="D106" s="135"/>
      <c r="F106" s="152"/>
      <c r="G106" s="152"/>
    </row>
    <row r="107">
      <c r="D107" s="135"/>
      <c r="F107" s="152"/>
      <c r="G107" s="152"/>
    </row>
    <row r="108">
      <c r="D108" s="135"/>
      <c r="F108" s="152"/>
      <c r="G108" s="152"/>
    </row>
    <row r="109">
      <c r="D109" s="135"/>
      <c r="F109" s="152"/>
      <c r="G109" s="152"/>
    </row>
    <row r="110">
      <c r="D110" s="135"/>
      <c r="F110" s="152"/>
      <c r="G110" s="152"/>
    </row>
    <row r="111">
      <c r="D111" s="135"/>
      <c r="F111" s="152"/>
      <c r="G111" s="152"/>
    </row>
    <row r="112">
      <c r="D112" s="135"/>
      <c r="F112" s="152"/>
      <c r="G112" s="152"/>
    </row>
    <row r="113">
      <c r="D113" s="135"/>
      <c r="F113" s="152"/>
      <c r="G113" s="152"/>
    </row>
    <row r="114">
      <c r="D114" s="135"/>
      <c r="F114" s="152"/>
      <c r="G114" s="152"/>
    </row>
    <row r="115">
      <c r="D115" s="135"/>
      <c r="F115" s="152"/>
      <c r="G115" s="152"/>
    </row>
    <row r="116">
      <c r="D116" s="135"/>
      <c r="F116" s="152"/>
      <c r="G116" s="152"/>
    </row>
    <row r="117">
      <c r="D117" s="135"/>
      <c r="F117" s="152"/>
      <c r="G117" s="152"/>
    </row>
    <row r="118">
      <c r="D118" s="135"/>
      <c r="F118" s="152"/>
      <c r="G118" s="152"/>
    </row>
    <row r="119">
      <c r="D119" s="135"/>
      <c r="F119" s="152"/>
      <c r="G119" s="152"/>
    </row>
    <row r="120">
      <c r="D120" s="135"/>
      <c r="F120" s="152"/>
      <c r="G120" s="152"/>
    </row>
    <row r="121">
      <c r="D121" s="135"/>
      <c r="F121" s="152"/>
      <c r="G121" s="152"/>
    </row>
    <row r="122">
      <c r="D122" s="135"/>
      <c r="F122" s="152"/>
      <c r="G122" s="152"/>
    </row>
    <row r="123">
      <c r="D123" s="135"/>
      <c r="F123" s="152"/>
      <c r="G123" s="152"/>
    </row>
    <row r="124">
      <c r="D124" s="135"/>
      <c r="F124" s="152"/>
      <c r="G124" s="152"/>
    </row>
    <row r="125">
      <c r="D125" s="135"/>
      <c r="F125" s="152"/>
      <c r="G125" s="152"/>
    </row>
    <row r="126">
      <c r="D126" s="135"/>
      <c r="F126" s="152"/>
      <c r="G126" s="152"/>
    </row>
    <row r="127">
      <c r="D127" s="135"/>
      <c r="F127" s="152"/>
      <c r="G127" s="152"/>
    </row>
    <row r="128">
      <c r="D128" s="135"/>
      <c r="F128" s="152"/>
      <c r="G128" s="152"/>
    </row>
    <row r="129">
      <c r="D129" s="135"/>
      <c r="F129" s="152"/>
      <c r="G129" s="152"/>
    </row>
    <row r="130">
      <c r="D130" s="135"/>
      <c r="F130" s="152"/>
      <c r="G130" s="152"/>
    </row>
    <row r="131">
      <c r="D131" s="135"/>
      <c r="F131" s="152"/>
      <c r="G131" s="152"/>
    </row>
    <row r="132">
      <c r="D132" s="135"/>
      <c r="F132" s="152"/>
      <c r="G132" s="152"/>
    </row>
    <row r="133">
      <c r="D133" s="135"/>
      <c r="F133" s="152"/>
      <c r="G133" s="152"/>
    </row>
    <row r="134">
      <c r="D134" s="135"/>
      <c r="F134" s="152"/>
      <c r="G134" s="152"/>
    </row>
    <row r="135">
      <c r="D135" s="135"/>
      <c r="F135" s="152"/>
      <c r="G135" s="152"/>
    </row>
    <row r="136">
      <c r="D136" s="135"/>
      <c r="F136" s="152"/>
      <c r="G136" s="152"/>
    </row>
    <row r="137">
      <c r="D137" s="135"/>
      <c r="F137" s="152"/>
      <c r="G137" s="152"/>
    </row>
    <row r="138">
      <c r="D138" s="135"/>
      <c r="F138" s="152"/>
      <c r="G138" s="152"/>
    </row>
    <row r="139">
      <c r="D139" s="135"/>
      <c r="F139" s="152"/>
      <c r="G139" s="152"/>
    </row>
    <row r="140">
      <c r="D140" s="135"/>
      <c r="F140" s="152"/>
      <c r="G140" s="152"/>
    </row>
    <row r="141">
      <c r="D141" s="135"/>
      <c r="F141" s="152"/>
      <c r="G141" s="152"/>
    </row>
    <row r="142">
      <c r="D142" s="135"/>
      <c r="F142" s="152"/>
      <c r="G142" s="152"/>
    </row>
    <row r="143">
      <c r="D143" s="135"/>
      <c r="F143" s="152"/>
      <c r="G143" s="152"/>
    </row>
    <row r="144">
      <c r="D144" s="135"/>
      <c r="F144" s="152"/>
      <c r="G144" s="152"/>
    </row>
    <row r="145">
      <c r="D145" s="135"/>
      <c r="F145" s="152"/>
      <c r="G145" s="152"/>
    </row>
    <row r="146">
      <c r="D146" s="135"/>
      <c r="F146" s="152"/>
      <c r="G146" s="152"/>
    </row>
    <row r="147">
      <c r="D147" s="135"/>
      <c r="F147" s="152"/>
      <c r="G147" s="152"/>
    </row>
    <row r="148">
      <c r="D148" s="135"/>
      <c r="F148" s="152"/>
      <c r="G148" s="152"/>
    </row>
    <row r="149">
      <c r="D149" s="135"/>
      <c r="F149" s="152"/>
      <c r="G149" s="152"/>
    </row>
    <row r="150">
      <c r="D150" s="135"/>
      <c r="F150" s="152"/>
      <c r="G150" s="152"/>
    </row>
    <row r="151">
      <c r="D151" s="135"/>
      <c r="F151" s="152"/>
      <c r="G151" s="152"/>
    </row>
    <row r="152">
      <c r="D152" s="135"/>
      <c r="F152" s="152"/>
      <c r="G152" s="152"/>
    </row>
    <row r="153">
      <c r="D153" s="135"/>
      <c r="F153" s="152"/>
      <c r="G153" s="152"/>
    </row>
    <row r="154">
      <c r="D154" s="135"/>
      <c r="F154" s="152"/>
      <c r="G154" s="152"/>
    </row>
    <row r="155">
      <c r="D155" s="135"/>
      <c r="F155" s="152"/>
      <c r="G155" s="152"/>
    </row>
    <row r="156">
      <c r="D156" s="135"/>
      <c r="F156" s="152"/>
      <c r="G156" s="152"/>
    </row>
    <row r="157">
      <c r="D157" s="135"/>
      <c r="F157" s="152"/>
      <c r="G157" s="152"/>
    </row>
    <row r="158">
      <c r="D158" s="135"/>
      <c r="F158" s="152"/>
      <c r="G158" s="152"/>
    </row>
    <row r="159">
      <c r="D159" s="135"/>
      <c r="F159" s="152"/>
      <c r="G159" s="152"/>
    </row>
    <row r="160">
      <c r="D160" s="135"/>
      <c r="F160" s="152"/>
      <c r="G160" s="152"/>
    </row>
    <row r="161">
      <c r="D161" s="135"/>
      <c r="F161" s="152"/>
      <c r="G161" s="152"/>
    </row>
    <row r="162">
      <c r="D162" s="135"/>
      <c r="F162" s="152"/>
      <c r="G162" s="152"/>
    </row>
    <row r="163">
      <c r="D163" s="135"/>
      <c r="F163" s="152"/>
      <c r="G163" s="152"/>
    </row>
    <row r="164">
      <c r="D164" s="135"/>
      <c r="F164" s="152"/>
      <c r="G164" s="152"/>
    </row>
    <row r="165">
      <c r="D165" s="135"/>
      <c r="F165" s="152"/>
      <c r="G165" s="152"/>
    </row>
    <row r="166">
      <c r="D166" s="135"/>
      <c r="F166" s="152"/>
      <c r="G166" s="152"/>
    </row>
    <row r="167">
      <c r="D167" s="135"/>
      <c r="F167" s="152"/>
      <c r="G167" s="152"/>
    </row>
    <row r="168">
      <c r="D168" s="135"/>
      <c r="F168" s="152"/>
      <c r="G168" s="152"/>
    </row>
    <row r="169">
      <c r="D169" s="135"/>
      <c r="F169" s="152"/>
      <c r="G169" s="152"/>
    </row>
    <row r="170">
      <c r="D170" s="135"/>
      <c r="F170" s="152"/>
      <c r="G170" s="152"/>
    </row>
    <row r="171">
      <c r="D171" s="135"/>
      <c r="F171" s="152"/>
      <c r="G171" s="152"/>
    </row>
    <row r="172">
      <c r="D172" s="135"/>
      <c r="F172" s="152"/>
      <c r="G172" s="152"/>
    </row>
    <row r="173">
      <c r="D173" s="135"/>
      <c r="F173" s="152"/>
      <c r="G173" s="152"/>
    </row>
    <row r="174">
      <c r="D174" s="135"/>
      <c r="F174" s="152"/>
      <c r="G174" s="152"/>
    </row>
    <row r="175">
      <c r="D175" s="135"/>
      <c r="F175" s="152"/>
      <c r="G175" s="152"/>
    </row>
    <row r="176">
      <c r="D176" s="135"/>
      <c r="F176" s="152"/>
      <c r="G176" s="152"/>
    </row>
    <row r="177">
      <c r="D177" s="135"/>
      <c r="F177" s="152"/>
      <c r="G177" s="152"/>
    </row>
    <row r="178">
      <c r="D178" s="135"/>
      <c r="F178" s="152"/>
      <c r="G178" s="152"/>
    </row>
    <row r="179">
      <c r="D179" s="135"/>
      <c r="F179" s="152"/>
      <c r="G179" s="152"/>
    </row>
    <row r="180">
      <c r="D180" s="135"/>
      <c r="F180" s="152"/>
      <c r="G180" s="152"/>
    </row>
    <row r="181">
      <c r="D181" s="135"/>
      <c r="F181" s="152"/>
      <c r="G181" s="152"/>
    </row>
    <row r="182">
      <c r="D182" s="135"/>
      <c r="F182" s="152"/>
      <c r="G182" s="152"/>
    </row>
    <row r="183">
      <c r="D183" s="135"/>
      <c r="F183" s="152"/>
      <c r="G183" s="152"/>
    </row>
    <row r="184">
      <c r="D184" s="135"/>
      <c r="F184" s="152"/>
      <c r="G184" s="152"/>
    </row>
    <row r="185">
      <c r="D185" s="135"/>
      <c r="F185" s="152"/>
      <c r="G185" s="152"/>
    </row>
    <row r="186">
      <c r="D186" s="135"/>
      <c r="F186" s="152"/>
      <c r="G186" s="152"/>
    </row>
    <row r="187">
      <c r="D187" s="135"/>
      <c r="F187" s="152"/>
      <c r="G187" s="152"/>
    </row>
    <row r="188">
      <c r="D188" s="135"/>
      <c r="F188" s="152"/>
      <c r="G188" s="152"/>
    </row>
    <row r="189">
      <c r="D189" s="135"/>
      <c r="F189" s="152"/>
      <c r="G189" s="152"/>
    </row>
    <row r="190">
      <c r="D190" s="135"/>
      <c r="F190" s="152"/>
      <c r="G190" s="152"/>
    </row>
    <row r="191">
      <c r="D191" s="135"/>
      <c r="F191" s="152"/>
      <c r="G191" s="152"/>
    </row>
    <row r="192">
      <c r="D192" s="135"/>
      <c r="F192" s="152"/>
      <c r="G192" s="152"/>
    </row>
    <row r="193">
      <c r="D193" s="135"/>
      <c r="F193" s="152"/>
      <c r="G193" s="152"/>
    </row>
    <row r="194">
      <c r="D194" s="135"/>
      <c r="F194" s="152"/>
      <c r="G194" s="152"/>
    </row>
    <row r="195">
      <c r="D195" s="135"/>
      <c r="F195" s="152"/>
      <c r="G195" s="152"/>
    </row>
    <row r="196">
      <c r="D196" s="135"/>
      <c r="F196" s="152"/>
      <c r="G196" s="152"/>
    </row>
    <row r="197">
      <c r="D197" s="135"/>
      <c r="F197" s="152"/>
      <c r="G197" s="152"/>
    </row>
    <row r="198">
      <c r="D198" s="135"/>
      <c r="F198" s="152"/>
      <c r="G198" s="152"/>
    </row>
    <row r="199">
      <c r="D199" s="135"/>
      <c r="F199" s="152"/>
      <c r="G199" s="152"/>
    </row>
    <row r="200">
      <c r="D200" s="135"/>
      <c r="F200" s="152"/>
      <c r="G200" s="152"/>
    </row>
    <row r="201">
      <c r="D201" s="135"/>
      <c r="F201" s="152"/>
      <c r="G201" s="152"/>
    </row>
    <row r="202">
      <c r="D202" s="135"/>
      <c r="F202" s="152"/>
      <c r="G202" s="152"/>
    </row>
    <row r="203">
      <c r="D203" s="135"/>
      <c r="F203" s="152"/>
      <c r="G203" s="152"/>
    </row>
    <row r="204">
      <c r="D204" s="135"/>
      <c r="F204" s="152"/>
      <c r="G204" s="152"/>
    </row>
    <row r="205">
      <c r="D205" s="135"/>
      <c r="F205" s="152"/>
      <c r="G205" s="152"/>
    </row>
    <row r="206">
      <c r="D206" s="135"/>
      <c r="F206" s="152"/>
      <c r="G206" s="152"/>
    </row>
    <row r="207">
      <c r="D207" s="135"/>
      <c r="F207" s="152"/>
      <c r="G207" s="152"/>
    </row>
    <row r="208">
      <c r="D208" s="135"/>
      <c r="F208" s="152"/>
      <c r="G208" s="152"/>
    </row>
    <row r="209">
      <c r="D209" s="135"/>
      <c r="F209" s="152"/>
      <c r="G209" s="152"/>
    </row>
    <row r="210">
      <c r="D210" s="135"/>
      <c r="F210" s="152"/>
      <c r="G210" s="152"/>
    </row>
    <row r="211">
      <c r="D211" s="135"/>
      <c r="F211" s="152"/>
      <c r="G211" s="152"/>
    </row>
    <row r="212">
      <c r="D212" s="135"/>
      <c r="F212" s="152"/>
      <c r="G212" s="152"/>
    </row>
    <row r="213">
      <c r="D213" s="135"/>
      <c r="F213" s="152"/>
      <c r="G213" s="152"/>
    </row>
    <row r="214">
      <c r="D214" s="135"/>
      <c r="F214" s="152"/>
      <c r="G214" s="152"/>
    </row>
    <row r="215">
      <c r="D215" s="135"/>
      <c r="F215" s="152"/>
      <c r="G215" s="152"/>
    </row>
    <row r="216">
      <c r="D216" s="135"/>
      <c r="F216" s="152"/>
      <c r="G216" s="152"/>
    </row>
    <row r="217">
      <c r="D217" s="135"/>
      <c r="F217" s="152"/>
      <c r="G217" s="152"/>
    </row>
    <row r="218">
      <c r="D218" s="135"/>
      <c r="F218" s="152"/>
      <c r="G218" s="152"/>
    </row>
    <row r="219">
      <c r="D219" s="135"/>
      <c r="F219" s="152"/>
      <c r="G219" s="152"/>
    </row>
    <row r="220">
      <c r="D220" s="135"/>
      <c r="F220" s="152"/>
      <c r="G220" s="152"/>
    </row>
    <row r="221">
      <c r="D221" s="135"/>
      <c r="F221" s="152"/>
      <c r="G221" s="152"/>
    </row>
    <row r="222">
      <c r="D222" s="135"/>
      <c r="F222" s="152"/>
      <c r="G222" s="152"/>
    </row>
    <row r="223">
      <c r="D223" s="135"/>
      <c r="F223" s="152"/>
      <c r="G223" s="152"/>
    </row>
    <row r="224">
      <c r="D224" s="135"/>
      <c r="F224" s="152"/>
      <c r="G224" s="152"/>
    </row>
    <row r="225">
      <c r="D225" s="135"/>
      <c r="F225" s="152"/>
      <c r="G225" s="152"/>
    </row>
    <row r="226">
      <c r="D226" s="135"/>
      <c r="F226" s="152"/>
      <c r="G226" s="152"/>
    </row>
    <row r="227">
      <c r="D227" s="135"/>
      <c r="F227" s="152"/>
      <c r="G227" s="152"/>
    </row>
    <row r="228">
      <c r="D228" s="135"/>
      <c r="F228" s="152"/>
      <c r="G228" s="152"/>
    </row>
    <row r="229">
      <c r="D229" s="135"/>
      <c r="F229" s="152"/>
      <c r="G229" s="152"/>
    </row>
    <row r="230">
      <c r="D230" s="135"/>
      <c r="F230" s="152"/>
      <c r="G230" s="152"/>
    </row>
    <row r="231">
      <c r="D231" s="135"/>
      <c r="F231" s="152"/>
      <c r="G231" s="152"/>
    </row>
    <row r="232">
      <c r="D232" s="135"/>
      <c r="F232" s="152"/>
      <c r="G232" s="152"/>
    </row>
    <row r="233">
      <c r="D233" s="135"/>
      <c r="F233" s="152"/>
      <c r="G233" s="152"/>
    </row>
    <row r="234">
      <c r="D234" s="135"/>
      <c r="F234" s="152"/>
      <c r="G234" s="152"/>
    </row>
    <row r="235">
      <c r="D235" s="135"/>
      <c r="F235" s="152"/>
      <c r="G235" s="152"/>
    </row>
    <row r="236">
      <c r="D236" s="135"/>
      <c r="F236" s="152"/>
      <c r="G236" s="152"/>
    </row>
    <row r="237">
      <c r="D237" s="135"/>
      <c r="F237" s="152"/>
      <c r="G237" s="152"/>
    </row>
    <row r="238">
      <c r="D238" s="135"/>
      <c r="F238" s="152"/>
      <c r="G238" s="152"/>
    </row>
    <row r="239">
      <c r="D239" s="135"/>
      <c r="F239" s="152"/>
      <c r="G239" s="152"/>
    </row>
    <row r="240">
      <c r="D240" s="135"/>
      <c r="F240" s="152"/>
      <c r="G240" s="152"/>
    </row>
    <row r="241">
      <c r="D241" s="135"/>
      <c r="F241" s="152"/>
      <c r="G241" s="152"/>
    </row>
    <row r="242">
      <c r="D242" s="135"/>
      <c r="F242" s="152"/>
      <c r="G242" s="152"/>
    </row>
    <row r="243">
      <c r="D243" s="135"/>
      <c r="F243" s="152"/>
      <c r="G243" s="152"/>
    </row>
    <row r="244">
      <c r="D244" s="135"/>
      <c r="F244" s="152"/>
      <c r="G244" s="152"/>
    </row>
    <row r="245">
      <c r="D245" s="135"/>
      <c r="F245" s="152"/>
      <c r="G245" s="152"/>
    </row>
    <row r="246">
      <c r="D246" s="135"/>
      <c r="F246" s="152"/>
      <c r="G246" s="152"/>
    </row>
    <row r="247">
      <c r="D247" s="135"/>
      <c r="F247" s="152"/>
      <c r="G247" s="152"/>
    </row>
    <row r="248">
      <c r="D248" s="135"/>
      <c r="F248" s="152"/>
      <c r="G248" s="152"/>
    </row>
    <row r="249">
      <c r="D249" s="135"/>
      <c r="F249" s="152"/>
      <c r="G249" s="152"/>
    </row>
    <row r="250">
      <c r="D250" s="135"/>
      <c r="F250" s="152"/>
      <c r="G250" s="152"/>
    </row>
    <row r="251">
      <c r="D251" s="135"/>
      <c r="F251" s="152"/>
      <c r="G251" s="152"/>
    </row>
    <row r="252">
      <c r="D252" s="135"/>
      <c r="F252" s="152"/>
      <c r="G252" s="152"/>
    </row>
    <row r="253">
      <c r="D253" s="135"/>
      <c r="F253" s="152"/>
      <c r="G253" s="152"/>
    </row>
    <row r="254">
      <c r="D254" s="135"/>
      <c r="F254" s="152"/>
      <c r="G254" s="152"/>
    </row>
    <row r="255">
      <c r="D255" s="135"/>
      <c r="F255" s="152"/>
      <c r="G255" s="152"/>
    </row>
    <row r="256">
      <c r="D256" s="135"/>
      <c r="F256" s="152"/>
      <c r="G256" s="152"/>
    </row>
    <row r="257">
      <c r="D257" s="135"/>
      <c r="F257" s="152"/>
      <c r="G257" s="152"/>
    </row>
    <row r="258">
      <c r="D258" s="135"/>
      <c r="F258" s="152"/>
      <c r="G258" s="152"/>
    </row>
    <row r="259">
      <c r="D259" s="135"/>
      <c r="F259" s="152"/>
      <c r="G259" s="152"/>
    </row>
    <row r="260">
      <c r="D260" s="135"/>
      <c r="F260" s="152"/>
      <c r="G260" s="152"/>
    </row>
    <row r="261">
      <c r="D261" s="135"/>
      <c r="F261" s="152"/>
      <c r="G261" s="152"/>
    </row>
    <row r="262">
      <c r="D262" s="135"/>
      <c r="F262" s="152"/>
      <c r="G262" s="152"/>
    </row>
    <row r="263">
      <c r="D263" s="135"/>
      <c r="F263" s="152"/>
      <c r="G263" s="152"/>
    </row>
    <row r="264">
      <c r="D264" s="135"/>
      <c r="F264" s="152"/>
      <c r="G264" s="152"/>
    </row>
    <row r="265">
      <c r="D265" s="135"/>
      <c r="F265" s="152"/>
      <c r="G265" s="152"/>
    </row>
    <row r="266">
      <c r="D266" s="135"/>
      <c r="F266" s="152"/>
      <c r="G266" s="152"/>
    </row>
    <row r="267">
      <c r="D267" s="135"/>
      <c r="F267" s="152"/>
      <c r="G267" s="152"/>
    </row>
    <row r="268">
      <c r="D268" s="135"/>
      <c r="F268" s="152"/>
      <c r="G268" s="152"/>
    </row>
    <row r="269">
      <c r="D269" s="135"/>
      <c r="F269" s="152"/>
      <c r="G269" s="152"/>
    </row>
    <row r="270">
      <c r="D270" s="135"/>
      <c r="F270" s="152"/>
      <c r="G270" s="152"/>
    </row>
    <row r="271">
      <c r="D271" s="135"/>
      <c r="F271" s="152"/>
      <c r="G271" s="152"/>
    </row>
    <row r="272">
      <c r="D272" s="135"/>
      <c r="F272" s="152"/>
      <c r="G272" s="152"/>
    </row>
    <row r="273">
      <c r="D273" s="135"/>
      <c r="F273" s="152"/>
      <c r="G273" s="152"/>
    </row>
    <row r="274">
      <c r="D274" s="135"/>
      <c r="F274" s="152"/>
      <c r="G274" s="152"/>
    </row>
    <row r="275">
      <c r="D275" s="135"/>
      <c r="F275" s="152"/>
      <c r="G275" s="152"/>
    </row>
    <row r="276">
      <c r="D276" s="135"/>
      <c r="F276" s="152"/>
      <c r="G276" s="152"/>
    </row>
    <row r="277">
      <c r="D277" s="135"/>
      <c r="F277" s="152"/>
      <c r="G277" s="152"/>
    </row>
    <row r="278">
      <c r="D278" s="135"/>
      <c r="F278" s="152"/>
      <c r="G278" s="152"/>
    </row>
    <row r="279">
      <c r="D279" s="135"/>
      <c r="F279" s="152"/>
      <c r="G279" s="152"/>
    </row>
    <row r="280">
      <c r="D280" s="135"/>
      <c r="F280" s="152"/>
      <c r="G280" s="152"/>
    </row>
    <row r="281">
      <c r="D281" s="135"/>
      <c r="F281" s="152"/>
      <c r="G281" s="152"/>
    </row>
    <row r="282">
      <c r="D282" s="135"/>
      <c r="F282" s="152"/>
      <c r="G282" s="152"/>
    </row>
    <row r="283">
      <c r="D283" s="135"/>
      <c r="F283" s="152"/>
      <c r="G283" s="152"/>
    </row>
    <row r="284">
      <c r="D284" s="135"/>
      <c r="F284" s="152"/>
      <c r="G284" s="152"/>
    </row>
    <row r="285">
      <c r="D285" s="135"/>
      <c r="F285" s="152"/>
      <c r="G285" s="152"/>
    </row>
    <row r="286">
      <c r="D286" s="135"/>
      <c r="F286" s="152"/>
      <c r="G286" s="152"/>
    </row>
    <row r="287">
      <c r="D287" s="135"/>
      <c r="F287" s="152"/>
      <c r="G287" s="152"/>
    </row>
    <row r="288">
      <c r="D288" s="135"/>
      <c r="F288" s="152"/>
      <c r="G288" s="152"/>
    </row>
    <row r="289">
      <c r="D289" s="135"/>
      <c r="F289" s="152"/>
      <c r="G289" s="152"/>
    </row>
    <row r="290">
      <c r="D290" s="135"/>
      <c r="F290" s="152"/>
      <c r="G290" s="152"/>
    </row>
    <row r="291">
      <c r="D291" s="135"/>
      <c r="F291" s="152"/>
      <c r="G291" s="152"/>
    </row>
    <row r="292">
      <c r="D292" s="135"/>
      <c r="F292" s="152"/>
      <c r="G292" s="152"/>
    </row>
    <row r="293">
      <c r="D293" s="135"/>
      <c r="F293" s="152"/>
      <c r="G293" s="152"/>
    </row>
    <row r="294">
      <c r="D294" s="135"/>
      <c r="F294" s="152"/>
      <c r="G294" s="152"/>
    </row>
    <row r="295">
      <c r="D295" s="135"/>
      <c r="F295" s="152"/>
      <c r="G295" s="152"/>
    </row>
    <row r="296">
      <c r="D296" s="135"/>
      <c r="F296" s="152"/>
      <c r="G296" s="152"/>
    </row>
    <row r="297">
      <c r="D297" s="135"/>
      <c r="F297" s="152"/>
      <c r="G297" s="152"/>
    </row>
    <row r="298">
      <c r="D298" s="135"/>
      <c r="F298" s="152"/>
      <c r="G298" s="152"/>
    </row>
    <row r="299">
      <c r="D299" s="135"/>
      <c r="F299" s="152"/>
      <c r="G299" s="152"/>
    </row>
    <row r="300">
      <c r="D300" s="135"/>
      <c r="F300" s="152"/>
      <c r="G300" s="152"/>
    </row>
    <row r="301">
      <c r="D301" s="135"/>
      <c r="F301" s="152"/>
      <c r="G301" s="152"/>
    </row>
    <row r="302">
      <c r="D302" s="135"/>
      <c r="F302" s="152"/>
      <c r="G302" s="152"/>
    </row>
    <row r="303">
      <c r="D303" s="135"/>
      <c r="F303" s="152"/>
      <c r="G303" s="152"/>
    </row>
    <row r="304">
      <c r="D304" s="135"/>
      <c r="F304" s="152"/>
      <c r="G304" s="152"/>
    </row>
    <row r="305">
      <c r="D305" s="135"/>
      <c r="F305" s="152"/>
      <c r="G305" s="152"/>
    </row>
    <row r="306">
      <c r="D306" s="135"/>
      <c r="F306" s="152"/>
      <c r="G306" s="152"/>
    </row>
    <row r="307">
      <c r="D307" s="135"/>
      <c r="F307" s="152"/>
      <c r="G307" s="152"/>
    </row>
    <row r="308">
      <c r="D308" s="135"/>
      <c r="F308" s="152"/>
      <c r="G308" s="152"/>
    </row>
    <row r="309">
      <c r="D309" s="135"/>
      <c r="F309" s="152"/>
      <c r="G309" s="152"/>
    </row>
    <row r="310">
      <c r="D310" s="135"/>
      <c r="F310" s="152"/>
      <c r="G310" s="152"/>
    </row>
    <row r="311">
      <c r="D311" s="135"/>
      <c r="F311" s="152"/>
      <c r="G311" s="152"/>
    </row>
    <row r="312">
      <c r="D312" s="135"/>
      <c r="F312" s="152"/>
      <c r="G312" s="152"/>
    </row>
    <row r="313">
      <c r="D313" s="135"/>
      <c r="F313" s="152"/>
      <c r="G313" s="152"/>
    </row>
    <row r="314">
      <c r="D314" s="135"/>
      <c r="F314" s="152"/>
      <c r="G314" s="152"/>
    </row>
    <row r="315">
      <c r="D315" s="135"/>
      <c r="F315" s="152"/>
      <c r="G315" s="152"/>
    </row>
    <row r="316">
      <c r="D316" s="135"/>
      <c r="F316" s="152"/>
      <c r="G316" s="152"/>
    </row>
    <row r="317">
      <c r="D317" s="135"/>
      <c r="F317" s="152"/>
      <c r="G317" s="152"/>
    </row>
    <row r="318">
      <c r="D318" s="135"/>
      <c r="F318" s="152"/>
      <c r="G318" s="152"/>
    </row>
    <row r="319">
      <c r="D319" s="135"/>
      <c r="F319" s="152"/>
      <c r="G319" s="152"/>
    </row>
    <row r="320">
      <c r="D320" s="135"/>
      <c r="F320" s="152"/>
      <c r="G320" s="152"/>
    </row>
    <row r="321">
      <c r="D321" s="135"/>
      <c r="F321" s="152"/>
      <c r="G321" s="152"/>
    </row>
    <row r="322">
      <c r="D322" s="135"/>
      <c r="F322" s="152"/>
      <c r="G322" s="152"/>
    </row>
    <row r="323">
      <c r="D323" s="135"/>
      <c r="F323" s="152"/>
      <c r="G323" s="152"/>
    </row>
    <row r="324">
      <c r="D324" s="135"/>
      <c r="F324" s="152"/>
      <c r="G324" s="152"/>
    </row>
    <row r="325">
      <c r="D325" s="135"/>
      <c r="F325" s="152"/>
      <c r="G325" s="152"/>
    </row>
    <row r="326">
      <c r="D326" s="135"/>
      <c r="F326" s="152"/>
      <c r="G326" s="152"/>
    </row>
    <row r="327">
      <c r="D327" s="135"/>
      <c r="F327" s="152"/>
      <c r="G327" s="152"/>
    </row>
    <row r="328">
      <c r="D328" s="135"/>
      <c r="F328" s="152"/>
      <c r="G328" s="152"/>
    </row>
    <row r="329">
      <c r="D329" s="135"/>
      <c r="F329" s="152"/>
      <c r="G329" s="152"/>
    </row>
    <row r="330">
      <c r="D330" s="135"/>
      <c r="F330" s="152"/>
      <c r="G330" s="152"/>
    </row>
    <row r="331">
      <c r="D331" s="135"/>
      <c r="F331" s="152"/>
      <c r="G331" s="152"/>
    </row>
    <row r="332">
      <c r="D332" s="135"/>
      <c r="F332" s="152"/>
      <c r="G332" s="152"/>
    </row>
    <row r="333">
      <c r="D333" s="135"/>
      <c r="F333" s="152"/>
      <c r="G333" s="152"/>
    </row>
    <row r="334">
      <c r="D334" s="135"/>
      <c r="F334" s="152"/>
      <c r="G334" s="152"/>
    </row>
    <row r="335">
      <c r="D335" s="135"/>
      <c r="F335" s="152"/>
      <c r="G335" s="152"/>
    </row>
    <row r="336">
      <c r="D336" s="135"/>
      <c r="F336" s="152"/>
      <c r="G336" s="152"/>
    </row>
    <row r="337">
      <c r="D337" s="135"/>
      <c r="F337" s="152"/>
      <c r="G337" s="152"/>
    </row>
    <row r="338">
      <c r="D338" s="135"/>
      <c r="F338" s="152"/>
      <c r="G338" s="152"/>
    </row>
    <row r="339">
      <c r="D339" s="135"/>
      <c r="F339" s="152"/>
      <c r="G339" s="152"/>
    </row>
    <row r="340">
      <c r="D340" s="135"/>
      <c r="F340" s="152"/>
      <c r="G340" s="152"/>
    </row>
    <row r="341">
      <c r="D341" s="135"/>
      <c r="F341" s="152"/>
      <c r="G341" s="152"/>
    </row>
    <row r="342">
      <c r="D342" s="135"/>
      <c r="F342" s="152"/>
      <c r="G342" s="152"/>
    </row>
    <row r="343">
      <c r="D343" s="135"/>
      <c r="F343" s="152"/>
      <c r="G343" s="152"/>
    </row>
    <row r="344">
      <c r="D344" s="135"/>
      <c r="F344" s="152"/>
      <c r="G344" s="152"/>
    </row>
    <row r="345">
      <c r="D345" s="135"/>
      <c r="F345" s="152"/>
      <c r="G345" s="152"/>
    </row>
    <row r="346">
      <c r="D346" s="135"/>
      <c r="F346" s="152"/>
      <c r="G346" s="152"/>
    </row>
    <row r="347">
      <c r="D347" s="135"/>
      <c r="F347" s="152"/>
      <c r="G347" s="152"/>
    </row>
    <row r="348">
      <c r="D348" s="135"/>
      <c r="F348" s="152"/>
      <c r="G348" s="152"/>
    </row>
    <row r="349">
      <c r="D349" s="135"/>
      <c r="F349" s="152"/>
      <c r="G349" s="152"/>
    </row>
    <row r="350">
      <c r="D350" s="135"/>
      <c r="F350" s="152"/>
      <c r="G350" s="152"/>
    </row>
    <row r="351">
      <c r="D351" s="135"/>
      <c r="F351" s="152"/>
      <c r="G351" s="152"/>
    </row>
    <row r="352">
      <c r="D352" s="135"/>
      <c r="F352" s="152"/>
      <c r="G352" s="152"/>
    </row>
    <row r="353">
      <c r="D353" s="135"/>
      <c r="F353" s="152"/>
      <c r="G353" s="152"/>
    </row>
    <row r="354">
      <c r="D354" s="135"/>
      <c r="F354" s="152"/>
      <c r="G354" s="152"/>
    </row>
    <row r="355">
      <c r="D355" s="135"/>
      <c r="F355" s="152"/>
      <c r="G355" s="152"/>
    </row>
    <row r="356">
      <c r="D356" s="135"/>
      <c r="F356" s="152"/>
      <c r="G356" s="152"/>
    </row>
    <row r="357">
      <c r="D357" s="135"/>
      <c r="F357" s="152"/>
      <c r="G357" s="152"/>
    </row>
    <row r="358">
      <c r="D358" s="135"/>
      <c r="F358" s="152"/>
      <c r="G358" s="152"/>
    </row>
    <row r="359">
      <c r="D359" s="135"/>
      <c r="F359" s="152"/>
      <c r="G359" s="152"/>
    </row>
    <row r="360">
      <c r="D360" s="135"/>
      <c r="F360" s="152"/>
      <c r="G360" s="152"/>
    </row>
    <row r="361">
      <c r="D361" s="135"/>
      <c r="F361" s="152"/>
      <c r="G361" s="152"/>
    </row>
    <row r="362">
      <c r="D362" s="135"/>
      <c r="F362" s="152"/>
      <c r="G362" s="152"/>
    </row>
    <row r="363">
      <c r="D363" s="135"/>
      <c r="F363" s="152"/>
      <c r="G363" s="152"/>
    </row>
    <row r="364">
      <c r="D364" s="135"/>
      <c r="F364" s="152"/>
      <c r="G364" s="152"/>
    </row>
    <row r="365">
      <c r="D365" s="135"/>
      <c r="F365" s="152"/>
      <c r="G365" s="152"/>
    </row>
    <row r="366">
      <c r="D366" s="135"/>
      <c r="F366" s="152"/>
      <c r="G366" s="152"/>
    </row>
    <row r="367">
      <c r="D367" s="135"/>
      <c r="F367" s="152"/>
      <c r="G367" s="152"/>
    </row>
    <row r="368">
      <c r="D368" s="135"/>
      <c r="F368" s="152"/>
      <c r="G368" s="152"/>
    </row>
    <row r="369">
      <c r="D369" s="135"/>
      <c r="F369" s="152"/>
      <c r="G369" s="152"/>
    </row>
    <row r="370">
      <c r="D370" s="135"/>
      <c r="F370" s="152"/>
      <c r="G370" s="152"/>
    </row>
    <row r="371">
      <c r="D371" s="135"/>
      <c r="F371" s="152"/>
      <c r="G371" s="152"/>
    </row>
    <row r="372">
      <c r="D372" s="135"/>
      <c r="F372" s="152"/>
      <c r="G372" s="152"/>
    </row>
    <row r="373">
      <c r="D373" s="135"/>
      <c r="F373" s="152"/>
      <c r="G373" s="152"/>
    </row>
    <row r="374">
      <c r="D374" s="135"/>
      <c r="F374" s="152"/>
      <c r="G374" s="152"/>
    </row>
    <row r="375">
      <c r="D375" s="135"/>
      <c r="F375" s="152"/>
      <c r="G375" s="152"/>
    </row>
    <row r="376">
      <c r="D376" s="135"/>
      <c r="F376" s="152"/>
      <c r="G376" s="152"/>
    </row>
    <row r="377">
      <c r="D377" s="135"/>
      <c r="F377" s="152"/>
      <c r="G377" s="152"/>
    </row>
    <row r="378">
      <c r="D378" s="135"/>
      <c r="F378" s="152"/>
      <c r="G378" s="152"/>
    </row>
    <row r="379">
      <c r="D379" s="135"/>
      <c r="F379" s="152"/>
      <c r="G379" s="152"/>
    </row>
    <row r="380">
      <c r="D380" s="135"/>
      <c r="F380" s="152"/>
      <c r="G380" s="152"/>
    </row>
    <row r="381">
      <c r="D381" s="135"/>
      <c r="F381" s="152"/>
      <c r="G381" s="152"/>
    </row>
    <row r="382">
      <c r="D382" s="135"/>
      <c r="F382" s="152"/>
      <c r="G382" s="152"/>
    </row>
    <row r="383">
      <c r="D383" s="135"/>
      <c r="F383" s="152"/>
      <c r="G383" s="152"/>
    </row>
    <row r="384">
      <c r="D384" s="135"/>
      <c r="F384" s="152"/>
      <c r="G384" s="152"/>
    </row>
    <row r="385">
      <c r="D385" s="135"/>
      <c r="F385" s="152"/>
      <c r="G385" s="152"/>
    </row>
    <row r="386">
      <c r="D386" s="135"/>
      <c r="F386" s="152"/>
      <c r="G386" s="152"/>
    </row>
    <row r="387">
      <c r="D387" s="135"/>
      <c r="F387" s="152"/>
      <c r="G387" s="152"/>
    </row>
    <row r="388">
      <c r="D388" s="135"/>
      <c r="F388" s="152"/>
      <c r="G388" s="152"/>
    </row>
    <row r="389">
      <c r="D389" s="135"/>
      <c r="F389" s="152"/>
      <c r="G389" s="152"/>
    </row>
    <row r="390">
      <c r="D390" s="135"/>
      <c r="F390" s="152"/>
      <c r="G390" s="152"/>
    </row>
    <row r="391">
      <c r="D391" s="135"/>
      <c r="F391" s="152"/>
      <c r="G391" s="152"/>
    </row>
    <row r="392">
      <c r="D392" s="135"/>
      <c r="F392" s="152"/>
      <c r="G392" s="152"/>
    </row>
    <row r="393">
      <c r="D393" s="135"/>
      <c r="F393" s="152"/>
      <c r="G393" s="152"/>
    </row>
    <row r="394">
      <c r="D394" s="135"/>
      <c r="F394" s="152"/>
      <c r="G394" s="152"/>
    </row>
    <row r="395">
      <c r="D395" s="135"/>
      <c r="F395" s="152"/>
      <c r="G395" s="152"/>
    </row>
    <row r="396">
      <c r="D396" s="135"/>
      <c r="F396" s="152"/>
      <c r="G396" s="152"/>
    </row>
    <row r="397">
      <c r="D397" s="135"/>
      <c r="F397" s="152"/>
      <c r="G397" s="152"/>
    </row>
    <row r="398">
      <c r="D398" s="135"/>
      <c r="F398" s="152"/>
      <c r="G398" s="152"/>
    </row>
    <row r="399">
      <c r="D399" s="135"/>
      <c r="F399" s="152"/>
      <c r="G399" s="152"/>
    </row>
    <row r="400">
      <c r="D400" s="135"/>
      <c r="F400" s="152"/>
      <c r="G400" s="152"/>
    </row>
    <row r="401">
      <c r="D401" s="135"/>
      <c r="F401" s="152"/>
      <c r="G401" s="152"/>
    </row>
    <row r="402">
      <c r="D402" s="135"/>
      <c r="F402" s="152"/>
      <c r="G402" s="152"/>
    </row>
    <row r="403">
      <c r="D403" s="135"/>
      <c r="F403" s="152"/>
      <c r="G403" s="152"/>
    </row>
    <row r="404">
      <c r="D404" s="135"/>
      <c r="F404" s="152"/>
      <c r="G404" s="152"/>
    </row>
    <row r="405">
      <c r="D405" s="135"/>
      <c r="F405" s="152"/>
      <c r="G405" s="152"/>
    </row>
    <row r="406">
      <c r="D406" s="135"/>
      <c r="F406" s="152"/>
      <c r="G406" s="152"/>
    </row>
    <row r="407">
      <c r="D407" s="135"/>
      <c r="F407" s="152"/>
      <c r="G407" s="152"/>
    </row>
    <row r="408">
      <c r="D408" s="135"/>
      <c r="F408" s="152"/>
      <c r="G408" s="152"/>
    </row>
    <row r="409">
      <c r="D409" s="135"/>
      <c r="F409" s="152"/>
      <c r="G409" s="152"/>
    </row>
    <row r="410">
      <c r="D410" s="135"/>
      <c r="F410" s="152"/>
      <c r="G410" s="152"/>
    </row>
    <row r="411">
      <c r="D411" s="135"/>
      <c r="F411" s="152"/>
      <c r="G411" s="152"/>
    </row>
    <row r="412">
      <c r="D412" s="135"/>
      <c r="F412" s="152"/>
      <c r="G412" s="152"/>
    </row>
    <row r="413">
      <c r="D413" s="135"/>
      <c r="F413" s="152"/>
      <c r="G413" s="152"/>
    </row>
    <row r="414">
      <c r="D414" s="135"/>
      <c r="F414" s="152"/>
      <c r="G414" s="152"/>
    </row>
    <row r="415">
      <c r="D415" s="135"/>
      <c r="F415" s="152"/>
      <c r="G415" s="152"/>
    </row>
    <row r="416">
      <c r="D416" s="135"/>
      <c r="F416" s="152"/>
      <c r="G416" s="152"/>
    </row>
    <row r="417">
      <c r="D417" s="135"/>
      <c r="F417" s="152"/>
      <c r="G417" s="152"/>
    </row>
    <row r="418">
      <c r="D418" s="135"/>
      <c r="F418" s="152"/>
      <c r="G418" s="152"/>
    </row>
    <row r="419">
      <c r="D419" s="135"/>
      <c r="F419" s="152"/>
      <c r="G419" s="152"/>
    </row>
    <row r="420">
      <c r="D420" s="135"/>
      <c r="F420" s="152"/>
      <c r="G420" s="152"/>
    </row>
    <row r="421">
      <c r="D421" s="135"/>
      <c r="F421" s="152"/>
      <c r="G421" s="152"/>
    </row>
    <row r="422">
      <c r="D422" s="135"/>
      <c r="F422" s="152"/>
      <c r="G422" s="152"/>
    </row>
    <row r="423">
      <c r="D423" s="135"/>
      <c r="F423" s="152"/>
      <c r="G423" s="152"/>
    </row>
    <row r="424">
      <c r="D424" s="135"/>
      <c r="F424" s="152"/>
      <c r="G424" s="152"/>
    </row>
    <row r="425">
      <c r="D425" s="135"/>
      <c r="F425" s="152"/>
      <c r="G425" s="152"/>
    </row>
    <row r="426">
      <c r="D426" s="135"/>
      <c r="F426" s="152"/>
      <c r="G426" s="152"/>
    </row>
    <row r="427">
      <c r="D427" s="135"/>
      <c r="F427" s="152"/>
      <c r="G427" s="152"/>
    </row>
    <row r="428">
      <c r="D428" s="135"/>
      <c r="F428" s="152"/>
      <c r="G428" s="152"/>
    </row>
    <row r="429">
      <c r="D429" s="135"/>
      <c r="F429" s="152"/>
      <c r="G429" s="152"/>
    </row>
    <row r="430">
      <c r="D430" s="135"/>
      <c r="F430" s="152"/>
      <c r="G430" s="152"/>
    </row>
    <row r="431">
      <c r="D431" s="135"/>
      <c r="F431" s="152"/>
      <c r="G431" s="152"/>
    </row>
    <row r="432">
      <c r="D432" s="135"/>
      <c r="F432" s="152"/>
      <c r="G432" s="152"/>
    </row>
    <row r="433">
      <c r="D433" s="135"/>
      <c r="F433" s="152"/>
      <c r="G433" s="152"/>
    </row>
    <row r="434">
      <c r="D434" s="135"/>
      <c r="F434" s="152"/>
      <c r="G434" s="152"/>
    </row>
    <row r="435">
      <c r="D435" s="135"/>
      <c r="F435" s="152"/>
      <c r="G435" s="152"/>
    </row>
    <row r="436">
      <c r="D436" s="135"/>
      <c r="F436" s="152"/>
      <c r="G436" s="152"/>
    </row>
    <row r="437">
      <c r="D437" s="135"/>
      <c r="F437" s="152"/>
      <c r="G437" s="152"/>
    </row>
    <row r="438">
      <c r="D438" s="135"/>
      <c r="F438" s="152"/>
      <c r="G438" s="152"/>
    </row>
    <row r="439">
      <c r="D439" s="135"/>
      <c r="F439" s="152"/>
      <c r="G439" s="152"/>
    </row>
    <row r="440">
      <c r="D440" s="135"/>
      <c r="F440" s="152"/>
      <c r="G440" s="152"/>
    </row>
    <row r="441">
      <c r="D441" s="135"/>
      <c r="F441" s="152"/>
      <c r="G441" s="152"/>
    </row>
    <row r="442">
      <c r="D442" s="135"/>
      <c r="F442" s="152"/>
      <c r="G442" s="152"/>
    </row>
    <row r="443">
      <c r="D443" s="135"/>
      <c r="F443" s="152"/>
      <c r="G443" s="152"/>
    </row>
    <row r="444">
      <c r="D444" s="135"/>
      <c r="F444" s="152"/>
      <c r="G444" s="152"/>
    </row>
    <row r="445">
      <c r="D445" s="135"/>
      <c r="F445" s="152"/>
      <c r="G445" s="152"/>
    </row>
    <row r="446">
      <c r="D446" s="135"/>
      <c r="F446" s="152"/>
      <c r="G446" s="152"/>
    </row>
    <row r="447">
      <c r="D447" s="135"/>
      <c r="F447" s="152"/>
      <c r="G447" s="152"/>
    </row>
    <row r="448">
      <c r="D448" s="135"/>
      <c r="F448" s="152"/>
      <c r="G448" s="152"/>
    </row>
    <row r="449">
      <c r="D449" s="135"/>
      <c r="F449" s="152"/>
      <c r="G449" s="152"/>
    </row>
    <row r="450">
      <c r="D450" s="135"/>
      <c r="F450" s="152"/>
      <c r="G450" s="152"/>
    </row>
    <row r="451">
      <c r="D451" s="135"/>
      <c r="F451" s="152"/>
      <c r="G451" s="152"/>
    </row>
    <row r="452">
      <c r="D452" s="135"/>
      <c r="F452" s="152"/>
      <c r="G452" s="152"/>
    </row>
    <row r="453">
      <c r="D453" s="135"/>
      <c r="F453" s="152"/>
      <c r="G453" s="152"/>
    </row>
    <row r="454">
      <c r="D454" s="135"/>
      <c r="F454" s="152"/>
      <c r="G454" s="152"/>
    </row>
    <row r="455">
      <c r="D455" s="135"/>
      <c r="F455" s="152"/>
      <c r="G455" s="152"/>
    </row>
    <row r="456">
      <c r="D456" s="135"/>
      <c r="F456" s="152"/>
      <c r="G456" s="152"/>
    </row>
    <row r="457">
      <c r="D457" s="135"/>
      <c r="F457" s="152"/>
      <c r="G457" s="152"/>
    </row>
    <row r="458">
      <c r="D458" s="135"/>
      <c r="F458" s="152"/>
      <c r="G458" s="152"/>
    </row>
    <row r="459">
      <c r="D459" s="135"/>
      <c r="F459" s="152"/>
      <c r="G459" s="152"/>
    </row>
    <row r="460">
      <c r="D460" s="135"/>
      <c r="F460" s="152"/>
      <c r="G460" s="152"/>
    </row>
    <row r="461">
      <c r="D461" s="135"/>
      <c r="F461" s="152"/>
      <c r="G461" s="152"/>
    </row>
    <row r="462">
      <c r="D462" s="135"/>
      <c r="F462" s="152"/>
      <c r="G462" s="152"/>
    </row>
    <row r="463">
      <c r="D463" s="135"/>
      <c r="F463" s="152"/>
      <c r="G463" s="152"/>
    </row>
    <row r="464">
      <c r="D464" s="135"/>
      <c r="F464" s="152"/>
      <c r="G464" s="152"/>
    </row>
    <row r="465">
      <c r="D465" s="135"/>
      <c r="F465" s="152"/>
      <c r="G465" s="152"/>
    </row>
    <row r="466">
      <c r="D466" s="135"/>
      <c r="F466" s="152"/>
      <c r="G466" s="152"/>
    </row>
    <row r="467">
      <c r="D467" s="135"/>
      <c r="F467" s="152"/>
      <c r="G467" s="152"/>
    </row>
    <row r="468">
      <c r="D468" s="135"/>
      <c r="F468" s="152"/>
      <c r="G468" s="152"/>
    </row>
    <row r="469">
      <c r="D469" s="135"/>
      <c r="F469" s="152"/>
      <c r="G469" s="152"/>
    </row>
    <row r="470">
      <c r="D470" s="135"/>
      <c r="F470" s="152"/>
      <c r="G470" s="152"/>
    </row>
    <row r="471">
      <c r="D471" s="135"/>
      <c r="F471" s="152"/>
      <c r="G471" s="152"/>
    </row>
    <row r="472">
      <c r="D472" s="135"/>
      <c r="F472" s="152"/>
      <c r="G472" s="152"/>
    </row>
    <row r="473">
      <c r="D473" s="135"/>
      <c r="F473" s="152"/>
      <c r="G473" s="152"/>
    </row>
    <row r="474">
      <c r="D474" s="135"/>
      <c r="F474" s="152"/>
      <c r="G474" s="152"/>
    </row>
    <row r="475">
      <c r="D475" s="135"/>
      <c r="F475" s="152"/>
      <c r="G475" s="152"/>
    </row>
    <row r="476">
      <c r="D476" s="135"/>
      <c r="F476" s="152"/>
      <c r="G476" s="152"/>
    </row>
    <row r="477">
      <c r="D477" s="135"/>
      <c r="F477" s="152"/>
      <c r="G477" s="152"/>
    </row>
    <row r="478">
      <c r="D478" s="135"/>
      <c r="F478" s="152"/>
      <c r="G478" s="152"/>
    </row>
    <row r="479">
      <c r="D479" s="135"/>
      <c r="F479" s="152"/>
      <c r="G479" s="152"/>
    </row>
    <row r="480">
      <c r="D480" s="135"/>
      <c r="F480" s="152"/>
      <c r="G480" s="152"/>
    </row>
    <row r="481">
      <c r="D481" s="135"/>
      <c r="F481" s="152"/>
      <c r="G481" s="152"/>
    </row>
    <row r="482">
      <c r="D482" s="135"/>
      <c r="F482" s="152"/>
      <c r="G482" s="152"/>
    </row>
    <row r="483">
      <c r="D483" s="135"/>
      <c r="F483" s="152"/>
      <c r="G483" s="152"/>
    </row>
    <row r="484">
      <c r="D484" s="135"/>
      <c r="F484" s="152"/>
      <c r="G484" s="152"/>
    </row>
    <row r="485">
      <c r="D485" s="135"/>
      <c r="F485" s="152"/>
      <c r="G485" s="152"/>
    </row>
    <row r="486">
      <c r="D486" s="135"/>
      <c r="F486" s="152"/>
      <c r="G486" s="152"/>
    </row>
    <row r="487">
      <c r="D487" s="135"/>
      <c r="F487" s="152"/>
      <c r="G487" s="152"/>
    </row>
    <row r="488">
      <c r="D488" s="135"/>
      <c r="F488" s="152"/>
      <c r="G488" s="152"/>
    </row>
    <row r="489">
      <c r="D489" s="135"/>
      <c r="F489" s="152"/>
      <c r="G489" s="152"/>
    </row>
    <row r="490">
      <c r="D490" s="135"/>
      <c r="F490" s="152"/>
      <c r="G490" s="152"/>
    </row>
    <row r="491">
      <c r="D491" s="135"/>
      <c r="F491" s="152"/>
      <c r="G491" s="152"/>
    </row>
    <row r="492">
      <c r="D492" s="135"/>
      <c r="F492" s="152"/>
      <c r="G492" s="152"/>
    </row>
    <row r="493">
      <c r="D493" s="135"/>
      <c r="F493" s="152"/>
      <c r="G493" s="152"/>
    </row>
    <row r="494">
      <c r="D494" s="135"/>
      <c r="F494" s="152"/>
      <c r="G494" s="152"/>
    </row>
    <row r="495">
      <c r="D495" s="135"/>
      <c r="F495" s="152"/>
      <c r="G495" s="152"/>
    </row>
    <row r="496">
      <c r="D496" s="135"/>
      <c r="F496" s="152"/>
      <c r="G496" s="152"/>
    </row>
    <row r="497">
      <c r="D497" s="135"/>
      <c r="F497" s="152"/>
      <c r="G497" s="152"/>
    </row>
    <row r="498">
      <c r="D498" s="135"/>
      <c r="F498" s="152"/>
      <c r="G498" s="152"/>
    </row>
    <row r="499">
      <c r="D499" s="135"/>
      <c r="F499" s="152"/>
      <c r="G499" s="152"/>
    </row>
    <row r="500">
      <c r="D500" s="135"/>
      <c r="F500" s="152"/>
      <c r="G500" s="152"/>
    </row>
    <row r="501">
      <c r="D501" s="135"/>
      <c r="F501" s="152"/>
      <c r="G501" s="152"/>
    </row>
    <row r="502">
      <c r="D502" s="135"/>
      <c r="F502" s="152"/>
      <c r="G502" s="152"/>
    </row>
    <row r="503">
      <c r="D503" s="135"/>
      <c r="F503" s="152"/>
      <c r="G503" s="152"/>
    </row>
    <row r="504">
      <c r="D504" s="135"/>
      <c r="F504" s="152"/>
      <c r="G504" s="152"/>
    </row>
    <row r="505">
      <c r="D505" s="135"/>
      <c r="F505" s="152"/>
      <c r="G505" s="152"/>
    </row>
    <row r="506">
      <c r="D506" s="135"/>
      <c r="F506" s="152"/>
      <c r="G506" s="152"/>
    </row>
    <row r="507">
      <c r="D507" s="135"/>
      <c r="F507" s="152"/>
      <c r="G507" s="152"/>
    </row>
    <row r="508">
      <c r="D508" s="135"/>
      <c r="F508" s="152"/>
      <c r="G508" s="152"/>
    </row>
    <row r="509">
      <c r="D509" s="135"/>
      <c r="F509" s="152"/>
      <c r="G509" s="152"/>
    </row>
    <row r="510">
      <c r="D510" s="135"/>
      <c r="F510" s="152"/>
      <c r="G510" s="152"/>
    </row>
    <row r="511">
      <c r="D511" s="135"/>
      <c r="F511" s="152"/>
      <c r="G511" s="152"/>
    </row>
    <row r="512">
      <c r="D512" s="135"/>
      <c r="F512" s="152"/>
      <c r="G512" s="152"/>
    </row>
    <row r="513">
      <c r="D513" s="135"/>
      <c r="F513" s="152"/>
      <c r="G513" s="152"/>
    </row>
    <row r="514">
      <c r="D514" s="135"/>
      <c r="F514" s="152"/>
      <c r="G514" s="152"/>
    </row>
    <row r="515">
      <c r="D515" s="135"/>
      <c r="F515" s="152"/>
      <c r="G515" s="152"/>
    </row>
    <row r="516">
      <c r="D516" s="135"/>
      <c r="F516" s="152"/>
      <c r="G516" s="152"/>
    </row>
    <row r="517">
      <c r="D517" s="135"/>
      <c r="F517" s="152"/>
      <c r="G517" s="152"/>
    </row>
    <row r="518">
      <c r="D518" s="135"/>
      <c r="F518" s="152"/>
      <c r="G518" s="152"/>
    </row>
    <row r="519">
      <c r="D519" s="135"/>
      <c r="F519" s="152"/>
      <c r="G519" s="152"/>
    </row>
    <row r="520">
      <c r="D520" s="135"/>
      <c r="F520" s="152"/>
      <c r="G520" s="152"/>
    </row>
    <row r="521">
      <c r="D521" s="135"/>
      <c r="F521" s="152"/>
      <c r="G521" s="152"/>
    </row>
    <row r="522">
      <c r="D522" s="135"/>
      <c r="F522" s="152"/>
      <c r="G522" s="152"/>
    </row>
    <row r="523">
      <c r="D523" s="135"/>
      <c r="F523" s="152"/>
      <c r="G523" s="152"/>
    </row>
    <row r="524">
      <c r="D524" s="135"/>
      <c r="F524" s="152"/>
      <c r="G524" s="152"/>
    </row>
    <row r="525">
      <c r="D525" s="135"/>
      <c r="F525" s="152"/>
      <c r="G525" s="152"/>
    </row>
    <row r="526">
      <c r="D526" s="135"/>
      <c r="F526" s="152"/>
      <c r="G526" s="152"/>
    </row>
    <row r="527">
      <c r="D527" s="135"/>
      <c r="F527" s="152"/>
      <c r="G527" s="152"/>
    </row>
    <row r="528">
      <c r="D528" s="135"/>
      <c r="F528" s="152"/>
      <c r="G528" s="152"/>
    </row>
    <row r="529">
      <c r="D529" s="135"/>
      <c r="F529" s="152"/>
      <c r="G529" s="152"/>
    </row>
    <row r="530">
      <c r="D530" s="135"/>
      <c r="F530" s="152"/>
      <c r="G530" s="152"/>
    </row>
    <row r="531">
      <c r="D531" s="135"/>
      <c r="F531" s="152"/>
      <c r="G531" s="152"/>
    </row>
    <row r="532">
      <c r="D532" s="135"/>
      <c r="F532" s="152"/>
      <c r="G532" s="152"/>
    </row>
    <row r="533">
      <c r="D533" s="135"/>
      <c r="F533" s="152"/>
      <c r="G533" s="152"/>
    </row>
    <row r="534">
      <c r="D534" s="135"/>
      <c r="F534" s="152"/>
      <c r="G534" s="152"/>
    </row>
    <row r="535">
      <c r="D535" s="135"/>
      <c r="F535" s="152"/>
      <c r="G535" s="152"/>
    </row>
    <row r="536">
      <c r="D536" s="135"/>
      <c r="F536" s="152"/>
      <c r="G536" s="152"/>
    </row>
    <row r="537">
      <c r="D537" s="135"/>
      <c r="F537" s="152"/>
      <c r="G537" s="152"/>
    </row>
    <row r="538">
      <c r="D538" s="135"/>
      <c r="F538" s="152"/>
      <c r="G538" s="152"/>
    </row>
    <row r="539">
      <c r="D539" s="135"/>
      <c r="F539" s="152"/>
      <c r="G539" s="152"/>
    </row>
    <row r="540">
      <c r="D540" s="135"/>
      <c r="F540" s="152"/>
      <c r="G540" s="152"/>
    </row>
    <row r="541">
      <c r="D541" s="135"/>
      <c r="F541" s="152"/>
      <c r="G541" s="152"/>
    </row>
    <row r="542">
      <c r="D542" s="135"/>
      <c r="F542" s="152"/>
      <c r="G542" s="152"/>
    </row>
    <row r="543">
      <c r="D543" s="135"/>
      <c r="F543" s="152"/>
      <c r="G543" s="152"/>
    </row>
    <row r="544">
      <c r="D544" s="135"/>
      <c r="F544" s="152"/>
      <c r="G544" s="152"/>
    </row>
    <row r="545">
      <c r="D545" s="135"/>
      <c r="F545" s="152"/>
      <c r="G545" s="152"/>
    </row>
    <row r="546">
      <c r="D546" s="135"/>
      <c r="F546" s="152"/>
      <c r="G546" s="152"/>
    </row>
    <row r="547">
      <c r="D547" s="135"/>
      <c r="F547" s="152"/>
      <c r="G547" s="152"/>
    </row>
    <row r="548">
      <c r="D548" s="135"/>
      <c r="F548" s="152"/>
      <c r="G548" s="152"/>
    </row>
    <row r="549">
      <c r="D549" s="135"/>
      <c r="F549" s="152"/>
      <c r="G549" s="152"/>
    </row>
    <row r="550">
      <c r="D550" s="135"/>
      <c r="F550" s="152"/>
      <c r="G550" s="152"/>
    </row>
    <row r="551">
      <c r="D551" s="135"/>
      <c r="F551" s="152"/>
      <c r="G551" s="152"/>
    </row>
    <row r="552">
      <c r="D552" s="135"/>
      <c r="F552" s="152"/>
      <c r="G552" s="152"/>
    </row>
    <row r="553">
      <c r="D553" s="135"/>
      <c r="F553" s="152"/>
      <c r="G553" s="152"/>
    </row>
    <row r="554">
      <c r="D554" s="135"/>
      <c r="F554" s="152"/>
      <c r="G554" s="152"/>
    </row>
    <row r="555">
      <c r="D555" s="135"/>
      <c r="F555" s="152"/>
      <c r="G555" s="152"/>
    </row>
    <row r="556">
      <c r="D556" s="135"/>
      <c r="F556" s="152"/>
      <c r="G556" s="152"/>
    </row>
    <row r="557">
      <c r="D557" s="135"/>
      <c r="F557" s="152"/>
      <c r="G557" s="152"/>
    </row>
    <row r="558">
      <c r="D558" s="135"/>
      <c r="F558" s="152"/>
      <c r="G558" s="152"/>
    </row>
    <row r="559">
      <c r="D559" s="135"/>
      <c r="F559" s="152"/>
      <c r="G559" s="152"/>
    </row>
    <row r="560">
      <c r="D560" s="135"/>
      <c r="F560" s="152"/>
      <c r="G560" s="152"/>
    </row>
    <row r="561">
      <c r="D561" s="135"/>
      <c r="F561" s="152"/>
      <c r="G561" s="152"/>
    </row>
    <row r="562">
      <c r="D562" s="135"/>
      <c r="F562" s="152"/>
      <c r="G562" s="152"/>
    </row>
    <row r="563">
      <c r="D563" s="135"/>
      <c r="F563" s="152"/>
      <c r="G563" s="152"/>
    </row>
    <row r="564">
      <c r="D564" s="135"/>
      <c r="F564" s="152"/>
      <c r="G564" s="152"/>
    </row>
    <row r="565">
      <c r="D565" s="135"/>
      <c r="F565" s="152"/>
      <c r="G565" s="152"/>
    </row>
    <row r="566">
      <c r="D566" s="135"/>
      <c r="F566" s="152"/>
      <c r="G566" s="152"/>
    </row>
    <row r="567">
      <c r="D567" s="135"/>
      <c r="F567" s="152"/>
      <c r="G567" s="152"/>
    </row>
    <row r="568">
      <c r="D568" s="135"/>
      <c r="F568" s="152"/>
      <c r="G568" s="152"/>
    </row>
    <row r="569">
      <c r="D569" s="135"/>
      <c r="F569" s="152"/>
      <c r="G569" s="152"/>
    </row>
    <row r="570">
      <c r="D570" s="135"/>
      <c r="F570" s="152"/>
      <c r="G570" s="152"/>
    </row>
    <row r="571">
      <c r="D571" s="135"/>
      <c r="F571" s="152"/>
      <c r="G571" s="152"/>
    </row>
    <row r="572">
      <c r="D572" s="135"/>
      <c r="F572" s="152"/>
      <c r="G572" s="152"/>
    </row>
    <row r="573">
      <c r="D573" s="135"/>
      <c r="F573" s="152"/>
      <c r="G573" s="152"/>
    </row>
    <row r="574">
      <c r="D574" s="135"/>
      <c r="F574" s="152"/>
      <c r="G574" s="152"/>
    </row>
    <row r="575">
      <c r="D575" s="135"/>
      <c r="F575" s="152"/>
      <c r="G575" s="152"/>
    </row>
    <row r="576">
      <c r="D576" s="135"/>
      <c r="F576" s="152"/>
      <c r="G576" s="152"/>
    </row>
    <row r="577">
      <c r="D577" s="135"/>
      <c r="F577" s="152"/>
      <c r="G577" s="152"/>
    </row>
    <row r="578">
      <c r="D578" s="135"/>
      <c r="F578" s="152"/>
      <c r="G578" s="152"/>
    </row>
    <row r="579">
      <c r="D579" s="135"/>
      <c r="F579" s="152"/>
      <c r="G579" s="152"/>
    </row>
    <row r="580">
      <c r="D580" s="135"/>
      <c r="F580" s="152"/>
      <c r="G580" s="152"/>
    </row>
    <row r="581">
      <c r="D581" s="135"/>
      <c r="F581" s="152"/>
      <c r="G581" s="152"/>
    </row>
    <row r="582">
      <c r="D582" s="135"/>
      <c r="F582" s="152"/>
      <c r="G582" s="152"/>
    </row>
    <row r="583">
      <c r="D583" s="135"/>
      <c r="F583" s="152"/>
      <c r="G583" s="152"/>
    </row>
    <row r="584">
      <c r="D584" s="135"/>
      <c r="F584" s="152"/>
      <c r="G584" s="152"/>
    </row>
    <row r="585">
      <c r="D585" s="135"/>
      <c r="F585" s="152"/>
      <c r="G585" s="152"/>
    </row>
    <row r="586">
      <c r="D586" s="135"/>
      <c r="F586" s="152"/>
      <c r="G586" s="152"/>
    </row>
    <row r="587">
      <c r="D587" s="135"/>
      <c r="F587" s="152"/>
      <c r="G587" s="152"/>
    </row>
    <row r="588">
      <c r="D588" s="135"/>
      <c r="F588" s="152"/>
      <c r="G588" s="152"/>
    </row>
    <row r="589">
      <c r="D589" s="135"/>
      <c r="F589" s="152"/>
      <c r="G589" s="152"/>
    </row>
    <row r="590">
      <c r="D590" s="135"/>
      <c r="F590" s="152"/>
      <c r="G590" s="152"/>
    </row>
    <row r="591">
      <c r="D591" s="135"/>
      <c r="F591" s="152"/>
      <c r="G591" s="152"/>
    </row>
    <row r="592">
      <c r="D592" s="135"/>
      <c r="F592" s="152"/>
      <c r="G592" s="152"/>
    </row>
    <row r="593">
      <c r="D593" s="135"/>
      <c r="F593" s="152"/>
      <c r="G593" s="152"/>
    </row>
    <row r="594">
      <c r="D594" s="135"/>
      <c r="F594" s="152"/>
      <c r="G594" s="152"/>
    </row>
    <row r="595">
      <c r="D595" s="135"/>
      <c r="F595" s="152"/>
      <c r="G595" s="152"/>
    </row>
    <row r="596">
      <c r="D596" s="135"/>
      <c r="F596" s="152"/>
      <c r="G596" s="152"/>
    </row>
    <row r="597">
      <c r="D597" s="135"/>
      <c r="F597" s="152"/>
      <c r="G597" s="152"/>
    </row>
    <row r="598">
      <c r="D598" s="135"/>
      <c r="F598" s="152"/>
      <c r="G598" s="152"/>
    </row>
    <row r="599">
      <c r="D599" s="135"/>
      <c r="F599" s="152"/>
      <c r="G599" s="152"/>
    </row>
    <row r="600">
      <c r="D600" s="135"/>
      <c r="F600" s="152"/>
      <c r="G600" s="152"/>
    </row>
    <row r="601">
      <c r="D601" s="135"/>
      <c r="F601" s="152"/>
      <c r="G601" s="152"/>
    </row>
    <row r="602">
      <c r="D602" s="135"/>
      <c r="F602" s="152"/>
      <c r="G602" s="152"/>
    </row>
    <row r="603">
      <c r="D603" s="135"/>
      <c r="F603" s="152"/>
      <c r="G603" s="152"/>
    </row>
    <row r="604">
      <c r="D604" s="135"/>
      <c r="F604" s="152"/>
      <c r="G604" s="152"/>
    </row>
    <row r="605">
      <c r="D605" s="135"/>
      <c r="F605" s="152"/>
      <c r="G605" s="152"/>
    </row>
    <row r="606">
      <c r="D606" s="135"/>
      <c r="F606" s="152"/>
      <c r="G606" s="152"/>
    </row>
    <row r="607">
      <c r="D607" s="135"/>
      <c r="F607" s="152"/>
      <c r="G607" s="152"/>
    </row>
    <row r="608">
      <c r="D608" s="135"/>
      <c r="F608" s="152"/>
      <c r="G608" s="152"/>
    </row>
    <row r="609">
      <c r="D609" s="135"/>
      <c r="F609" s="152"/>
      <c r="G609" s="152"/>
    </row>
    <row r="610">
      <c r="D610" s="135"/>
      <c r="F610" s="152"/>
      <c r="G610" s="152"/>
    </row>
    <row r="611">
      <c r="D611" s="135"/>
      <c r="F611" s="152"/>
      <c r="G611" s="152"/>
    </row>
    <row r="612">
      <c r="D612" s="135"/>
      <c r="F612" s="152"/>
      <c r="G612" s="152"/>
    </row>
    <row r="613">
      <c r="D613" s="135"/>
      <c r="F613" s="152"/>
      <c r="G613" s="152"/>
    </row>
    <row r="614">
      <c r="D614" s="135"/>
      <c r="F614" s="152"/>
      <c r="G614" s="152"/>
    </row>
    <row r="615">
      <c r="D615" s="135"/>
      <c r="F615" s="152"/>
      <c r="G615" s="152"/>
    </row>
    <row r="616">
      <c r="D616" s="135"/>
      <c r="F616" s="152"/>
      <c r="G616" s="152"/>
    </row>
    <row r="617">
      <c r="D617" s="135"/>
      <c r="F617" s="152"/>
      <c r="G617" s="152"/>
    </row>
    <row r="618">
      <c r="D618" s="135"/>
      <c r="F618" s="152"/>
      <c r="G618" s="152"/>
    </row>
    <row r="619">
      <c r="D619" s="135"/>
      <c r="F619" s="152"/>
      <c r="G619" s="152"/>
    </row>
    <row r="620">
      <c r="D620" s="135"/>
      <c r="F620" s="152"/>
      <c r="G620" s="152"/>
    </row>
    <row r="621">
      <c r="D621" s="135"/>
      <c r="F621" s="152"/>
      <c r="G621" s="152"/>
    </row>
    <row r="622">
      <c r="D622" s="135"/>
      <c r="F622" s="152"/>
      <c r="G622" s="152"/>
    </row>
    <row r="623">
      <c r="D623" s="135"/>
      <c r="F623" s="152"/>
      <c r="G623" s="152"/>
    </row>
    <row r="624">
      <c r="D624" s="135"/>
      <c r="F624" s="152"/>
      <c r="G624" s="152"/>
    </row>
    <row r="625">
      <c r="D625" s="135"/>
      <c r="F625" s="152"/>
      <c r="G625" s="152"/>
    </row>
    <row r="626">
      <c r="D626" s="135"/>
      <c r="F626" s="152"/>
      <c r="G626" s="152"/>
    </row>
    <row r="627">
      <c r="D627" s="135"/>
      <c r="F627" s="152"/>
      <c r="G627" s="152"/>
    </row>
    <row r="628">
      <c r="D628" s="135"/>
      <c r="F628" s="152"/>
      <c r="G628" s="152"/>
    </row>
    <row r="629">
      <c r="D629" s="135"/>
      <c r="F629" s="152"/>
      <c r="G629" s="152"/>
    </row>
    <row r="630">
      <c r="D630" s="135"/>
      <c r="F630" s="152"/>
      <c r="G630" s="152"/>
    </row>
    <row r="631">
      <c r="D631" s="135"/>
      <c r="F631" s="152"/>
      <c r="G631" s="152"/>
    </row>
    <row r="632">
      <c r="D632" s="135"/>
      <c r="F632" s="152"/>
      <c r="G632" s="152"/>
    </row>
    <row r="633">
      <c r="D633" s="135"/>
      <c r="F633" s="152"/>
      <c r="G633" s="152"/>
    </row>
    <row r="634">
      <c r="D634" s="135"/>
      <c r="F634" s="152"/>
      <c r="G634" s="152"/>
    </row>
    <row r="635">
      <c r="D635" s="135"/>
      <c r="F635" s="152"/>
      <c r="G635" s="152"/>
    </row>
    <row r="636">
      <c r="D636" s="135"/>
      <c r="F636" s="152"/>
      <c r="G636" s="152"/>
    </row>
    <row r="637">
      <c r="D637" s="135"/>
      <c r="F637" s="152"/>
      <c r="G637" s="152"/>
    </row>
    <row r="638">
      <c r="D638" s="135"/>
      <c r="F638" s="152"/>
      <c r="G638" s="152"/>
    </row>
    <row r="639">
      <c r="D639" s="135"/>
      <c r="F639" s="152"/>
      <c r="G639" s="152"/>
    </row>
    <row r="640">
      <c r="D640" s="135"/>
      <c r="F640" s="152"/>
      <c r="G640" s="152"/>
    </row>
    <row r="641">
      <c r="D641" s="135"/>
      <c r="F641" s="152"/>
      <c r="G641" s="152"/>
    </row>
    <row r="642">
      <c r="D642" s="135"/>
      <c r="F642" s="152"/>
      <c r="G642" s="152"/>
    </row>
    <row r="643">
      <c r="D643" s="135"/>
      <c r="F643" s="152"/>
      <c r="G643" s="152"/>
    </row>
    <row r="644">
      <c r="D644" s="135"/>
      <c r="F644" s="152"/>
      <c r="G644" s="152"/>
    </row>
    <row r="645">
      <c r="D645" s="135"/>
      <c r="F645" s="152"/>
      <c r="G645" s="152"/>
    </row>
    <row r="646">
      <c r="D646" s="135"/>
      <c r="F646" s="152"/>
      <c r="G646" s="152"/>
    </row>
    <row r="647">
      <c r="D647" s="135"/>
      <c r="F647" s="152"/>
      <c r="G647" s="152"/>
    </row>
    <row r="648">
      <c r="D648" s="135"/>
      <c r="F648" s="152"/>
      <c r="G648" s="152"/>
    </row>
    <row r="649">
      <c r="D649" s="135"/>
      <c r="F649" s="152"/>
      <c r="G649" s="152"/>
    </row>
    <row r="650">
      <c r="D650" s="135"/>
      <c r="F650" s="152"/>
      <c r="G650" s="152"/>
    </row>
    <row r="651">
      <c r="D651" s="135"/>
      <c r="F651" s="152"/>
      <c r="G651" s="152"/>
    </row>
    <row r="652">
      <c r="D652" s="135"/>
      <c r="F652" s="152"/>
      <c r="G652" s="152"/>
    </row>
    <row r="653">
      <c r="D653" s="135"/>
      <c r="F653" s="152"/>
      <c r="G653" s="152"/>
    </row>
    <row r="654">
      <c r="D654" s="135"/>
      <c r="F654" s="152"/>
      <c r="G654" s="152"/>
    </row>
    <row r="655">
      <c r="D655" s="135"/>
      <c r="F655" s="152"/>
      <c r="G655" s="152"/>
    </row>
    <row r="656">
      <c r="D656" s="135"/>
      <c r="F656" s="152"/>
      <c r="G656" s="152"/>
    </row>
    <row r="657">
      <c r="D657" s="135"/>
      <c r="F657" s="152"/>
      <c r="G657" s="152"/>
    </row>
    <row r="658">
      <c r="D658" s="135"/>
      <c r="F658" s="152"/>
      <c r="G658" s="152"/>
    </row>
    <row r="659">
      <c r="D659" s="135"/>
      <c r="F659" s="152"/>
      <c r="G659" s="152"/>
    </row>
    <row r="660">
      <c r="D660" s="135"/>
      <c r="F660" s="152"/>
      <c r="G660" s="152"/>
    </row>
    <row r="661">
      <c r="D661" s="135"/>
      <c r="F661" s="152"/>
      <c r="G661" s="152"/>
    </row>
    <row r="662">
      <c r="D662" s="135"/>
      <c r="F662" s="152"/>
      <c r="G662" s="152"/>
    </row>
    <row r="663">
      <c r="D663" s="135"/>
      <c r="F663" s="152"/>
      <c r="G663" s="152"/>
    </row>
    <row r="664">
      <c r="D664" s="135"/>
      <c r="F664" s="152"/>
      <c r="G664" s="152"/>
    </row>
    <row r="665">
      <c r="D665" s="135"/>
      <c r="F665" s="152"/>
      <c r="G665" s="152"/>
    </row>
    <row r="666">
      <c r="D666" s="135"/>
      <c r="F666" s="152"/>
      <c r="G666" s="152"/>
    </row>
    <row r="667">
      <c r="D667" s="135"/>
      <c r="F667" s="152"/>
      <c r="G667" s="152"/>
    </row>
    <row r="668">
      <c r="D668" s="135"/>
      <c r="F668" s="152"/>
      <c r="G668" s="152"/>
    </row>
    <row r="669">
      <c r="D669" s="135"/>
      <c r="F669" s="152"/>
      <c r="G669" s="152"/>
    </row>
    <row r="670">
      <c r="D670" s="135"/>
      <c r="F670" s="152"/>
      <c r="G670" s="152"/>
    </row>
    <row r="671">
      <c r="D671" s="135"/>
      <c r="F671" s="152"/>
      <c r="G671" s="152"/>
    </row>
    <row r="672">
      <c r="D672" s="135"/>
      <c r="F672" s="152"/>
      <c r="G672" s="152"/>
    </row>
    <row r="673">
      <c r="D673" s="135"/>
      <c r="F673" s="152"/>
      <c r="G673" s="152"/>
    </row>
    <row r="674">
      <c r="D674" s="135"/>
      <c r="F674" s="152"/>
      <c r="G674" s="152"/>
    </row>
    <row r="675">
      <c r="D675" s="135"/>
      <c r="F675" s="152"/>
      <c r="G675" s="152"/>
    </row>
    <row r="676">
      <c r="D676" s="135"/>
      <c r="F676" s="152"/>
      <c r="G676" s="152"/>
    </row>
    <row r="677">
      <c r="D677" s="135"/>
      <c r="F677" s="152"/>
      <c r="G677" s="152"/>
    </row>
    <row r="678">
      <c r="D678" s="135"/>
      <c r="F678" s="152"/>
      <c r="G678" s="152"/>
    </row>
    <row r="679">
      <c r="D679" s="135"/>
      <c r="F679" s="152"/>
      <c r="G679" s="152"/>
    </row>
    <row r="680">
      <c r="D680" s="135"/>
      <c r="F680" s="152"/>
      <c r="G680" s="152"/>
    </row>
    <row r="681">
      <c r="D681" s="135"/>
      <c r="F681" s="152"/>
      <c r="G681" s="152"/>
    </row>
    <row r="682">
      <c r="D682" s="135"/>
      <c r="F682" s="152"/>
      <c r="G682" s="152"/>
    </row>
    <row r="683">
      <c r="D683" s="135"/>
      <c r="F683" s="152"/>
      <c r="G683" s="152"/>
    </row>
    <row r="684">
      <c r="D684" s="135"/>
      <c r="F684" s="152"/>
      <c r="G684" s="152"/>
    </row>
    <row r="685">
      <c r="D685" s="135"/>
      <c r="F685" s="152"/>
      <c r="G685" s="152"/>
    </row>
    <row r="686">
      <c r="D686" s="135"/>
      <c r="F686" s="152"/>
      <c r="G686" s="152"/>
    </row>
    <row r="687">
      <c r="D687" s="135"/>
      <c r="F687" s="152"/>
      <c r="G687" s="152"/>
    </row>
    <row r="688">
      <c r="D688" s="135"/>
      <c r="F688" s="152"/>
      <c r="G688" s="152"/>
    </row>
    <row r="689">
      <c r="D689" s="135"/>
      <c r="F689" s="152"/>
      <c r="G689" s="152"/>
    </row>
    <row r="690">
      <c r="D690" s="135"/>
      <c r="F690" s="152"/>
      <c r="G690" s="152"/>
    </row>
    <row r="691">
      <c r="D691" s="135"/>
      <c r="F691" s="152"/>
      <c r="G691" s="152"/>
    </row>
    <row r="692">
      <c r="D692" s="135"/>
      <c r="F692" s="152"/>
      <c r="G692" s="152"/>
    </row>
    <row r="693">
      <c r="D693" s="135"/>
      <c r="F693" s="152"/>
      <c r="G693" s="152"/>
    </row>
    <row r="694">
      <c r="D694" s="135"/>
      <c r="F694" s="152"/>
      <c r="G694" s="152"/>
    </row>
    <row r="695">
      <c r="D695" s="135"/>
      <c r="F695" s="152"/>
      <c r="G695" s="152"/>
    </row>
    <row r="696">
      <c r="D696" s="135"/>
      <c r="F696" s="152"/>
      <c r="G696" s="152"/>
    </row>
    <row r="697">
      <c r="D697" s="135"/>
      <c r="F697" s="152"/>
      <c r="G697" s="152"/>
    </row>
    <row r="698">
      <c r="D698" s="135"/>
      <c r="F698" s="152"/>
      <c r="G698" s="152"/>
    </row>
    <row r="699">
      <c r="D699" s="135"/>
      <c r="F699" s="152"/>
      <c r="G699" s="152"/>
    </row>
    <row r="700">
      <c r="D700" s="135"/>
      <c r="F700" s="152"/>
      <c r="G700" s="152"/>
    </row>
    <row r="701">
      <c r="D701" s="135"/>
      <c r="F701" s="152"/>
      <c r="G701" s="152"/>
    </row>
    <row r="702">
      <c r="D702" s="135"/>
      <c r="F702" s="152"/>
      <c r="G702" s="152"/>
    </row>
    <row r="703">
      <c r="D703" s="135"/>
      <c r="F703" s="152"/>
      <c r="G703" s="152"/>
    </row>
    <row r="704">
      <c r="D704" s="135"/>
      <c r="F704" s="152"/>
      <c r="G704" s="152"/>
    </row>
    <row r="705">
      <c r="D705" s="135"/>
      <c r="F705" s="152"/>
      <c r="G705" s="152"/>
    </row>
    <row r="706">
      <c r="D706" s="135"/>
      <c r="F706" s="152"/>
      <c r="G706" s="152"/>
    </row>
    <row r="707">
      <c r="D707" s="135"/>
      <c r="F707" s="152"/>
      <c r="G707" s="152"/>
    </row>
    <row r="708">
      <c r="D708" s="135"/>
      <c r="F708" s="152"/>
      <c r="G708" s="152"/>
    </row>
    <row r="709">
      <c r="D709" s="135"/>
      <c r="F709" s="152"/>
      <c r="G709" s="152"/>
    </row>
    <row r="710">
      <c r="D710" s="135"/>
      <c r="F710" s="152"/>
      <c r="G710" s="152"/>
    </row>
    <row r="711">
      <c r="D711" s="135"/>
      <c r="F711" s="152"/>
      <c r="G711" s="152"/>
    </row>
    <row r="712">
      <c r="D712" s="135"/>
      <c r="F712" s="152"/>
      <c r="G712" s="152"/>
    </row>
    <row r="713">
      <c r="D713" s="135"/>
      <c r="F713" s="152"/>
      <c r="G713" s="152"/>
    </row>
    <row r="714">
      <c r="D714" s="135"/>
      <c r="F714" s="152"/>
      <c r="G714" s="152"/>
    </row>
    <row r="715">
      <c r="D715" s="135"/>
      <c r="F715" s="152"/>
      <c r="G715" s="152"/>
    </row>
    <row r="716">
      <c r="D716" s="135"/>
      <c r="F716" s="152"/>
      <c r="G716" s="152"/>
    </row>
    <row r="717">
      <c r="D717" s="135"/>
      <c r="F717" s="152"/>
      <c r="G717" s="152"/>
    </row>
    <row r="718">
      <c r="D718" s="135"/>
      <c r="F718" s="152"/>
      <c r="G718" s="152"/>
    </row>
    <row r="719">
      <c r="D719" s="135"/>
      <c r="F719" s="152"/>
      <c r="G719" s="152"/>
    </row>
    <row r="720">
      <c r="D720" s="135"/>
      <c r="F720" s="152"/>
      <c r="G720" s="152"/>
    </row>
    <row r="721">
      <c r="D721" s="135"/>
      <c r="F721" s="152"/>
      <c r="G721" s="152"/>
    </row>
    <row r="722">
      <c r="D722" s="135"/>
      <c r="F722" s="152"/>
      <c r="G722" s="152"/>
    </row>
    <row r="723">
      <c r="D723" s="135"/>
      <c r="F723" s="152"/>
      <c r="G723" s="152"/>
    </row>
    <row r="724">
      <c r="D724" s="135"/>
      <c r="F724" s="152"/>
      <c r="G724" s="152"/>
    </row>
    <row r="725">
      <c r="D725" s="135"/>
      <c r="F725" s="152"/>
      <c r="G725" s="152"/>
    </row>
    <row r="726">
      <c r="D726" s="135"/>
      <c r="F726" s="152"/>
      <c r="G726" s="152"/>
    </row>
    <row r="727">
      <c r="D727" s="135"/>
      <c r="F727" s="152"/>
      <c r="G727" s="152"/>
    </row>
    <row r="728">
      <c r="D728" s="135"/>
      <c r="F728" s="152"/>
      <c r="G728" s="152"/>
    </row>
    <row r="729">
      <c r="D729" s="135"/>
      <c r="F729" s="152"/>
      <c r="G729" s="152"/>
    </row>
    <row r="730">
      <c r="D730" s="135"/>
      <c r="F730" s="152"/>
      <c r="G730" s="152"/>
    </row>
    <row r="731">
      <c r="D731" s="135"/>
      <c r="F731" s="152"/>
      <c r="G731" s="152"/>
    </row>
    <row r="732">
      <c r="D732" s="135"/>
      <c r="F732" s="152"/>
      <c r="G732" s="152"/>
    </row>
    <row r="733">
      <c r="D733" s="135"/>
      <c r="F733" s="152"/>
      <c r="G733" s="152"/>
    </row>
    <row r="734">
      <c r="D734" s="135"/>
      <c r="F734" s="152"/>
      <c r="G734" s="152"/>
    </row>
    <row r="735">
      <c r="D735" s="135"/>
      <c r="F735" s="152"/>
      <c r="G735" s="152"/>
    </row>
    <row r="736">
      <c r="D736" s="135"/>
      <c r="F736" s="152"/>
      <c r="G736" s="152"/>
    </row>
    <row r="737">
      <c r="D737" s="135"/>
      <c r="F737" s="152"/>
      <c r="G737" s="152"/>
    </row>
    <row r="738">
      <c r="D738" s="135"/>
      <c r="F738" s="152"/>
      <c r="G738" s="152"/>
    </row>
    <row r="739">
      <c r="D739" s="135"/>
      <c r="F739" s="152"/>
      <c r="G739" s="152"/>
    </row>
    <row r="740">
      <c r="D740" s="135"/>
      <c r="F740" s="152"/>
      <c r="G740" s="152"/>
    </row>
    <row r="741">
      <c r="D741" s="135"/>
      <c r="F741" s="152"/>
      <c r="G741" s="152"/>
    </row>
    <row r="742">
      <c r="D742" s="135"/>
      <c r="F742" s="152"/>
      <c r="G742" s="152"/>
    </row>
    <row r="743">
      <c r="D743" s="135"/>
      <c r="F743" s="152"/>
      <c r="G743" s="152"/>
    </row>
    <row r="744">
      <c r="D744" s="135"/>
      <c r="F744" s="152"/>
      <c r="G744" s="152"/>
    </row>
    <row r="745">
      <c r="D745" s="135"/>
      <c r="F745" s="152"/>
      <c r="G745" s="152"/>
    </row>
    <row r="746">
      <c r="D746" s="135"/>
      <c r="F746" s="152"/>
      <c r="G746" s="152"/>
    </row>
    <row r="747">
      <c r="D747" s="135"/>
      <c r="F747" s="152"/>
      <c r="G747" s="152"/>
    </row>
    <row r="748">
      <c r="D748" s="135"/>
      <c r="F748" s="152"/>
      <c r="G748" s="152"/>
    </row>
    <row r="749">
      <c r="D749" s="135"/>
      <c r="F749" s="152"/>
      <c r="G749" s="152"/>
    </row>
    <row r="750">
      <c r="D750" s="135"/>
      <c r="F750" s="152"/>
      <c r="G750" s="152"/>
    </row>
    <row r="751">
      <c r="D751" s="135"/>
      <c r="F751" s="152"/>
      <c r="G751" s="152"/>
    </row>
    <row r="752">
      <c r="D752" s="135"/>
      <c r="F752" s="152"/>
      <c r="G752" s="152"/>
    </row>
    <row r="753">
      <c r="D753" s="135"/>
      <c r="F753" s="152"/>
      <c r="G753" s="152"/>
    </row>
    <row r="754">
      <c r="D754" s="135"/>
      <c r="F754" s="152"/>
      <c r="G754" s="152"/>
    </row>
    <row r="755">
      <c r="D755" s="135"/>
      <c r="F755" s="152"/>
      <c r="G755" s="152"/>
    </row>
    <row r="756">
      <c r="D756" s="135"/>
      <c r="F756" s="152"/>
      <c r="G756" s="152"/>
    </row>
    <row r="757">
      <c r="D757" s="135"/>
      <c r="F757" s="152"/>
      <c r="G757" s="152"/>
    </row>
    <row r="758">
      <c r="D758" s="135"/>
      <c r="F758" s="152"/>
      <c r="G758" s="152"/>
    </row>
    <row r="759">
      <c r="D759" s="135"/>
      <c r="F759" s="152"/>
      <c r="G759" s="152"/>
    </row>
    <row r="760">
      <c r="D760" s="135"/>
      <c r="F760" s="152"/>
      <c r="G760" s="152"/>
    </row>
    <row r="761">
      <c r="D761" s="135"/>
      <c r="F761" s="152"/>
      <c r="G761" s="152"/>
    </row>
    <row r="762">
      <c r="D762" s="135"/>
      <c r="F762" s="152"/>
      <c r="G762" s="152"/>
    </row>
    <row r="763">
      <c r="D763" s="135"/>
      <c r="F763" s="152"/>
      <c r="G763" s="152"/>
    </row>
    <row r="764">
      <c r="D764" s="135"/>
      <c r="F764" s="152"/>
      <c r="G764" s="152"/>
    </row>
    <row r="765">
      <c r="D765" s="135"/>
      <c r="F765" s="152"/>
      <c r="G765" s="152"/>
    </row>
    <row r="766">
      <c r="D766" s="135"/>
      <c r="F766" s="152"/>
      <c r="G766" s="152"/>
    </row>
    <row r="767">
      <c r="D767" s="135"/>
      <c r="F767" s="152"/>
      <c r="G767" s="152"/>
    </row>
    <row r="768">
      <c r="D768" s="135"/>
      <c r="F768" s="152"/>
      <c r="G768" s="152"/>
    </row>
    <row r="769">
      <c r="D769" s="135"/>
      <c r="F769" s="152"/>
      <c r="G769" s="152"/>
    </row>
    <row r="770">
      <c r="D770" s="135"/>
      <c r="F770" s="152"/>
      <c r="G770" s="152"/>
    </row>
    <row r="771">
      <c r="D771" s="135"/>
      <c r="F771" s="152"/>
      <c r="G771" s="152"/>
    </row>
    <row r="772">
      <c r="D772" s="135"/>
      <c r="F772" s="152"/>
      <c r="G772" s="152"/>
    </row>
    <row r="773">
      <c r="D773" s="135"/>
      <c r="F773" s="152"/>
      <c r="G773" s="152"/>
    </row>
    <row r="774">
      <c r="D774" s="135"/>
      <c r="F774" s="152"/>
      <c r="G774" s="152"/>
    </row>
    <row r="775">
      <c r="D775" s="135"/>
      <c r="F775" s="152"/>
      <c r="G775" s="152"/>
    </row>
    <row r="776">
      <c r="D776" s="135"/>
      <c r="F776" s="152"/>
      <c r="G776" s="152"/>
    </row>
    <row r="777">
      <c r="D777" s="135"/>
      <c r="F777" s="152"/>
      <c r="G777" s="152"/>
    </row>
    <row r="778">
      <c r="D778" s="135"/>
      <c r="F778" s="152"/>
      <c r="G778" s="152"/>
    </row>
    <row r="779">
      <c r="D779" s="135"/>
      <c r="F779" s="152"/>
      <c r="G779" s="152"/>
    </row>
    <row r="780">
      <c r="D780" s="135"/>
      <c r="F780" s="152"/>
      <c r="G780" s="152"/>
    </row>
    <row r="781">
      <c r="D781" s="135"/>
      <c r="F781" s="152"/>
      <c r="G781" s="152"/>
    </row>
    <row r="782">
      <c r="D782" s="135"/>
      <c r="F782" s="152"/>
      <c r="G782" s="152"/>
    </row>
    <row r="783">
      <c r="D783" s="135"/>
      <c r="F783" s="152"/>
      <c r="G783" s="152"/>
    </row>
    <row r="784">
      <c r="D784" s="135"/>
      <c r="F784" s="152"/>
      <c r="G784" s="152"/>
    </row>
    <row r="785">
      <c r="D785" s="135"/>
      <c r="F785" s="152"/>
      <c r="G785" s="152"/>
    </row>
    <row r="786">
      <c r="D786" s="135"/>
      <c r="F786" s="152"/>
      <c r="G786" s="152"/>
    </row>
    <row r="787">
      <c r="D787" s="135"/>
      <c r="F787" s="152"/>
      <c r="G787" s="152"/>
    </row>
    <row r="788">
      <c r="D788" s="135"/>
      <c r="F788" s="152"/>
      <c r="G788" s="152"/>
    </row>
    <row r="789">
      <c r="D789" s="135"/>
      <c r="F789" s="152"/>
      <c r="G789" s="152"/>
    </row>
    <row r="790">
      <c r="D790" s="135"/>
      <c r="F790" s="152"/>
      <c r="G790" s="152"/>
    </row>
    <row r="791">
      <c r="D791" s="135"/>
      <c r="F791" s="152"/>
      <c r="G791" s="152"/>
    </row>
    <row r="792">
      <c r="D792" s="135"/>
      <c r="F792" s="152"/>
      <c r="G792" s="152"/>
    </row>
    <row r="793">
      <c r="D793" s="135"/>
      <c r="F793" s="152"/>
      <c r="G793" s="152"/>
    </row>
    <row r="794">
      <c r="D794" s="135"/>
      <c r="F794" s="152"/>
      <c r="G794" s="152"/>
    </row>
    <row r="795">
      <c r="D795" s="135"/>
      <c r="F795" s="152"/>
      <c r="G795" s="152"/>
    </row>
    <row r="796">
      <c r="D796" s="135"/>
      <c r="F796" s="152"/>
      <c r="G796" s="152"/>
    </row>
    <row r="797">
      <c r="D797" s="135"/>
      <c r="F797" s="152"/>
      <c r="G797" s="152"/>
    </row>
    <row r="798">
      <c r="D798" s="135"/>
      <c r="F798" s="152"/>
      <c r="G798" s="152"/>
    </row>
    <row r="799">
      <c r="D799" s="135"/>
      <c r="F799" s="152"/>
      <c r="G799" s="152"/>
    </row>
    <row r="800">
      <c r="D800" s="135"/>
      <c r="F800" s="152"/>
      <c r="G800" s="152"/>
    </row>
    <row r="801">
      <c r="D801" s="135"/>
      <c r="F801" s="152"/>
      <c r="G801" s="152"/>
    </row>
    <row r="802">
      <c r="D802" s="135"/>
      <c r="F802" s="152"/>
      <c r="G802" s="152"/>
    </row>
    <row r="803">
      <c r="D803" s="135"/>
      <c r="F803" s="152"/>
      <c r="G803" s="152"/>
    </row>
    <row r="804">
      <c r="D804" s="135"/>
      <c r="F804" s="152"/>
      <c r="G804" s="152"/>
    </row>
    <row r="805">
      <c r="D805" s="135"/>
      <c r="F805" s="152"/>
      <c r="G805" s="152"/>
    </row>
    <row r="806">
      <c r="D806" s="135"/>
      <c r="F806" s="152"/>
      <c r="G806" s="152"/>
    </row>
    <row r="807">
      <c r="D807" s="135"/>
      <c r="F807" s="152"/>
      <c r="G807" s="152"/>
    </row>
    <row r="808">
      <c r="D808" s="135"/>
      <c r="F808" s="152"/>
      <c r="G808" s="152"/>
    </row>
    <row r="809">
      <c r="D809" s="135"/>
      <c r="F809" s="152"/>
      <c r="G809" s="152"/>
    </row>
    <row r="810">
      <c r="D810" s="135"/>
      <c r="F810" s="152"/>
      <c r="G810" s="152"/>
    </row>
    <row r="811">
      <c r="D811" s="135"/>
      <c r="F811" s="152"/>
      <c r="G811" s="152"/>
    </row>
    <row r="812">
      <c r="D812" s="135"/>
      <c r="F812" s="152"/>
      <c r="G812" s="152"/>
    </row>
    <row r="813">
      <c r="D813" s="135"/>
      <c r="F813" s="152"/>
      <c r="G813" s="152"/>
    </row>
    <row r="814">
      <c r="D814" s="135"/>
      <c r="F814" s="152"/>
      <c r="G814" s="152"/>
    </row>
    <row r="815">
      <c r="D815" s="135"/>
      <c r="F815" s="152"/>
      <c r="G815" s="152"/>
    </row>
    <row r="816">
      <c r="D816" s="135"/>
      <c r="F816" s="152"/>
      <c r="G816" s="152"/>
    </row>
    <row r="817">
      <c r="D817" s="135"/>
      <c r="F817" s="152"/>
      <c r="G817" s="152"/>
    </row>
    <row r="818">
      <c r="D818" s="135"/>
      <c r="F818" s="152"/>
      <c r="G818" s="152"/>
    </row>
    <row r="819">
      <c r="D819" s="135"/>
      <c r="F819" s="152"/>
      <c r="G819" s="152"/>
    </row>
    <row r="820">
      <c r="D820" s="135"/>
      <c r="F820" s="152"/>
      <c r="G820" s="152"/>
    </row>
    <row r="821">
      <c r="D821" s="135"/>
      <c r="F821" s="152"/>
      <c r="G821" s="152"/>
    </row>
    <row r="822">
      <c r="D822" s="135"/>
      <c r="F822" s="152"/>
      <c r="G822" s="152"/>
    </row>
    <row r="823">
      <c r="D823" s="135"/>
      <c r="F823" s="152"/>
      <c r="G823" s="152"/>
    </row>
    <row r="824">
      <c r="D824" s="135"/>
      <c r="F824" s="152"/>
      <c r="G824" s="152"/>
    </row>
    <row r="825">
      <c r="D825" s="135"/>
      <c r="F825" s="152"/>
      <c r="G825" s="152"/>
    </row>
    <row r="826">
      <c r="D826" s="135"/>
      <c r="F826" s="152"/>
      <c r="G826" s="152"/>
    </row>
    <row r="827">
      <c r="D827" s="135"/>
      <c r="F827" s="152"/>
      <c r="G827" s="152"/>
    </row>
    <row r="828">
      <c r="D828" s="135"/>
      <c r="F828" s="152"/>
      <c r="G828" s="152"/>
    </row>
    <row r="829">
      <c r="D829" s="135"/>
      <c r="F829" s="152"/>
      <c r="G829" s="152"/>
    </row>
    <row r="830">
      <c r="D830" s="135"/>
      <c r="F830" s="152"/>
      <c r="G830" s="152"/>
    </row>
    <row r="831">
      <c r="D831" s="135"/>
      <c r="F831" s="152"/>
      <c r="G831" s="152"/>
    </row>
    <row r="832">
      <c r="D832" s="135"/>
      <c r="F832" s="152"/>
      <c r="G832" s="152"/>
    </row>
    <row r="833">
      <c r="D833" s="135"/>
      <c r="F833" s="152"/>
      <c r="G833" s="152"/>
    </row>
    <row r="834">
      <c r="D834" s="135"/>
      <c r="F834" s="152"/>
      <c r="G834" s="152"/>
    </row>
    <row r="835">
      <c r="D835" s="135"/>
      <c r="F835" s="152"/>
      <c r="G835" s="152"/>
    </row>
    <row r="836">
      <c r="D836" s="135"/>
      <c r="F836" s="152"/>
      <c r="G836" s="152"/>
    </row>
    <row r="837">
      <c r="D837" s="135"/>
      <c r="F837" s="152"/>
      <c r="G837" s="152"/>
    </row>
    <row r="838">
      <c r="D838" s="135"/>
      <c r="F838" s="152"/>
      <c r="G838" s="152"/>
    </row>
    <row r="839">
      <c r="D839" s="135"/>
      <c r="F839" s="152"/>
      <c r="G839" s="152"/>
    </row>
    <row r="840">
      <c r="D840" s="135"/>
      <c r="F840" s="152"/>
      <c r="G840" s="152"/>
    </row>
    <row r="841">
      <c r="D841" s="135"/>
      <c r="F841" s="152"/>
      <c r="G841" s="152"/>
    </row>
    <row r="842">
      <c r="D842" s="135"/>
      <c r="F842" s="152"/>
      <c r="G842" s="152"/>
    </row>
    <row r="843">
      <c r="D843" s="135"/>
      <c r="F843" s="152"/>
      <c r="G843" s="152"/>
    </row>
    <row r="844">
      <c r="D844" s="135"/>
      <c r="F844" s="152"/>
      <c r="G844" s="152"/>
    </row>
    <row r="845">
      <c r="D845" s="135"/>
      <c r="F845" s="152"/>
      <c r="G845" s="152"/>
    </row>
    <row r="846">
      <c r="D846" s="135"/>
      <c r="F846" s="152"/>
      <c r="G846" s="152"/>
    </row>
    <row r="847">
      <c r="D847" s="135"/>
      <c r="F847" s="152"/>
      <c r="G847" s="152"/>
    </row>
    <row r="848">
      <c r="D848" s="135"/>
      <c r="F848" s="152"/>
      <c r="G848" s="152"/>
    </row>
    <row r="849">
      <c r="D849" s="135"/>
      <c r="F849" s="152"/>
      <c r="G849" s="152"/>
    </row>
    <row r="850">
      <c r="D850" s="135"/>
      <c r="F850" s="152"/>
      <c r="G850" s="152"/>
    </row>
    <row r="851">
      <c r="D851" s="135"/>
      <c r="F851" s="152"/>
      <c r="G851" s="152"/>
    </row>
    <row r="852">
      <c r="D852" s="135"/>
      <c r="F852" s="152"/>
      <c r="G852" s="152"/>
    </row>
    <row r="853">
      <c r="D853" s="135"/>
      <c r="F853" s="152"/>
      <c r="G853" s="152"/>
    </row>
    <row r="854">
      <c r="D854" s="135"/>
      <c r="F854" s="152"/>
      <c r="G854" s="152"/>
    </row>
    <row r="855">
      <c r="D855" s="135"/>
      <c r="F855" s="152"/>
      <c r="G855" s="152"/>
    </row>
    <row r="856">
      <c r="D856" s="135"/>
      <c r="F856" s="152"/>
      <c r="G856" s="152"/>
    </row>
    <row r="857">
      <c r="D857" s="135"/>
      <c r="F857" s="152"/>
      <c r="G857" s="152"/>
    </row>
    <row r="858">
      <c r="D858" s="135"/>
      <c r="F858" s="152"/>
      <c r="G858" s="152"/>
    </row>
    <row r="859">
      <c r="D859" s="135"/>
      <c r="F859" s="152"/>
      <c r="G859" s="152"/>
    </row>
    <row r="860">
      <c r="D860" s="135"/>
      <c r="F860" s="152"/>
      <c r="G860" s="152"/>
    </row>
    <row r="861">
      <c r="D861" s="135"/>
      <c r="F861" s="152"/>
      <c r="G861" s="152"/>
    </row>
    <row r="862">
      <c r="D862" s="135"/>
      <c r="F862" s="152"/>
      <c r="G862" s="152"/>
    </row>
    <row r="863">
      <c r="D863" s="135"/>
      <c r="F863" s="152"/>
      <c r="G863" s="152"/>
    </row>
    <row r="864">
      <c r="D864" s="135"/>
      <c r="F864" s="152"/>
      <c r="G864" s="152"/>
    </row>
    <row r="865">
      <c r="D865" s="135"/>
      <c r="F865" s="152"/>
      <c r="G865" s="152"/>
    </row>
    <row r="866">
      <c r="D866" s="135"/>
      <c r="F866" s="152"/>
      <c r="G866" s="152"/>
    </row>
    <row r="867">
      <c r="D867" s="135"/>
      <c r="F867" s="152"/>
      <c r="G867" s="152"/>
    </row>
    <row r="868">
      <c r="D868" s="135"/>
      <c r="F868" s="152"/>
      <c r="G868" s="152"/>
    </row>
    <row r="869">
      <c r="D869" s="135"/>
      <c r="F869" s="152"/>
      <c r="G869" s="152"/>
    </row>
    <row r="870">
      <c r="D870" s="135"/>
      <c r="F870" s="152"/>
      <c r="G870" s="152"/>
    </row>
    <row r="871">
      <c r="D871" s="135"/>
      <c r="F871" s="152"/>
      <c r="G871" s="152"/>
    </row>
    <row r="872">
      <c r="D872" s="135"/>
      <c r="F872" s="152"/>
      <c r="G872" s="152"/>
    </row>
    <row r="873">
      <c r="D873" s="135"/>
      <c r="F873" s="152"/>
      <c r="G873" s="152"/>
    </row>
    <row r="874">
      <c r="D874" s="135"/>
      <c r="F874" s="152"/>
      <c r="G874" s="152"/>
    </row>
    <row r="875">
      <c r="D875" s="135"/>
      <c r="F875" s="152"/>
      <c r="G875" s="152"/>
    </row>
    <row r="876">
      <c r="D876" s="135"/>
      <c r="F876" s="152"/>
      <c r="G876" s="152"/>
    </row>
    <row r="877">
      <c r="D877" s="135"/>
      <c r="F877" s="152"/>
      <c r="G877" s="152"/>
    </row>
    <row r="878">
      <c r="D878" s="135"/>
      <c r="F878" s="152"/>
      <c r="G878" s="152"/>
    </row>
    <row r="879">
      <c r="D879" s="135"/>
      <c r="F879" s="152"/>
      <c r="G879" s="152"/>
    </row>
    <row r="880">
      <c r="D880" s="135"/>
      <c r="F880" s="152"/>
      <c r="G880" s="152"/>
    </row>
    <row r="881">
      <c r="D881" s="135"/>
      <c r="F881" s="152"/>
      <c r="G881" s="152"/>
    </row>
    <row r="882">
      <c r="D882" s="135"/>
      <c r="F882" s="152"/>
      <c r="G882" s="152"/>
    </row>
    <row r="883">
      <c r="D883" s="135"/>
      <c r="F883" s="152"/>
      <c r="G883" s="152"/>
    </row>
    <row r="884">
      <c r="D884" s="135"/>
      <c r="F884" s="152"/>
      <c r="G884" s="152"/>
    </row>
    <row r="885">
      <c r="D885" s="135"/>
      <c r="F885" s="152"/>
      <c r="G885" s="152"/>
    </row>
    <row r="886">
      <c r="D886" s="135"/>
      <c r="F886" s="152"/>
      <c r="G886" s="152"/>
    </row>
    <row r="887">
      <c r="D887" s="135"/>
      <c r="F887" s="152"/>
      <c r="G887" s="152"/>
    </row>
    <row r="888">
      <c r="D888" s="135"/>
      <c r="F888" s="152"/>
      <c r="G888" s="152"/>
    </row>
    <row r="889">
      <c r="D889" s="135"/>
      <c r="F889" s="152"/>
      <c r="G889" s="152"/>
    </row>
    <row r="890">
      <c r="D890" s="135"/>
      <c r="F890" s="152"/>
      <c r="G890" s="152"/>
    </row>
    <row r="891">
      <c r="D891" s="135"/>
      <c r="F891" s="152"/>
      <c r="G891" s="152"/>
    </row>
    <row r="892">
      <c r="D892" s="135"/>
      <c r="F892" s="152"/>
      <c r="G892" s="152"/>
    </row>
    <row r="893">
      <c r="D893" s="135"/>
      <c r="F893" s="152"/>
      <c r="G893" s="152"/>
    </row>
    <row r="894">
      <c r="D894" s="135"/>
      <c r="F894" s="152"/>
      <c r="G894" s="152"/>
    </row>
    <row r="895">
      <c r="D895" s="135"/>
      <c r="F895" s="152"/>
      <c r="G895" s="152"/>
    </row>
    <row r="896">
      <c r="D896" s="135"/>
      <c r="F896" s="152"/>
      <c r="G896" s="152"/>
    </row>
    <row r="897">
      <c r="D897" s="135"/>
      <c r="F897" s="152"/>
      <c r="G897" s="152"/>
    </row>
    <row r="898">
      <c r="D898" s="135"/>
      <c r="F898" s="152"/>
      <c r="G898" s="152"/>
    </row>
    <row r="899">
      <c r="D899" s="135"/>
      <c r="F899" s="152"/>
      <c r="G899" s="152"/>
    </row>
    <row r="900">
      <c r="D900" s="135"/>
      <c r="F900" s="152"/>
      <c r="G900" s="152"/>
    </row>
    <row r="901">
      <c r="D901" s="135"/>
      <c r="F901" s="152"/>
      <c r="G901" s="152"/>
    </row>
    <row r="902">
      <c r="D902" s="135"/>
      <c r="F902" s="152"/>
      <c r="G902" s="152"/>
    </row>
    <row r="903">
      <c r="D903" s="135"/>
      <c r="F903" s="152"/>
      <c r="G903" s="152"/>
    </row>
    <row r="904">
      <c r="D904" s="135"/>
      <c r="F904" s="152"/>
      <c r="G904" s="152"/>
    </row>
    <row r="905">
      <c r="D905" s="135"/>
      <c r="F905" s="152"/>
      <c r="G905" s="152"/>
    </row>
    <row r="906">
      <c r="D906" s="135"/>
      <c r="F906" s="152"/>
      <c r="G906" s="152"/>
    </row>
    <row r="907">
      <c r="D907" s="135"/>
      <c r="F907" s="152"/>
      <c r="G907" s="152"/>
    </row>
    <row r="908">
      <c r="D908" s="135"/>
      <c r="F908" s="152"/>
      <c r="G908" s="152"/>
    </row>
    <row r="909">
      <c r="D909" s="135"/>
      <c r="F909" s="152"/>
      <c r="G909" s="152"/>
    </row>
    <row r="910">
      <c r="D910" s="135"/>
      <c r="F910" s="152"/>
      <c r="G910" s="152"/>
    </row>
    <row r="911">
      <c r="D911" s="135"/>
      <c r="F911" s="152"/>
      <c r="G911" s="152"/>
    </row>
    <row r="912">
      <c r="D912" s="135"/>
      <c r="F912" s="152"/>
      <c r="G912" s="152"/>
    </row>
    <row r="913">
      <c r="D913" s="135"/>
      <c r="F913" s="152"/>
      <c r="G913" s="152"/>
    </row>
    <row r="914">
      <c r="D914" s="135"/>
      <c r="F914" s="152"/>
      <c r="G914" s="152"/>
    </row>
    <row r="915">
      <c r="D915" s="135"/>
      <c r="F915" s="152"/>
      <c r="G915" s="152"/>
    </row>
    <row r="916">
      <c r="D916" s="135"/>
      <c r="F916" s="152"/>
      <c r="G916" s="152"/>
    </row>
    <row r="917">
      <c r="D917" s="135"/>
      <c r="F917" s="152"/>
      <c r="G917" s="152"/>
    </row>
    <row r="918">
      <c r="D918" s="135"/>
      <c r="F918" s="152"/>
      <c r="G918" s="152"/>
    </row>
    <row r="919">
      <c r="D919" s="135"/>
      <c r="F919" s="152"/>
      <c r="G919" s="152"/>
    </row>
    <row r="920">
      <c r="D920" s="135"/>
      <c r="F920" s="152"/>
      <c r="G920" s="152"/>
    </row>
    <row r="921">
      <c r="D921" s="135"/>
      <c r="F921" s="152"/>
      <c r="G921" s="152"/>
    </row>
    <row r="922">
      <c r="D922" s="135"/>
      <c r="F922" s="152"/>
      <c r="G922" s="152"/>
    </row>
    <row r="923">
      <c r="D923" s="135"/>
      <c r="F923" s="152"/>
      <c r="G923" s="152"/>
    </row>
    <row r="924">
      <c r="D924" s="135"/>
      <c r="F924" s="152"/>
      <c r="G924" s="152"/>
    </row>
    <row r="925">
      <c r="D925" s="135"/>
      <c r="F925" s="152"/>
      <c r="G925" s="152"/>
    </row>
    <row r="926">
      <c r="D926" s="135"/>
      <c r="F926" s="152"/>
      <c r="G926" s="152"/>
    </row>
    <row r="927">
      <c r="D927" s="135"/>
      <c r="F927" s="152"/>
      <c r="G927" s="152"/>
    </row>
    <row r="928">
      <c r="D928" s="135"/>
      <c r="F928" s="152"/>
      <c r="G928" s="152"/>
    </row>
    <row r="929">
      <c r="D929" s="135"/>
      <c r="F929" s="152"/>
      <c r="G929" s="152"/>
    </row>
    <row r="930">
      <c r="D930" s="135"/>
      <c r="F930" s="152"/>
      <c r="G930" s="152"/>
    </row>
    <row r="931">
      <c r="D931" s="135"/>
      <c r="F931" s="152"/>
      <c r="G931" s="152"/>
    </row>
    <row r="932">
      <c r="D932" s="135"/>
      <c r="F932" s="152"/>
      <c r="G932" s="152"/>
    </row>
    <row r="933">
      <c r="D933" s="135"/>
      <c r="F933" s="152"/>
      <c r="G933" s="152"/>
    </row>
    <row r="934">
      <c r="D934" s="135"/>
      <c r="F934" s="152"/>
      <c r="G934" s="152"/>
    </row>
    <row r="935">
      <c r="D935" s="135"/>
      <c r="F935" s="152"/>
      <c r="G935" s="152"/>
    </row>
    <row r="936">
      <c r="D936" s="135"/>
      <c r="F936" s="152"/>
      <c r="G936" s="152"/>
    </row>
    <row r="937">
      <c r="D937" s="135"/>
      <c r="F937" s="152"/>
      <c r="G937" s="152"/>
    </row>
    <row r="938">
      <c r="D938" s="135"/>
      <c r="F938" s="152"/>
      <c r="G938" s="152"/>
    </row>
    <row r="939">
      <c r="D939" s="135"/>
      <c r="F939" s="152"/>
      <c r="G939" s="152"/>
    </row>
    <row r="940">
      <c r="D940" s="135"/>
      <c r="F940" s="152"/>
      <c r="G940" s="152"/>
    </row>
    <row r="941">
      <c r="D941" s="135"/>
      <c r="F941" s="152"/>
      <c r="G941" s="152"/>
    </row>
    <row r="942">
      <c r="D942" s="135"/>
      <c r="F942" s="152"/>
      <c r="G942" s="152"/>
    </row>
    <row r="943">
      <c r="D943" s="135"/>
      <c r="F943" s="152"/>
      <c r="G943" s="152"/>
    </row>
    <row r="944">
      <c r="D944" s="135"/>
      <c r="F944" s="152"/>
      <c r="G944" s="152"/>
    </row>
    <row r="945">
      <c r="D945" s="135"/>
      <c r="F945" s="152"/>
      <c r="G945" s="152"/>
    </row>
    <row r="946">
      <c r="D946" s="135"/>
      <c r="F946" s="152"/>
      <c r="G946" s="152"/>
    </row>
    <row r="947">
      <c r="D947" s="135"/>
      <c r="F947" s="152"/>
      <c r="G947" s="152"/>
    </row>
    <row r="948">
      <c r="D948" s="135"/>
      <c r="F948" s="152"/>
      <c r="G948" s="152"/>
    </row>
    <row r="949">
      <c r="D949" s="135"/>
      <c r="F949" s="152"/>
      <c r="G949" s="152"/>
    </row>
    <row r="950">
      <c r="D950" s="135"/>
      <c r="F950" s="152"/>
      <c r="G950" s="152"/>
    </row>
    <row r="951">
      <c r="D951" s="135"/>
      <c r="F951" s="152"/>
      <c r="G951" s="152"/>
    </row>
    <row r="952">
      <c r="D952" s="135"/>
      <c r="F952" s="152"/>
      <c r="G952" s="152"/>
    </row>
    <row r="953">
      <c r="D953" s="135"/>
      <c r="F953" s="152"/>
      <c r="G953" s="152"/>
    </row>
    <row r="954">
      <c r="D954" s="135"/>
      <c r="F954" s="152"/>
      <c r="G954" s="152"/>
    </row>
    <row r="955">
      <c r="D955" s="135"/>
      <c r="F955" s="152"/>
      <c r="G955" s="152"/>
    </row>
    <row r="956">
      <c r="D956" s="135"/>
      <c r="F956" s="152"/>
      <c r="G956" s="152"/>
    </row>
    <row r="957">
      <c r="D957" s="135"/>
      <c r="F957" s="152"/>
      <c r="G957" s="152"/>
    </row>
    <row r="958">
      <c r="D958" s="135"/>
      <c r="F958" s="152"/>
      <c r="G958" s="152"/>
    </row>
    <row r="959">
      <c r="D959" s="135"/>
      <c r="F959" s="152"/>
      <c r="G959" s="152"/>
    </row>
    <row r="960">
      <c r="D960" s="135"/>
      <c r="F960" s="152"/>
      <c r="G960" s="152"/>
    </row>
    <row r="961">
      <c r="D961" s="135"/>
      <c r="F961" s="152"/>
      <c r="G961" s="152"/>
    </row>
    <row r="962">
      <c r="D962" s="135"/>
      <c r="F962" s="152"/>
      <c r="G962" s="152"/>
    </row>
    <row r="963">
      <c r="D963" s="135"/>
      <c r="F963" s="152"/>
      <c r="G963" s="152"/>
    </row>
    <row r="964">
      <c r="D964" s="135"/>
      <c r="F964" s="152"/>
      <c r="G964" s="152"/>
    </row>
    <row r="965">
      <c r="D965" s="135"/>
      <c r="F965" s="152"/>
      <c r="G965" s="152"/>
    </row>
    <row r="966">
      <c r="D966" s="135"/>
      <c r="F966" s="152"/>
      <c r="G966" s="152"/>
    </row>
    <row r="967">
      <c r="D967" s="135"/>
      <c r="F967" s="152"/>
      <c r="G967" s="152"/>
    </row>
    <row r="968">
      <c r="D968" s="135"/>
      <c r="F968" s="152"/>
      <c r="G968" s="152"/>
    </row>
    <row r="969">
      <c r="D969" s="135"/>
      <c r="F969" s="152"/>
      <c r="G969" s="152"/>
    </row>
    <row r="970">
      <c r="D970" s="135"/>
      <c r="F970" s="152"/>
      <c r="G970" s="152"/>
    </row>
    <row r="971">
      <c r="D971" s="135"/>
      <c r="F971" s="152"/>
      <c r="G971" s="152"/>
    </row>
    <row r="972">
      <c r="D972" s="135"/>
      <c r="F972" s="152"/>
      <c r="G972" s="152"/>
    </row>
    <row r="973">
      <c r="D973" s="135"/>
      <c r="F973" s="152"/>
      <c r="G973" s="152"/>
    </row>
    <row r="974">
      <c r="D974" s="135"/>
      <c r="F974" s="152"/>
      <c r="G974" s="152"/>
    </row>
    <row r="975">
      <c r="D975" s="135"/>
      <c r="F975" s="152"/>
      <c r="G975" s="152"/>
    </row>
    <row r="976">
      <c r="D976" s="135"/>
      <c r="F976" s="152"/>
      <c r="G976" s="152"/>
    </row>
    <row r="977">
      <c r="D977" s="135"/>
      <c r="F977" s="152"/>
      <c r="G977" s="152"/>
    </row>
    <row r="978">
      <c r="D978" s="135"/>
      <c r="F978" s="152"/>
      <c r="G978" s="152"/>
    </row>
    <row r="979">
      <c r="D979" s="135"/>
      <c r="F979" s="152"/>
      <c r="G979" s="152"/>
    </row>
    <row r="980">
      <c r="D980" s="135"/>
      <c r="F980" s="152"/>
      <c r="G980" s="152"/>
    </row>
    <row r="981">
      <c r="D981" s="135"/>
      <c r="F981" s="152"/>
      <c r="G981" s="152"/>
    </row>
    <row r="982">
      <c r="D982" s="135"/>
      <c r="F982" s="152"/>
      <c r="G982" s="152"/>
    </row>
    <row r="983">
      <c r="D983" s="135"/>
      <c r="F983" s="152"/>
      <c r="G983" s="152"/>
    </row>
    <row r="984">
      <c r="D984" s="135"/>
      <c r="F984" s="152"/>
      <c r="G984" s="152"/>
    </row>
    <row r="985">
      <c r="D985" s="135"/>
      <c r="F985" s="152"/>
      <c r="G985" s="152"/>
    </row>
    <row r="986">
      <c r="D986" s="135"/>
      <c r="F986" s="152"/>
      <c r="G986" s="152"/>
    </row>
    <row r="987">
      <c r="D987" s="135"/>
      <c r="F987" s="152"/>
      <c r="G987" s="152"/>
    </row>
    <row r="988">
      <c r="D988" s="135"/>
      <c r="F988" s="152"/>
      <c r="G988" s="152"/>
    </row>
    <row r="989">
      <c r="D989" s="135"/>
      <c r="F989" s="152"/>
      <c r="G989" s="152"/>
    </row>
    <row r="990">
      <c r="D990" s="135"/>
      <c r="F990" s="152"/>
      <c r="G990" s="152"/>
    </row>
    <row r="991">
      <c r="D991" s="135"/>
      <c r="F991" s="152"/>
      <c r="G991" s="152"/>
    </row>
    <row r="992">
      <c r="D992" s="135"/>
      <c r="F992" s="152"/>
      <c r="G992" s="152"/>
    </row>
    <row r="993">
      <c r="D993" s="135"/>
      <c r="F993" s="152"/>
      <c r="G993" s="152"/>
    </row>
    <row r="994">
      <c r="D994" s="135"/>
      <c r="F994" s="152"/>
      <c r="G994" s="152"/>
    </row>
    <row r="995">
      <c r="D995" s="135"/>
      <c r="F995" s="152"/>
      <c r="G995" s="152"/>
    </row>
    <row r="996">
      <c r="D996" s="135"/>
      <c r="F996" s="152"/>
      <c r="G996" s="152"/>
    </row>
    <row r="997">
      <c r="D997" s="135"/>
      <c r="F997" s="152"/>
      <c r="G997" s="152"/>
    </row>
    <row r="998">
      <c r="D998" s="135"/>
      <c r="F998" s="152"/>
      <c r="G998" s="152"/>
    </row>
    <row r="999">
      <c r="D999" s="135"/>
      <c r="F999" s="152"/>
      <c r="G999" s="152"/>
    </row>
    <row r="1000">
      <c r="D1000" s="135"/>
      <c r="F1000" s="152"/>
      <c r="G1000" s="152"/>
    </row>
  </sheetData>
  <mergeCells count="3">
    <mergeCell ref="F1:G1"/>
    <mergeCell ref="I3:K14"/>
    <mergeCell ref="A17:G17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3.43"/>
    <col customWidth="1" min="3" max="3" width="9.43"/>
    <col customWidth="1" min="4" max="4" width="9.0"/>
    <col customWidth="1" min="5" max="5" width="8.57"/>
    <col customWidth="1" min="6" max="6" width="9.57"/>
    <col customWidth="1" min="7" max="7" width="9.29"/>
    <col customWidth="1" min="8" max="8" width="9.43"/>
    <col customWidth="1" min="9" max="9" width="5.57"/>
    <col customWidth="1" min="10" max="10" width="46.43"/>
    <col customWidth="1" min="11" max="14" width="11.43"/>
  </cols>
  <sheetData>
    <row r="2">
      <c r="A2" s="167" t="s">
        <v>8</v>
      </c>
      <c r="B2" s="168" t="s">
        <v>23</v>
      </c>
      <c r="C2" s="168" t="s">
        <v>775</v>
      </c>
      <c r="E2" s="168" t="s">
        <v>474</v>
      </c>
      <c r="F2" s="168" t="s">
        <v>611</v>
      </c>
      <c r="H2" s="169" t="s">
        <v>601</v>
      </c>
      <c r="J2" s="170" t="s">
        <v>6</v>
      </c>
      <c r="K2" s="172" t="s">
        <v>24</v>
      </c>
      <c r="L2" s="173" t="s">
        <v>27</v>
      </c>
      <c r="M2" s="173" t="s">
        <v>13</v>
      </c>
      <c r="N2" s="174" t="s">
        <v>82</v>
      </c>
      <c r="O2" s="172" t="s">
        <v>474</v>
      </c>
    </row>
    <row r="3">
      <c r="C3" s="168" t="s">
        <v>12</v>
      </c>
      <c r="D3" s="168" t="s">
        <v>18</v>
      </c>
      <c r="F3" s="168" t="s">
        <v>12</v>
      </c>
      <c r="G3" s="168" t="s">
        <v>18</v>
      </c>
      <c r="J3" s="77"/>
      <c r="K3" s="77"/>
      <c r="L3" s="77"/>
      <c r="M3" s="77"/>
      <c r="N3" s="77"/>
      <c r="O3" s="77"/>
    </row>
    <row r="4">
      <c r="A4" s="175">
        <f t="shared" ref="A4:A22" si="1">IF(B4&lt;&gt;"",ROW()-3,"")</f>
        <v>1</v>
      </c>
      <c r="B4" s="176" t="s">
        <v>117</v>
      </c>
      <c r="C4" s="175">
        <f>COUNTIFS(Attendees!$H:$H,$B4,Attendees!$D:$D,C$3,Attendees!$L:$L,"")</f>
        <v>19</v>
      </c>
      <c r="D4" s="175">
        <f>COUNTIFS(Attendees!$H:$H,$B4,Attendees!$D:$D,D$3,Attendees!$L:$L,"")</f>
        <v>17</v>
      </c>
      <c r="E4" s="175">
        <f t="shared" ref="E4:E22" si="2">C4+D4</f>
        <v>36</v>
      </c>
      <c r="F4" s="175">
        <f>$C4*Settings!$H$3</f>
        <v>43700</v>
      </c>
      <c r="G4" s="175">
        <f>$D4*Settings!$H$4</f>
        <v>20400</v>
      </c>
      <c r="H4" s="175">
        <f t="shared" ref="H4:H22" si="3">$F4+$G4</f>
        <v>64100</v>
      </c>
      <c r="J4" s="15" t="s">
        <v>127</v>
      </c>
      <c r="K4" s="3">
        <f>COUNTIFS(Attendees!$G:$G,$J4,Attendees!$F:$F,K$2,Attendees!$L:$L,"")</f>
        <v>8</v>
      </c>
      <c r="L4" s="3">
        <f>COUNTIFS(Attendees!$G:$G,$J4,Attendees!$F:$F,L$2,Attendees!$L:$L,"")</f>
        <v>0</v>
      </c>
      <c r="M4" s="3">
        <f>COUNTIFS(Attendees!$G:$G,$J4,Attendees!$F:$F,M$2,Attendees!$L:$L,"")</f>
        <v>12</v>
      </c>
      <c r="N4" s="3">
        <f>COUNTIFS(Attendees!$G:$G,$J4,Attendees!$F:$F,N$2,Attendees!$L:$L,"")</f>
        <v>0</v>
      </c>
      <c r="O4" s="3">
        <f t="shared" ref="O4:O24" si="4">SUM(K4:N4)</f>
        <v>20</v>
      </c>
    </row>
    <row r="5">
      <c r="A5" s="177">
        <f t="shared" si="1"/>
        <v>2</v>
      </c>
      <c r="B5" s="178" t="s">
        <v>776</v>
      </c>
      <c r="C5" s="177">
        <f>COUNTIFS(Attendees!$H:$H,$B5,Attendees!$D:$D,C$3,Attendees!$L:$L,"")</f>
        <v>8</v>
      </c>
      <c r="D5" s="177">
        <f>COUNTIFS(Attendees!$H:$H,$B5,Attendees!$D:$D,D$3,Attendees!$L:$L,"")</f>
        <v>6</v>
      </c>
      <c r="E5" s="177">
        <f t="shared" si="2"/>
        <v>14</v>
      </c>
      <c r="F5" s="177">
        <f>$C5*Settings!$H$3</f>
        <v>18400</v>
      </c>
      <c r="G5" s="177">
        <f>$D5*Settings!$H$4</f>
        <v>7200</v>
      </c>
      <c r="H5" s="177">
        <f t="shared" si="3"/>
        <v>25600</v>
      </c>
      <c r="J5" s="179" t="s">
        <v>777</v>
      </c>
      <c r="K5" s="3">
        <f>COUNTIFS(Attendees!$G:$G,$J5,Attendees!$F:$F,K$2,Attendees!$L:$L,"")</f>
        <v>8</v>
      </c>
      <c r="L5" s="3">
        <f>COUNTIFS(Attendees!$G:$G,$J5,Attendees!$F:$F,L$2,Attendees!$L:$L,"")</f>
        <v>1</v>
      </c>
      <c r="M5" s="3">
        <f>COUNTIFS(Attendees!$G:$G,$J5,Attendees!$F:$F,M$2,Attendees!$L:$L,"")</f>
        <v>7</v>
      </c>
      <c r="N5" s="3">
        <f>COUNTIFS(Attendees!$G:$G,$J5,Attendees!$F:$F,N$2,Attendees!$L:$L,"")</f>
        <v>0</v>
      </c>
      <c r="O5" s="3">
        <f t="shared" si="4"/>
        <v>16</v>
      </c>
    </row>
    <row r="6">
      <c r="A6" s="175">
        <f t="shared" si="1"/>
        <v>3</v>
      </c>
      <c r="B6" s="180" t="s">
        <v>778</v>
      </c>
      <c r="C6" s="175">
        <f>COUNTIFS(Attendees!$H:$H,$B6,Attendees!$D:$D,C$3,Attendees!$L:$L,"")</f>
        <v>4</v>
      </c>
      <c r="D6" s="175">
        <f>COUNTIFS(Attendees!$H:$H,$B6,Attendees!$D:$D,D$3,Attendees!$L:$L,"")</f>
        <v>5</v>
      </c>
      <c r="E6" s="175">
        <f t="shared" si="2"/>
        <v>9</v>
      </c>
      <c r="F6" s="175">
        <f>$C6*Settings!$H$3</f>
        <v>9200</v>
      </c>
      <c r="G6" s="175">
        <f>$D6*Settings!$H$4</f>
        <v>6000</v>
      </c>
      <c r="H6" s="175">
        <f t="shared" si="3"/>
        <v>15200</v>
      </c>
      <c r="J6" s="179" t="s">
        <v>779</v>
      </c>
      <c r="K6" s="3">
        <f>COUNTIFS(Attendees!$G:$G,$J6,Attendees!$F:$F,K$2,Attendees!$L:$L,"")</f>
        <v>6</v>
      </c>
      <c r="L6" s="3">
        <f>COUNTIFS(Attendees!$G:$G,$J6,Attendees!$F:$F,L$2,Attendees!$L:$L,"")</f>
        <v>0</v>
      </c>
      <c r="M6" s="3">
        <f>COUNTIFS(Attendees!$G:$G,$J6,Attendees!$F:$F,M$2,Attendees!$L:$L,"")</f>
        <v>7</v>
      </c>
      <c r="N6" s="3">
        <f>COUNTIFS(Attendees!$G:$G,$J6,Attendees!$F:$F,N$2,Attendees!$L:$L,"")</f>
        <v>1</v>
      </c>
      <c r="O6" s="3">
        <f t="shared" si="4"/>
        <v>14</v>
      </c>
    </row>
    <row r="7">
      <c r="A7" s="177">
        <f t="shared" si="1"/>
        <v>4</v>
      </c>
      <c r="B7" s="178" t="s">
        <v>780</v>
      </c>
      <c r="C7" s="177">
        <f>COUNTIFS(Attendees!$H:$H,$B7,Attendees!$D:$D,C$3,Attendees!$L:$L,"")</f>
        <v>29</v>
      </c>
      <c r="D7" s="177">
        <f>COUNTIFS(Attendees!$H:$H,$B7,Attendees!$D:$D,D$3,Attendees!$L:$L,"")</f>
        <v>8</v>
      </c>
      <c r="E7" s="177">
        <f t="shared" si="2"/>
        <v>37</v>
      </c>
      <c r="F7" s="177">
        <f>$C7*Settings!$H$3</f>
        <v>66700</v>
      </c>
      <c r="G7" s="177">
        <f>$D7*Settings!$H$4</f>
        <v>9600</v>
      </c>
      <c r="H7" s="177">
        <f t="shared" si="3"/>
        <v>76300</v>
      </c>
      <c r="J7" s="179" t="s">
        <v>782</v>
      </c>
      <c r="K7" s="3">
        <f>COUNTIFS(Attendees!$G:$G,$J7,Attendees!$F:$F,K$2,Attendees!$L:$L,"")</f>
        <v>5</v>
      </c>
      <c r="L7" s="3">
        <f>COUNTIFS(Attendees!$G:$G,$J7,Attendees!$F:$F,L$2,Attendees!$L:$L,"")</f>
        <v>1</v>
      </c>
      <c r="M7" s="3">
        <f>COUNTIFS(Attendees!$G:$G,$J7,Attendees!$F:$F,M$2,Attendees!$L:$L,"")</f>
        <v>3</v>
      </c>
      <c r="N7" s="3">
        <f>COUNTIFS(Attendees!$G:$G,$J7,Attendees!$F:$F,N$2,Attendees!$L:$L,"")</f>
        <v>0</v>
      </c>
      <c r="O7" s="3">
        <f t="shared" si="4"/>
        <v>9</v>
      </c>
    </row>
    <row r="8">
      <c r="A8" s="175">
        <f t="shared" si="1"/>
        <v>5</v>
      </c>
      <c r="B8" s="180" t="s">
        <v>783</v>
      </c>
      <c r="C8" s="175">
        <f>COUNTIFS(Attendees!$H:$H,$B8,Attendees!$D:$D,C$3,Attendees!$L:$L,"")</f>
        <v>8</v>
      </c>
      <c r="D8" s="175">
        <f>COUNTIFS(Attendees!$H:$H,$B8,Attendees!$D:$D,D$3,Attendees!$L:$L,"")</f>
        <v>1</v>
      </c>
      <c r="E8" s="175">
        <f t="shared" si="2"/>
        <v>9</v>
      </c>
      <c r="F8" s="175">
        <f>$C8*Settings!$H$3</f>
        <v>18400</v>
      </c>
      <c r="G8" s="175">
        <f>$D8*Settings!$H$4</f>
        <v>1200</v>
      </c>
      <c r="H8" s="175">
        <f t="shared" si="3"/>
        <v>19600</v>
      </c>
      <c r="J8" s="179" t="s">
        <v>784</v>
      </c>
      <c r="K8" s="3">
        <f>COUNTIFS(Attendees!$G:$G,$J8,Attendees!$F:$F,K$2,Attendees!$L:$L,"")</f>
        <v>17</v>
      </c>
      <c r="L8" s="3">
        <f>COUNTIFS(Attendees!$G:$G,$J8,Attendees!$F:$F,L$2,Attendees!$L:$L,"")</f>
        <v>0</v>
      </c>
      <c r="M8" s="3">
        <f>COUNTIFS(Attendees!$G:$G,$J8,Attendees!$F:$F,M$2,Attendees!$L:$L,"")</f>
        <v>19</v>
      </c>
      <c r="N8" s="3">
        <f>COUNTIFS(Attendees!$G:$G,$J8,Attendees!$F:$F,N$2,Attendees!$L:$L,"")</f>
        <v>1</v>
      </c>
      <c r="O8" s="3">
        <f t="shared" si="4"/>
        <v>37</v>
      </c>
    </row>
    <row r="9">
      <c r="A9" s="177">
        <f t="shared" si="1"/>
        <v>6</v>
      </c>
      <c r="B9" s="178" t="s">
        <v>785</v>
      </c>
      <c r="C9" s="177">
        <f>COUNTIFS(Attendees!$H:$H,$B9,Attendees!$D:$D,C$3,Attendees!$L:$L,"")</f>
        <v>10</v>
      </c>
      <c r="D9" s="177">
        <f>COUNTIFS(Attendees!$H:$H,$B9,Attendees!$D:$D,D$3,Attendees!$L:$L,"")</f>
        <v>7</v>
      </c>
      <c r="E9" s="177">
        <f t="shared" si="2"/>
        <v>17</v>
      </c>
      <c r="F9" s="177">
        <f>$C9*Settings!$H$3</f>
        <v>23000</v>
      </c>
      <c r="G9" s="177">
        <f>$D9*Settings!$H$4</f>
        <v>8400</v>
      </c>
      <c r="H9" s="177">
        <f t="shared" si="3"/>
        <v>31400</v>
      </c>
      <c r="J9" s="179" t="s">
        <v>786</v>
      </c>
      <c r="K9" s="3">
        <f>COUNTIFS(Attendees!$G:$G,$J9,Attendees!$F:$F,K$2,Attendees!$L:$L,"")</f>
        <v>6</v>
      </c>
      <c r="L9" s="3">
        <f>COUNTIFS(Attendees!$G:$G,$J9,Attendees!$F:$F,L$2,Attendees!$L:$L,"")</f>
        <v>1</v>
      </c>
      <c r="M9" s="3">
        <f>COUNTIFS(Attendees!$G:$G,$J9,Attendees!$F:$F,M$2,Attendees!$L:$L,"")</f>
        <v>2</v>
      </c>
      <c r="N9" s="3">
        <f>COUNTIFS(Attendees!$G:$G,$J9,Attendees!$F:$F,N$2,Attendees!$L:$L,"")</f>
        <v>0</v>
      </c>
      <c r="O9" s="3">
        <f t="shared" si="4"/>
        <v>9</v>
      </c>
    </row>
    <row r="10">
      <c r="A10" s="175">
        <f t="shared" si="1"/>
        <v>7</v>
      </c>
      <c r="B10" s="180" t="s">
        <v>787</v>
      </c>
      <c r="C10" s="175">
        <f>COUNTIFS(Attendees!$H:$H,$B10,Attendees!$D:$D,C$3,Attendees!$L:$L,"")</f>
        <v>14</v>
      </c>
      <c r="D10" s="175">
        <f>COUNTIFS(Attendees!$H:$H,$B10,Attendees!$D:$D,D$3,Attendees!$L:$L,"")</f>
        <v>5</v>
      </c>
      <c r="E10" s="175">
        <f t="shared" si="2"/>
        <v>19</v>
      </c>
      <c r="F10" s="175">
        <f>$C10*Settings!$H$3</f>
        <v>32200</v>
      </c>
      <c r="G10" s="175">
        <f>$D10*Settings!$H$4</f>
        <v>6000</v>
      </c>
      <c r="H10" s="175">
        <f t="shared" si="3"/>
        <v>38200</v>
      </c>
      <c r="J10" s="179" t="s">
        <v>788</v>
      </c>
      <c r="K10" s="3">
        <f>COUNTIFS(Attendees!$G:$G,$J10,Attendees!$F:$F,K$2,Attendees!$L:$L,"")</f>
        <v>6</v>
      </c>
      <c r="L10" s="3">
        <f>COUNTIFS(Attendees!$G:$G,$J10,Attendees!$F:$F,L$2,Attendees!$L:$L,"")</f>
        <v>0</v>
      </c>
      <c r="M10" s="3">
        <f>COUNTIFS(Attendees!$G:$G,$J10,Attendees!$F:$F,M$2,Attendees!$L:$L,"")</f>
        <v>10</v>
      </c>
      <c r="N10" s="3">
        <f>COUNTIFS(Attendees!$G:$G,$J10,Attendees!$F:$F,N$2,Attendees!$L:$L,"")</f>
        <v>1</v>
      </c>
      <c r="O10" s="3">
        <f t="shared" si="4"/>
        <v>17</v>
      </c>
    </row>
    <row r="11">
      <c r="A11" s="177">
        <f t="shared" si="1"/>
        <v>8</v>
      </c>
      <c r="B11" s="178" t="s">
        <v>789</v>
      </c>
      <c r="C11" s="177">
        <f>COUNTIFS(Attendees!$H:$H,$B11,Attendees!$D:$D,C$3,Attendees!$L:$L,"")</f>
        <v>19</v>
      </c>
      <c r="D11" s="177">
        <f>COUNTIFS(Attendees!$H:$H,$B11,Attendees!$D:$D,D$3,Attendees!$L:$L,"")</f>
        <v>2</v>
      </c>
      <c r="E11" s="177">
        <f t="shared" si="2"/>
        <v>21</v>
      </c>
      <c r="F11" s="177">
        <f>$C11*Settings!$H$3</f>
        <v>43700</v>
      </c>
      <c r="G11" s="177">
        <f>$D11*Settings!$H$4</f>
        <v>2400</v>
      </c>
      <c r="H11" s="177">
        <f t="shared" si="3"/>
        <v>46100</v>
      </c>
      <c r="J11" s="179" t="s">
        <v>790</v>
      </c>
      <c r="K11" s="3">
        <f>COUNTIFS(Attendees!$G:$G,$J11,Attendees!$F:$F,K$2,Attendees!$L:$L,"")</f>
        <v>7</v>
      </c>
      <c r="L11" s="3">
        <f>COUNTIFS(Attendees!$G:$G,$J11,Attendees!$F:$F,L$2,Attendees!$L:$L,"")</f>
        <v>0</v>
      </c>
      <c r="M11" s="3">
        <f>COUNTIFS(Attendees!$G:$G,$J11,Attendees!$F:$F,M$2,Attendees!$L:$L,"")</f>
        <v>11</v>
      </c>
      <c r="N11" s="3">
        <f>COUNTIFS(Attendees!$G:$G,$J11,Attendees!$F:$F,N$2,Attendees!$L:$L,"")</f>
        <v>1</v>
      </c>
      <c r="O11" s="3">
        <f t="shared" si="4"/>
        <v>19</v>
      </c>
    </row>
    <row r="12">
      <c r="A12" s="175">
        <f t="shared" si="1"/>
        <v>9</v>
      </c>
      <c r="B12" s="180" t="s">
        <v>791</v>
      </c>
      <c r="C12" s="175">
        <f>COUNTIFS(Attendees!$H:$H,$B12,Attendees!$D:$D,C$3,Attendees!$L:$L,"")</f>
        <v>12</v>
      </c>
      <c r="D12" s="175">
        <f>COUNTIFS(Attendees!$H:$H,$B12,Attendees!$D:$D,D$3,Attendees!$L:$L,"")</f>
        <v>10</v>
      </c>
      <c r="E12" s="175">
        <f t="shared" si="2"/>
        <v>22</v>
      </c>
      <c r="F12" s="175">
        <f>$C12*Settings!$H$3</f>
        <v>27600</v>
      </c>
      <c r="G12" s="175">
        <f>$D12*Settings!$H$4</f>
        <v>12000</v>
      </c>
      <c r="H12" s="175">
        <f t="shared" si="3"/>
        <v>39600</v>
      </c>
      <c r="J12" s="179" t="s">
        <v>792</v>
      </c>
      <c r="K12" s="3">
        <f>COUNTIFS(Attendees!$G:$G,$J12,Attendees!$F:$F,K$2,Attendees!$L:$L,"")</f>
        <v>8</v>
      </c>
      <c r="L12" s="3">
        <f>COUNTIFS(Attendees!$G:$G,$J12,Attendees!$F:$F,L$2,Attendees!$L:$L,"")</f>
        <v>1</v>
      </c>
      <c r="M12" s="3">
        <f>COUNTIFS(Attendees!$G:$G,$J12,Attendees!$F:$F,M$2,Attendees!$L:$L,"")</f>
        <v>12</v>
      </c>
      <c r="N12" s="3">
        <f>COUNTIFS(Attendees!$G:$G,$J12,Attendees!$F:$F,N$2,Attendees!$L:$L,"")</f>
        <v>0</v>
      </c>
      <c r="O12" s="3">
        <f t="shared" si="4"/>
        <v>21</v>
      </c>
    </row>
    <row r="13">
      <c r="A13" s="177">
        <f t="shared" si="1"/>
        <v>10</v>
      </c>
      <c r="B13" s="178" t="s">
        <v>793</v>
      </c>
      <c r="C13" s="177">
        <f>COUNTIFS(Attendees!$H:$H,$B13,Attendees!$D:$D,C$3,Attendees!$L:$L,"")</f>
        <v>6</v>
      </c>
      <c r="D13" s="177">
        <f>COUNTIFS(Attendees!$H:$H,$B13,Attendees!$D:$D,D$3,Attendees!$L:$L,"")</f>
        <v>2</v>
      </c>
      <c r="E13" s="177">
        <f t="shared" si="2"/>
        <v>8</v>
      </c>
      <c r="F13" s="177">
        <f>$C13*Settings!$H$3</f>
        <v>13800</v>
      </c>
      <c r="G13" s="177">
        <f>$D13*Settings!$H$4</f>
        <v>2400</v>
      </c>
      <c r="H13" s="177">
        <f t="shared" si="3"/>
        <v>16200</v>
      </c>
      <c r="J13" s="179" t="s">
        <v>794</v>
      </c>
      <c r="K13" s="3">
        <f>COUNTIFS(Attendees!$G:$G,$J13,Attendees!$F:$F,K$2,Attendees!$L:$L,"")</f>
        <v>10</v>
      </c>
      <c r="L13" s="3">
        <f>COUNTIFS(Attendees!$G:$G,$J13,Attendees!$F:$F,L$2,Attendees!$L:$L,"")</f>
        <v>1</v>
      </c>
      <c r="M13" s="3">
        <f>COUNTIFS(Attendees!$G:$G,$J13,Attendees!$F:$F,M$2,Attendees!$L:$L,"")</f>
        <v>11</v>
      </c>
      <c r="N13" s="3">
        <f>COUNTIFS(Attendees!$G:$G,$J13,Attendees!$F:$F,N$2,Attendees!$L:$L,"")</f>
        <v>0</v>
      </c>
      <c r="O13" s="3">
        <f t="shared" si="4"/>
        <v>22</v>
      </c>
    </row>
    <row r="14">
      <c r="A14" s="175">
        <f t="shared" si="1"/>
        <v>11</v>
      </c>
      <c r="B14" s="180" t="s">
        <v>41</v>
      </c>
      <c r="C14" s="175">
        <f>COUNTIFS(Attendees!$H:$H,$B14,Attendees!$D:$D,C$3,Attendees!$L:$L,"")</f>
        <v>9</v>
      </c>
      <c r="D14" s="175">
        <f>COUNTIFS(Attendees!$H:$H,$B14,Attendees!$D:$D,D$3,Attendees!$L:$L,"")</f>
        <v>7</v>
      </c>
      <c r="E14" s="175">
        <f t="shared" si="2"/>
        <v>16</v>
      </c>
      <c r="F14" s="175">
        <f>$C14*Settings!$H$3</f>
        <v>20700</v>
      </c>
      <c r="G14" s="175">
        <f>$D14*Settings!$H$4</f>
        <v>8400</v>
      </c>
      <c r="H14" s="175">
        <f t="shared" si="3"/>
        <v>29100</v>
      </c>
      <c r="J14" s="179" t="s">
        <v>143</v>
      </c>
      <c r="K14" s="3">
        <f>COUNTIFS(Attendees!$G:$G,$J14,Attendees!$F:$F,K$2,Attendees!$L:$L,"")</f>
        <v>3</v>
      </c>
      <c r="L14" s="3">
        <f>COUNTIFS(Attendees!$G:$G,$J14,Attendees!$F:$F,L$2,Attendees!$L:$L,"")</f>
        <v>0</v>
      </c>
      <c r="M14" s="3">
        <f>COUNTIFS(Attendees!$G:$G,$J14,Attendees!$F:$F,M$2,Attendees!$L:$L,"")</f>
        <v>4</v>
      </c>
      <c r="N14" s="3">
        <f>COUNTIFS(Attendees!$G:$G,$J14,Attendees!$F:$F,N$2,Attendees!$L:$L,"")</f>
        <v>1</v>
      </c>
      <c r="O14" s="3">
        <f t="shared" si="4"/>
        <v>8</v>
      </c>
    </row>
    <row r="15">
      <c r="A15" s="177">
        <f t="shared" si="1"/>
        <v>12</v>
      </c>
      <c r="B15" s="178" t="s">
        <v>795</v>
      </c>
      <c r="C15" s="177">
        <f>COUNTIFS(Attendees!$H:$H,$B15,Attendees!$D:$D,C$3,Attendees!$L:$L,"")</f>
        <v>21</v>
      </c>
      <c r="D15" s="177">
        <f>COUNTIFS(Attendees!$H:$H,$B15,Attendees!$D:$D,D$3,Attendees!$L:$L,"")</f>
        <v>11</v>
      </c>
      <c r="E15" s="177">
        <f t="shared" si="2"/>
        <v>32</v>
      </c>
      <c r="F15" s="177">
        <f>$C15*Settings!$H$3</f>
        <v>48300</v>
      </c>
      <c r="G15" s="177">
        <f>$D15*Settings!$H$4</f>
        <v>13200</v>
      </c>
      <c r="H15" s="177">
        <f t="shared" si="3"/>
        <v>61500</v>
      </c>
      <c r="J15" s="179" t="s">
        <v>39</v>
      </c>
      <c r="K15" s="3">
        <f>COUNTIFS(Attendees!$G:$G,$J15,Attendees!$F:$F,K$2,Attendees!$L:$L,"")</f>
        <v>5</v>
      </c>
      <c r="L15" s="3">
        <f>COUNTIFS(Attendees!$G:$G,$J15,Attendees!$F:$F,L$2,Attendees!$L:$L,"")</f>
        <v>1</v>
      </c>
      <c r="M15" s="3">
        <f>COUNTIFS(Attendees!$G:$G,$J15,Attendees!$F:$F,M$2,Attendees!$L:$L,"")</f>
        <v>10</v>
      </c>
      <c r="N15" s="3">
        <f>COUNTIFS(Attendees!$G:$G,$J15,Attendees!$F:$F,N$2,Attendees!$L:$L,"")</f>
        <v>0</v>
      </c>
      <c r="O15" s="3">
        <f t="shared" si="4"/>
        <v>16</v>
      </c>
    </row>
    <row r="16">
      <c r="A16" s="175">
        <f t="shared" si="1"/>
        <v>13</v>
      </c>
      <c r="B16" s="180" t="s">
        <v>223</v>
      </c>
      <c r="C16" s="175">
        <f>COUNTIFS(Attendees!$H:$H,$B16,Attendees!$D:$D,C$3,Attendees!$L:$L,"")</f>
        <v>18</v>
      </c>
      <c r="D16" s="175">
        <f>COUNTIFS(Attendees!$H:$H,$B16,Attendees!$D:$D,D$3,Attendees!$L:$L,"")</f>
        <v>10</v>
      </c>
      <c r="E16" s="175">
        <f t="shared" si="2"/>
        <v>28</v>
      </c>
      <c r="F16" s="175">
        <f>$C16*Settings!$H$3</f>
        <v>41400</v>
      </c>
      <c r="G16" s="175">
        <f>$D16*Settings!$H$4</f>
        <v>12000</v>
      </c>
      <c r="H16" s="175">
        <f t="shared" si="3"/>
        <v>53400</v>
      </c>
      <c r="J16" s="179" t="s">
        <v>156</v>
      </c>
      <c r="K16" s="3">
        <f>COUNTIFS(Attendees!$G:$G,$J16,Attendees!$F:$F,K$2,Attendees!$L:$L,"")</f>
        <v>8</v>
      </c>
      <c r="L16" s="3">
        <f>COUNTIFS(Attendees!$G:$G,$J16,Attendees!$F:$F,L$2,Attendees!$L:$L,"")</f>
        <v>0</v>
      </c>
      <c r="M16" s="3">
        <f>COUNTIFS(Attendees!$G:$G,$J16,Attendees!$F:$F,M$2,Attendees!$L:$L,"")</f>
        <v>15</v>
      </c>
      <c r="N16" s="3">
        <f>COUNTIFS(Attendees!$G:$G,$J16,Attendees!$F:$F,N$2,Attendees!$L:$L,"")</f>
        <v>0</v>
      </c>
      <c r="O16" s="3">
        <f t="shared" si="4"/>
        <v>23</v>
      </c>
    </row>
    <row r="17">
      <c r="A17" s="177">
        <f t="shared" si="1"/>
        <v>14</v>
      </c>
      <c r="B17" s="178" t="s">
        <v>796</v>
      </c>
      <c r="C17" s="177">
        <f>COUNTIFS(Attendees!$H:$H,$B17,Attendees!$D:$D,C$3,Attendees!$L:$L,"")</f>
        <v>2</v>
      </c>
      <c r="D17" s="177">
        <f>COUNTIFS(Attendees!$H:$H,$B17,Attendees!$D:$D,D$3,Attendees!$L:$L,"")</f>
        <v>0</v>
      </c>
      <c r="E17" s="177">
        <f t="shared" si="2"/>
        <v>2</v>
      </c>
      <c r="F17" s="177">
        <f>$C17*Settings!$H$3</f>
        <v>4600</v>
      </c>
      <c r="G17" s="177">
        <f>$D17*Settings!$H$4</f>
        <v>0</v>
      </c>
      <c r="H17" s="177">
        <f t="shared" si="3"/>
        <v>4600</v>
      </c>
      <c r="J17" s="179" t="s">
        <v>62</v>
      </c>
      <c r="K17" s="3">
        <f>COUNTIFS(Attendees!$G:$G,$J17,Attendees!$F:$F,K$2,Attendees!$L:$L,"")</f>
        <v>4</v>
      </c>
      <c r="L17" s="3">
        <f>COUNTIFS(Attendees!$G:$G,$J17,Attendees!$F:$F,L$2,Attendees!$L:$L,"")</f>
        <v>0</v>
      </c>
      <c r="M17" s="3">
        <f>COUNTIFS(Attendees!$G:$G,$J17,Attendees!$F:$F,M$2,Attendees!$L:$L,"")</f>
        <v>4</v>
      </c>
      <c r="N17" s="3">
        <f>COUNTIFS(Attendees!$G:$G,$J17,Attendees!$F:$F,N$2,Attendees!$L:$L,"")</f>
        <v>1</v>
      </c>
      <c r="O17" s="3">
        <f t="shared" si="4"/>
        <v>9</v>
      </c>
    </row>
    <row r="18">
      <c r="A18" s="175">
        <f t="shared" si="1"/>
        <v>15</v>
      </c>
      <c r="B18" s="180" t="s">
        <v>797</v>
      </c>
      <c r="C18" s="175">
        <f>COUNTIFS(Attendees!$H:$H,$B18,Attendees!$D:$D,C$3,Attendees!$L:$L,"")</f>
        <v>9</v>
      </c>
      <c r="D18" s="175">
        <f>COUNTIFS(Attendees!$H:$H,$B18,Attendees!$D:$D,D$3,Attendees!$L:$L,"")</f>
        <v>2</v>
      </c>
      <c r="E18" s="175">
        <f t="shared" si="2"/>
        <v>11</v>
      </c>
      <c r="F18" s="175">
        <f>$C18*Settings!$H$3</f>
        <v>20700</v>
      </c>
      <c r="G18" s="175">
        <f>$D18*Settings!$H$4</f>
        <v>2400</v>
      </c>
      <c r="H18" s="175">
        <f t="shared" si="3"/>
        <v>23100</v>
      </c>
      <c r="J18" s="179" t="s">
        <v>801</v>
      </c>
      <c r="K18" s="3">
        <f>COUNTIFS(Attendees!$G:$G,$J18,Attendees!$F:$F,K$2,Attendees!$L:$L,"")</f>
        <v>10</v>
      </c>
      <c r="L18" s="3">
        <f>COUNTIFS(Attendees!$G:$G,$J18,Attendees!$F:$F,L$2,Attendees!$L:$L,"")</f>
        <v>0</v>
      </c>
      <c r="M18" s="3">
        <f>COUNTIFS(Attendees!$G:$G,$J18,Attendees!$F:$F,M$2,Attendees!$L:$L,"")</f>
        <v>17</v>
      </c>
      <c r="N18" s="3">
        <f>COUNTIFS(Attendees!$G:$G,$J18,Attendees!$F:$F,N$2,Attendees!$L:$L,"")</f>
        <v>1</v>
      </c>
      <c r="O18" s="3">
        <f t="shared" si="4"/>
        <v>28</v>
      </c>
    </row>
    <row r="19">
      <c r="A19" s="177">
        <f t="shared" si="1"/>
        <v>16</v>
      </c>
      <c r="B19" s="178" t="s">
        <v>802</v>
      </c>
      <c r="C19" s="177">
        <f>COUNTIFS(Attendees!$H:$H,$B19,Attendees!$D:$D,C$3,Attendees!$L:$L,"")</f>
        <v>5</v>
      </c>
      <c r="D19" s="177">
        <f>COUNTIFS(Attendees!$H:$H,$B19,Attendees!$D:$D,D$3,Attendees!$L:$L,"")</f>
        <v>6</v>
      </c>
      <c r="E19" s="177">
        <f t="shared" si="2"/>
        <v>11</v>
      </c>
      <c r="F19" s="177">
        <f>$C19*Settings!$H$3</f>
        <v>11500</v>
      </c>
      <c r="G19" s="177">
        <f>$D19*Settings!$H$4</f>
        <v>7200</v>
      </c>
      <c r="H19" s="177">
        <f t="shared" si="3"/>
        <v>18700</v>
      </c>
      <c r="J19" s="179" t="s">
        <v>35</v>
      </c>
      <c r="K19" s="3">
        <f>COUNTIFS(Attendees!$G:$G,$J19,Attendees!$F:$F,K$2,Attendees!$L:$L,"")</f>
        <v>1</v>
      </c>
      <c r="L19" s="3">
        <f>COUNTIFS(Attendees!$G:$G,$J19,Attendees!$F:$F,L$2,Attendees!$L:$L,"")</f>
        <v>0</v>
      </c>
      <c r="M19" s="3">
        <f>COUNTIFS(Attendees!$G:$G,$J19,Attendees!$F:$F,M$2,Attendees!$L:$L,"")</f>
        <v>0</v>
      </c>
      <c r="N19" s="3">
        <f>COUNTIFS(Attendees!$G:$G,$J19,Attendees!$F:$F,N$2,Attendees!$L:$L,"")</f>
        <v>1</v>
      </c>
      <c r="O19" s="3">
        <f t="shared" si="4"/>
        <v>2</v>
      </c>
    </row>
    <row r="20">
      <c r="A20" s="175" t="str">
        <f t="shared" si="1"/>
        <v/>
      </c>
      <c r="B20" s="180"/>
      <c r="C20" s="175">
        <f>COUNTIFS(Attendees!$H:$H,$B20,Attendees!$D:$D,C$3,Attendees!$L:$L,"")</f>
        <v>0</v>
      </c>
      <c r="D20" s="175">
        <f>COUNTIFS(Attendees!$H:$H,$B20,Attendees!$D:$D,D$3,Attendees!$L:$L,"")</f>
        <v>0</v>
      </c>
      <c r="E20" s="175">
        <f t="shared" si="2"/>
        <v>0</v>
      </c>
      <c r="F20" s="175">
        <f>$C20*Settings!$H$3</f>
        <v>0</v>
      </c>
      <c r="G20" s="175">
        <f>$D20*Settings!$H$4</f>
        <v>0</v>
      </c>
      <c r="H20" s="175">
        <f t="shared" si="3"/>
        <v>0</v>
      </c>
      <c r="J20" s="179" t="s">
        <v>14</v>
      </c>
      <c r="K20" s="3">
        <f>COUNTIFS(Attendees!$G:$G,$J20,Attendees!$F:$F,K$2,Attendees!$L:$L,"")</f>
        <v>0</v>
      </c>
      <c r="L20" s="3">
        <f>COUNTIFS(Attendees!$G:$G,$J20,Attendees!$F:$F,L$2,Attendees!$L:$L,"")</f>
        <v>0</v>
      </c>
      <c r="M20" s="3">
        <f>COUNTIFS(Attendees!$G:$G,$J20,Attendees!$F:$F,M$2,Attendees!$L:$L,"")</f>
        <v>11</v>
      </c>
      <c r="N20" s="3">
        <f>COUNTIFS(Attendees!$G:$G,$J20,Attendees!$F:$F,N$2,Attendees!$L:$L,"")</f>
        <v>0</v>
      </c>
      <c r="O20" s="3">
        <f t="shared" si="4"/>
        <v>11</v>
      </c>
    </row>
    <row r="21">
      <c r="A21" s="177" t="str">
        <f t="shared" si="1"/>
        <v/>
      </c>
      <c r="B21" s="178"/>
      <c r="C21" s="177">
        <f>COUNTIFS(Attendees!$H:$H,$B21,Attendees!$D:$D,C$3,Attendees!$L:$L,"")</f>
        <v>0</v>
      </c>
      <c r="D21" s="177">
        <f>COUNTIFS(Attendees!$H:$H,$B21,Attendees!$D:$D,D$3,Attendees!$L:$L,"")</f>
        <v>0</v>
      </c>
      <c r="E21" s="177">
        <f t="shared" si="2"/>
        <v>0</v>
      </c>
      <c r="F21" s="177">
        <f>$C21*Settings!$H$3</f>
        <v>0</v>
      </c>
      <c r="G21" s="177">
        <f>$D21*Settings!$H$4</f>
        <v>0</v>
      </c>
      <c r="H21" s="177">
        <f t="shared" si="3"/>
        <v>0</v>
      </c>
      <c r="J21" s="179" t="s">
        <v>452</v>
      </c>
      <c r="K21" s="3">
        <f>COUNTIFS(Attendees!$G:$G,$J21,Attendees!$F:$F,K$2,Attendees!$L:$L,"")</f>
        <v>5</v>
      </c>
      <c r="L21" s="3">
        <f>COUNTIFS(Attendees!$G:$G,$J21,Attendees!$F:$F,L$2,Attendees!$L:$L,"")</f>
        <v>0</v>
      </c>
      <c r="M21" s="3">
        <f>COUNTIFS(Attendees!$G:$G,$J21,Attendees!$F:$F,M$2,Attendees!$L:$L,"")</f>
        <v>6</v>
      </c>
      <c r="N21" s="3">
        <f>COUNTIFS(Attendees!$G:$G,$J21,Attendees!$F:$F,N$2,Attendees!$L:$L,"")</f>
        <v>0</v>
      </c>
      <c r="O21" s="3">
        <f t="shared" si="4"/>
        <v>11</v>
      </c>
    </row>
    <row r="22">
      <c r="A22" s="175" t="str">
        <f t="shared" si="1"/>
        <v/>
      </c>
      <c r="B22" s="180"/>
      <c r="C22" s="175">
        <f>COUNTIFS(Attendees!$H:$H,$B22,Attendees!$D:$D,C$3,Attendees!$L:$L,"")</f>
        <v>0</v>
      </c>
      <c r="D22" s="175">
        <f>COUNTIFS(Attendees!$H:$H,$B22,Attendees!$D:$D,D$3,Attendees!$L:$L,"")</f>
        <v>0</v>
      </c>
      <c r="E22" s="175">
        <f t="shared" si="2"/>
        <v>0</v>
      </c>
      <c r="F22" s="175">
        <f>$C22*Settings!$H$3</f>
        <v>0</v>
      </c>
      <c r="G22" s="175">
        <f>$D22*Settings!$H$4</f>
        <v>0</v>
      </c>
      <c r="H22" s="175">
        <f t="shared" si="3"/>
        <v>0</v>
      </c>
      <c r="J22" s="179"/>
      <c r="K22" s="3">
        <f>COUNTIFS(Attendees!$G:$G,$J22,Attendees!$F:$F,K$2,Attendees!$L:$L,"")</f>
        <v>0</v>
      </c>
      <c r="L22" s="3">
        <f>COUNTIFS(Attendees!$G:$G,$J22,Attendees!$F:$F,L$2,Attendees!$L:$L,"")</f>
        <v>0</v>
      </c>
      <c r="M22" s="3">
        <f>COUNTIFS(Attendees!$G:$G,$J22,Attendees!$F:$F,M$2,Attendees!$L:$L,"")</f>
        <v>0</v>
      </c>
      <c r="N22" s="3">
        <f>COUNTIFS(Attendees!$G:$G,$J22,Attendees!$F:$F,N$2,Attendees!$L:$L,"")</f>
        <v>0</v>
      </c>
      <c r="O22" s="3">
        <f t="shared" si="4"/>
        <v>0</v>
      </c>
    </row>
    <row r="23">
      <c r="A23" s="199"/>
      <c r="B23" s="199"/>
      <c r="C23" s="199">
        <f t="shared" ref="C23:E23" si="5">SUM(C4:C22)</f>
        <v>193</v>
      </c>
      <c r="D23" s="199">
        <f t="shared" si="5"/>
        <v>99</v>
      </c>
      <c r="E23" s="199">
        <f t="shared" si="5"/>
        <v>292</v>
      </c>
      <c r="F23" s="199"/>
      <c r="G23" s="199"/>
      <c r="H23" s="199">
        <f>SUM(H4:H22)</f>
        <v>562700</v>
      </c>
      <c r="J23" s="133"/>
      <c r="K23" s="3">
        <f>COUNTIFS(Attendees!$G:$G,$J23,Attendees!$F:$F,K$2,Attendees!$L:$L,"")</f>
        <v>0</v>
      </c>
      <c r="L23" s="3">
        <f>COUNTIFS(Attendees!$G:$G,$J23,Attendees!$F:$F,L$2,Attendees!$L:$L,"")</f>
        <v>0</v>
      </c>
      <c r="M23" s="3">
        <f>COUNTIFS(Attendees!$G:$G,$J23,Attendees!$F:$F,M$2,Attendees!$L:$L,"")</f>
        <v>0</v>
      </c>
      <c r="N23" s="3">
        <f>COUNTIFS(Attendees!$G:$G,$J23,Attendees!$F:$F,N$2,Attendees!$L:$L,"")</f>
        <v>0</v>
      </c>
      <c r="O23" s="3">
        <f t="shared" si="4"/>
        <v>0</v>
      </c>
    </row>
    <row r="24">
      <c r="A24" s="201"/>
      <c r="B24" s="201"/>
      <c r="C24" s="202" t="s">
        <v>805</v>
      </c>
      <c r="D24" s="201">
        <f>COUNTIFS(Attendees!D:D,C24)</f>
        <v>0</v>
      </c>
      <c r="E24" s="201"/>
      <c r="F24" s="201"/>
      <c r="G24" s="201"/>
      <c r="H24" s="201"/>
      <c r="J24" s="133"/>
      <c r="K24" s="3">
        <f>COUNTIFS(Attendees!$G:$G,$J24,Attendees!$F:$F,K$2,Attendees!$L:$L,"")</f>
        <v>0</v>
      </c>
      <c r="L24" s="3">
        <f>COUNTIFS(Attendees!$G:$G,$J24,Attendees!$F:$F,L$2,Attendees!$L:$L,"")</f>
        <v>0</v>
      </c>
      <c r="M24" s="3">
        <f>COUNTIFS(Attendees!$G:$G,$J24,Attendees!$F:$F,M$2,Attendees!$L:$L,"")</f>
        <v>0</v>
      </c>
      <c r="N24" s="3">
        <f>COUNTIFS(Attendees!$G:$G,$J24,Attendees!$F:$F,N$2,Attendees!$L:$L,"")</f>
        <v>0</v>
      </c>
      <c r="O24" s="3">
        <f t="shared" si="4"/>
        <v>0</v>
      </c>
    </row>
    <row r="25">
      <c r="N25" s="1" t="s">
        <v>474</v>
      </c>
      <c r="O25">
        <f>SUM(O4:O21)</f>
        <v>292</v>
      </c>
    </row>
  </sheetData>
  <mergeCells count="12">
    <mergeCell ref="L2:L3"/>
    <mergeCell ref="M2:M3"/>
    <mergeCell ref="N2:N3"/>
    <mergeCell ref="O2:O3"/>
    <mergeCell ref="F2:G2"/>
    <mergeCell ref="C2:D2"/>
    <mergeCell ref="B2:B3"/>
    <mergeCell ref="A2:A3"/>
    <mergeCell ref="E2:E3"/>
    <mergeCell ref="K2:K3"/>
    <mergeCell ref="J2:J3"/>
    <mergeCell ref="H2:H3"/>
  </mergeCells>
  <conditionalFormatting sqref="J4">
    <cfRule type="expression" dxfId="9" priority="1">
      <formula>$F4="Performer"</formula>
    </cfRule>
  </conditionalFormatting>
  <conditionalFormatting sqref="J4">
    <cfRule type="expression" dxfId="10" priority="2">
      <formula>$F4="Relative"</formula>
    </cfRule>
  </conditionalFormatting>
  <conditionalFormatting sqref="J4">
    <cfRule type="expression" dxfId="11" priority="3">
      <formula>$F4="Coordinator"</formula>
    </cfRule>
  </conditionalFormatting>
  <conditionalFormatting sqref="J4">
    <cfRule type="expression" dxfId="12" priority="4">
      <formula>$F4="Performer / Coordinator"</formula>
    </cfRule>
  </conditionalFormatting>
  <dataValidations>
    <dataValidation type="list" allowBlank="1" sqref="J4">
      <formula1>Settings!$B$4:$B$30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9.71"/>
    <col customWidth="1" min="4" max="4" width="10.71"/>
    <col customWidth="1" min="6" max="6" width="38.57"/>
    <col customWidth="1" min="7" max="7" width="15.29"/>
    <col customWidth="1" min="8" max="8" width="17.71"/>
    <col customWidth="1" min="9" max="9" width="11.57"/>
  </cols>
  <sheetData>
    <row r="1">
      <c r="B1" s="189"/>
      <c r="C1" s="190"/>
      <c r="D1" s="191"/>
      <c r="G1" s="192" t="s">
        <v>24</v>
      </c>
    </row>
    <row r="2">
      <c r="B2" s="193"/>
      <c r="C2" s="194" t="s">
        <v>12</v>
      </c>
      <c r="D2" s="195" t="s">
        <v>18</v>
      </c>
      <c r="F2" s="3"/>
      <c r="G2" s="105" t="s">
        <v>798</v>
      </c>
      <c r="H2" s="6" t="s">
        <v>799</v>
      </c>
      <c r="I2" s="6" t="s">
        <v>800</v>
      </c>
    </row>
    <row r="3">
      <c r="B3" s="196" t="s">
        <v>24</v>
      </c>
      <c r="C3" s="3">
        <f>COUNTIFS(Attendees!$D:$D,C$2,Attendees!$F:$F,$B3,Attendees!$L:$L,"")</f>
        <v>40</v>
      </c>
      <c r="D3" s="3">
        <f>COUNTIFS(Attendees!$D:$D,D$2,Attendees!$F:$F,$B3,Attendees!$L:$L,"")</f>
        <v>77</v>
      </c>
      <c r="F3" s="15" t="s">
        <v>127</v>
      </c>
      <c r="G3" s="3">
        <f>COUNTIFS(Attendees!$G:$G,$F3,Attendees!$F:$F,$G$1:$H$1,Attendees!$L:$L,"") + COUNTIFS(Attendees!$G:$G,$F3,Attendees!$F:$F,"Performer / Coordinator",Attendees!$L:$L,"")</f>
        <v>8</v>
      </c>
      <c r="H3" s="118">
        <v>7.0</v>
      </c>
      <c r="I3" s="3">
        <f t="shared" ref="I3:I23" si="1">H3-G3</f>
        <v>-1</v>
      </c>
      <c r="J3" t="str">
        <f t="shared" ref="J3:J23" si="2">if(AND(F3&lt;&gt;"",I3&lt;=0),"All Registered","")</f>
        <v>All Registered</v>
      </c>
    </row>
    <row r="4">
      <c r="B4" s="197" t="s">
        <v>27</v>
      </c>
      <c r="C4" s="3">
        <f>COUNTIFS(Attendees!$D:$D,C$2,Attendees!$F:$F,$B4,Attendees!$L:$L,"")</f>
        <v>6</v>
      </c>
      <c r="D4" s="3">
        <f>COUNTIFS(Attendees!$D:$D,D$2,Attendees!$F:$F,$B4,Attendees!$L:$L,"")</f>
        <v>0</v>
      </c>
      <c r="F4" s="179" t="s">
        <v>777</v>
      </c>
      <c r="G4" s="3">
        <f>COUNTIFS(Attendees!$G:$G,$F4,Attendees!$F:$F,$G$1:$H$1,Attendees!$L:$L,"") + COUNTIFS(Attendees!$G:$G,$F4,Attendees!$F:$F,"Performer / Coordinator",Attendees!$L:$L,"")</f>
        <v>8</v>
      </c>
      <c r="H4" s="118">
        <v>8.0</v>
      </c>
      <c r="I4" s="3">
        <f t="shared" si="1"/>
        <v>0</v>
      </c>
      <c r="J4" t="str">
        <f t="shared" si="2"/>
        <v>All Registered</v>
      </c>
    </row>
    <row r="5">
      <c r="B5" s="197" t="s">
        <v>13</v>
      </c>
      <c r="C5" s="3">
        <f>COUNTIFS(Attendees!$D:$D,C$2,Attendees!$F:$F,$B5,Attendees!$L:$L,"")</f>
        <v>139</v>
      </c>
      <c r="D5" s="3">
        <f>COUNTIFS(Attendees!$D:$D,D$2,Attendees!$F:$F,$B5,Attendees!$L:$L,"")</f>
        <v>22</v>
      </c>
      <c r="F5" s="179" t="s">
        <v>779</v>
      </c>
      <c r="G5" s="3">
        <f>COUNTIFS(Attendees!$G:$G,$F5,Attendees!$F:$F,$G$1:$H$1,Attendees!$L:$L,"") + COUNTIFS(Attendees!$G:$G,$F5,Attendees!$F:$F,"Performer / Coordinator",Attendees!$L:$L,"")</f>
        <v>7</v>
      </c>
      <c r="H5" s="118">
        <v>7.0</v>
      </c>
      <c r="I5" s="3">
        <f t="shared" si="1"/>
        <v>0</v>
      </c>
      <c r="J5" t="str">
        <f t="shared" si="2"/>
        <v>All Registered</v>
      </c>
    </row>
    <row r="6">
      <c r="B6" s="197" t="s">
        <v>82</v>
      </c>
      <c r="C6" s="3">
        <f>COUNTIFS(Attendees!$D:$D,C$2,Attendees!$F:$F,$B6,Attendees!$L:$L,"")</f>
        <v>8</v>
      </c>
      <c r="D6" s="3">
        <f>COUNTIFS(Attendees!$D:$D,D$2,Attendees!$F:$F,$B6,Attendees!$L:$L,"")</f>
        <v>0</v>
      </c>
      <c r="F6" s="179" t="s">
        <v>782</v>
      </c>
      <c r="G6" s="3">
        <f>COUNTIFS(Attendees!$G:$G,$F6,Attendees!$F:$F,$G$1:$H$1,Attendees!$L:$L,"") + COUNTIFS(Attendees!$G:$G,$F6,Attendees!$F:$F,"Performer / Coordinator",Attendees!$L:$L,"")</f>
        <v>5</v>
      </c>
      <c r="H6" s="118">
        <v>4.0</v>
      </c>
      <c r="I6" s="3">
        <f t="shared" si="1"/>
        <v>-1</v>
      </c>
      <c r="J6" t="str">
        <f t="shared" si="2"/>
        <v>All Registered</v>
      </c>
    </row>
    <row r="7">
      <c r="B7" s="3"/>
      <c r="C7" s="3"/>
      <c r="D7" s="3"/>
      <c r="F7" s="179" t="s">
        <v>784</v>
      </c>
      <c r="G7" s="3">
        <f>COUNTIFS(Attendees!$G:$G,$F7,Attendees!$F:$F,$G$1:$H$1,Attendees!$L:$L,"") + COUNTIFS(Attendees!$G:$G,$F7,Attendees!$F:$F,"Performer / Coordinator",Attendees!$L:$L,"")</f>
        <v>18</v>
      </c>
      <c r="H7" s="118">
        <v>17.0</v>
      </c>
      <c r="I7" s="3">
        <f t="shared" si="1"/>
        <v>-1</v>
      </c>
      <c r="J7" t="str">
        <f t="shared" si="2"/>
        <v>All Registered</v>
      </c>
    </row>
    <row r="8">
      <c r="B8" s="3"/>
      <c r="C8" s="3"/>
      <c r="D8" s="3"/>
      <c r="F8" s="179" t="s">
        <v>786</v>
      </c>
      <c r="G8" s="3">
        <f>COUNTIFS(Attendees!$G:$G,$F8,Attendees!$F:$F,$G$1:$H$1,Attendees!$L:$L,"") + COUNTIFS(Attendees!$G:$G,$F8,Attendees!$F:$F,"Performer / Coordinator",Attendees!$L:$L,"")</f>
        <v>6</v>
      </c>
      <c r="H8" s="118">
        <v>7.0</v>
      </c>
      <c r="I8" s="3">
        <f t="shared" si="1"/>
        <v>1</v>
      </c>
      <c r="J8" t="str">
        <f t="shared" si="2"/>
        <v/>
      </c>
    </row>
    <row r="9">
      <c r="B9" s="6" t="s">
        <v>804</v>
      </c>
      <c r="C9" s="3">
        <f t="shared" ref="C9:D9" si="3">SUM(C3:C8)</f>
        <v>193</v>
      </c>
      <c r="D9" s="3">
        <f t="shared" si="3"/>
        <v>99</v>
      </c>
      <c r="F9" s="179" t="s">
        <v>788</v>
      </c>
      <c r="G9" s="3">
        <f>COUNTIFS(Attendees!$G:$G,$F9,Attendees!$F:$F,$G$1:$H$1,Attendees!$L:$L,"") + COUNTIFS(Attendees!$G:$G,$F9,Attendees!$F:$F,"Performer / Coordinator",Attendees!$L:$L,"")</f>
        <v>7</v>
      </c>
      <c r="H9" s="118">
        <v>5.0</v>
      </c>
      <c r="I9" s="3">
        <f t="shared" si="1"/>
        <v>-2</v>
      </c>
      <c r="J9" t="str">
        <f t="shared" si="2"/>
        <v>All Registered</v>
      </c>
    </row>
    <row r="10">
      <c r="B10" s="6" t="s">
        <v>474</v>
      </c>
      <c r="C10" s="3">
        <f>SUM(C9,D9)</f>
        <v>292</v>
      </c>
      <c r="D10" s="3"/>
      <c r="F10" s="179" t="s">
        <v>790</v>
      </c>
      <c r="G10" s="3">
        <f>COUNTIFS(Attendees!$G:$G,$F10,Attendees!$F:$F,$G$1:$H$1,Attendees!$L:$L,"") + COUNTIFS(Attendees!$G:$G,$F10,Attendees!$F:$F,"Performer / Coordinator",Attendees!$L:$L,"")</f>
        <v>8</v>
      </c>
      <c r="H10" s="118">
        <v>8.0</v>
      </c>
      <c r="I10" s="3">
        <f t="shared" si="1"/>
        <v>0</v>
      </c>
      <c r="J10" t="str">
        <f t="shared" si="2"/>
        <v>All Registered</v>
      </c>
    </row>
    <row r="11">
      <c r="F11" s="179" t="s">
        <v>792</v>
      </c>
      <c r="G11" s="3">
        <f>COUNTIFS(Attendees!$G:$G,$F11,Attendees!$F:$F,$G$1:$H$1,Attendees!$L:$L,"") + COUNTIFS(Attendees!$G:$G,$F11,Attendees!$F:$F,"Performer / Coordinator",Attendees!$L:$L,"")</f>
        <v>8</v>
      </c>
      <c r="H11" s="118">
        <v>8.0</v>
      </c>
      <c r="I11" s="3">
        <f t="shared" si="1"/>
        <v>0</v>
      </c>
      <c r="J11" t="str">
        <f t="shared" si="2"/>
        <v>All Registered</v>
      </c>
    </row>
    <row r="12">
      <c r="C12" s="1" t="s">
        <v>12</v>
      </c>
      <c r="D12" s="1" t="s">
        <v>18</v>
      </c>
      <c r="F12" s="179" t="s">
        <v>794</v>
      </c>
      <c r="G12" s="3">
        <f>COUNTIFS(Attendees!$G:$G,$F12,Attendees!$F:$F,$G$1:$H$1,Attendees!$L:$L,"") + COUNTIFS(Attendees!$G:$G,$F12,Attendees!$F:$F,"Performer / Coordinator",Attendees!$L:$L,"")</f>
        <v>10</v>
      </c>
      <c r="H12" s="118">
        <v>10.0</v>
      </c>
      <c r="I12" s="3">
        <f t="shared" si="1"/>
        <v>0</v>
      </c>
      <c r="J12" t="str">
        <f t="shared" si="2"/>
        <v>All Registered</v>
      </c>
    </row>
    <row r="13">
      <c r="B13" s="1" t="s">
        <v>474</v>
      </c>
      <c r="C13">
        <f>COUNTIFS(Attendees!$D:$D,C12,Attendees!$L:$L,"")</f>
        <v>193</v>
      </c>
      <c r="D13">
        <f>COUNTIFS(Attendees!$D:$D,D12,Attendees!$L:$L,"")</f>
        <v>99</v>
      </c>
      <c r="E13">
        <f>C13+D13</f>
        <v>292</v>
      </c>
      <c r="F13" s="179" t="s">
        <v>143</v>
      </c>
      <c r="G13" s="3">
        <f>COUNTIFS(Attendees!$G:$G,$F13,Attendees!$F:$F,$G$1:$H$1,Attendees!$L:$L,"") + COUNTIFS(Attendees!$G:$G,$F13,Attendees!$F:$F,"Performer / Coordinator",Attendees!$L:$L,"")</f>
        <v>4</v>
      </c>
      <c r="H13" s="118">
        <v>5.0</v>
      </c>
      <c r="I13" s="3">
        <f t="shared" si="1"/>
        <v>1</v>
      </c>
      <c r="J13" t="str">
        <f t="shared" si="2"/>
        <v/>
      </c>
    </row>
    <row r="14">
      <c r="C14" s="198">
        <f>C13/E13</f>
        <v>0.6609589041</v>
      </c>
      <c r="D14" s="198">
        <f>D13/E13</f>
        <v>0.3390410959</v>
      </c>
      <c r="F14" s="179" t="s">
        <v>39</v>
      </c>
      <c r="G14" s="3">
        <f>COUNTIFS(Attendees!$G:$G,$F14,Attendees!$F:$F,$G$1:$H$1,Attendees!$L:$L,"") + COUNTIFS(Attendees!$G:$G,$F14,Attendees!$F:$F,"Performer / Coordinator",Attendees!$L:$L,"")</f>
        <v>5</v>
      </c>
      <c r="H14" s="118">
        <v>4.0</v>
      </c>
      <c r="I14" s="3">
        <f t="shared" si="1"/>
        <v>-1</v>
      </c>
      <c r="J14" t="str">
        <f t="shared" si="2"/>
        <v>All Registered</v>
      </c>
    </row>
    <row r="15">
      <c r="F15" s="179" t="s">
        <v>156</v>
      </c>
      <c r="G15" s="3">
        <f>COUNTIFS(Attendees!$G:$G,$F15,Attendees!$F:$F,$G$1:$H$1,Attendees!$L:$L,"") + COUNTIFS(Attendees!$G:$G,$F15,Attendees!$F:$F,"Performer / Coordinator",Attendees!$L:$L,"")</f>
        <v>8</v>
      </c>
      <c r="H15" s="118">
        <v>8.0</v>
      </c>
      <c r="I15" s="3">
        <f t="shared" si="1"/>
        <v>0</v>
      </c>
      <c r="J15" t="str">
        <f t="shared" si="2"/>
        <v>All Registered</v>
      </c>
    </row>
    <row r="16">
      <c r="F16" s="179" t="s">
        <v>62</v>
      </c>
      <c r="G16" s="3">
        <f>COUNTIFS(Attendees!$G:$G,$F16,Attendees!$F:$F,$G$1:$H$1,Attendees!$L:$L,"") + COUNTIFS(Attendees!$G:$G,$F16,Attendees!$F:$F,"Performer / Coordinator",Attendees!$L:$L,"")</f>
        <v>5</v>
      </c>
      <c r="H16" s="118">
        <v>5.0</v>
      </c>
      <c r="I16" s="3">
        <f t="shared" si="1"/>
        <v>0</v>
      </c>
      <c r="J16" t="str">
        <f t="shared" si="2"/>
        <v>All Registered</v>
      </c>
    </row>
    <row r="17">
      <c r="F17" s="179" t="s">
        <v>801</v>
      </c>
      <c r="G17" s="3">
        <f>COUNTIFS(Attendees!$G:$G,$F17,Attendees!$F:$F,$G$1:$H$1,Attendees!$L:$L,"") + COUNTIFS(Attendees!$G:$G,$F17,Attendees!$F:$F,"Performer / Coordinator",Attendees!$L:$L,"")</f>
        <v>11</v>
      </c>
      <c r="H17" s="118">
        <v>10.0</v>
      </c>
      <c r="I17" s="3">
        <f t="shared" si="1"/>
        <v>-1</v>
      </c>
      <c r="J17" t="str">
        <f t="shared" si="2"/>
        <v>All Registered</v>
      </c>
    </row>
    <row r="18">
      <c r="F18" s="200" t="s">
        <v>35</v>
      </c>
      <c r="G18" s="203">
        <f>COUNTIFS(Attendees!$G:$G,$F18,Attendees!$F:$F,$G$1:$H$1,Attendees!$L:$L,"") + COUNTIFS(Attendees!$G:$G,$F18,Attendees!$F:$F,"Performer / Coordinator",Attendees!$L:$L,"")</f>
        <v>2</v>
      </c>
      <c r="H18" s="204">
        <v>4.0</v>
      </c>
      <c r="I18" s="203">
        <f t="shared" si="1"/>
        <v>2</v>
      </c>
      <c r="J18" t="str">
        <f t="shared" si="2"/>
        <v/>
      </c>
    </row>
    <row r="19">
      <c r="F19" s="179" t="s">
        <v>452</v>
      </c>
      <c r="G19" s="3">
        <f>COUNTIFS(Attendees!$G:$G,$F19,Attendees!$F:$F,$G$1:$H$1,Attendees!$L:$L,"") + COUNTIFS(Attendees!$G:$G,$F19,Attendees!$F:$F,"Performer / Coordinator",Attendees!$L:$L,"")</f>
        <v>5</v>
      </c>
      <c r="H19" s="118">
        <v>5.0</v>
      </c>
      <c r="I19" s="3">
        <f t="shared" si="1"/>
        <v>0</v>
      </c>
      <c r="J19" t="str">
        <f t="shared" si="2"/>
        <v>All Registered</v>
      </c>
    </row>
    <row r="20">
      <c r="F20" s="179"/>
      <c r="G20" s="3">
        <f>COUNTIFS(Attendees!$G:$G,$F20,Attendees!$F:$F,$G$1:$H$1,Attendees!$L:$L,"") + COUNTIFS(Attendees!$G:$G,$F20,Attendees!$F:$F,"Performer / Coordinator",Attendees!$L:$L,"")</f>
        <v>0</v>
      </c>
      <c r="H20" s="118">
        <v>0.0</v>
      </c>
      <c r="I20" s="3">
        <f t="shared" si="1"/>
        <v>0</v>
      </c>
      <c r="J20" t="str">
        <f t="shared" si="2"/>
        <v/>
      </c>
    </row>
    <row r="21">
      <c r="F21" s="133"/>
      <c r="G21" s="3">
        <f>COUNTIFS(Attendees!$G:$G,$F21,Attendees!$F:$F,$G$1:$H$1,Attendees!$L:$L,"") + COUNTIFS(Attendees!$G:$G,$F21,Attendees!$F:$F,"Performer / Coordinator",Attendees!$L:$L,"")</f>
        <v>0</v>
      </c>
      <c r="H21" s="118">
        <v>0.0</v>
      </c>
      <c r="I21" s="3">
        <f t="shared" si="1"/>
        <v>0</v>
      </c>
      <c r="J21" t="str">
        <f t="shared" si="2"/>
        <v/>
      </c>
    </row>
    <row r="22">
      <c r="F22" s="6"/>
      <c r="G22" s="3">
        <f>COUNTIFS(Attendees!$G:$G,$F22,Attendees!$F:$F,$G$1:$H$1,Attendees!$L:$L,"") + COUNTIFS(Attendees!$G:$G,$F22,Attendees!$F:$F,"Performer / Coordinator",Attendees!$L:$L,"")</f>
        <v>0</v>
      </c>
      <c r="H22" s="118">
        <v>0.0</v>
      </c>
      <c r="I22" s="3">
        <f t="shared" si="1"/>
        <v>0</v>
      </c>
      <c r="J22" t="str">
        <f t="shared" si="2"/>
        <v/>
      </c>
    </row>
    <row r="23">
      <c r="F23" s="133"/>
      <c r="G23" s="3">
        <f>COUNTIFS(Attendees!$G:$G,$F23,Attendees!$F:$F,$G$1:$H$1,Attendees!$L:$L,"") + COUNTIFS(Attendees!$G:$G,$F23,Attendees!$F:$F,"Performer / Coordinator",Attendees!$L:$L,"")</f>
        <v>0</v>
      </c>
      <c r="H23" s="118">
        <v>0.0</v>
      </c>
      <c r="I23" s="3">
        <f t="shared" si="1"/>
        <v>0</v>
      </c>
      <c r="J23" t="str">
        <f t="shared" si="2"/>
        <v/>
      </c>
    </row>
    <row r="25">
      <c r="G25">
        <f>SUM(G3:G23)</f>
        <v>125</v>
      </c>
    </row>
  </sheetData>
  <mergeCells count="1">
    <mergeCell ref="G1:H1"/>
  </mergeCells>
  <conditionalFormatting sqref="F3">
    <cfRule type="expression" dxfId="9" priority="1">
      <formula>$F3="Performer"</formula>
    </cfRule>
  </conditionalFormatting>
  <conditionalFormatting sqref="F3">
    <cfRule type="expression" dxfId="10" priority="2">
      <formula>$F3="Relative"</formula>
    </cfRule>
  </conditionalFormatting>
  <conditionalFormatting sqref="F3">
    <cfRule type="expression" dxfId="11" priority="3">
      <formula>$F3="Coordinator"</formula>
    </cfRule>
  </conditionalFormatting>
  <conditionalFormatting sqref="F3">
    <cfRule type="expression" dxfId="12" priority="4">
      <formula>$F3="Performer / Coordinator"</formula>
    </cfRule>
  </conditionalFormatting>
  <conditionalFormatting sqref="F3:I23">
    <cfRule type="expression" dxfId="13" priority="5">
      <formula>AND($I3=0,$F3&lt;&gt;"")</formula>
    </cfRule>
  </conditionalFormatting>
  <dataValidations>
    <dataValidation type="list" allowBlank="1" sqref="F3">
      <formula1>Settings!$B$4:$B$30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1.43"/>
    <col customWidth="1" min="3" max="3" width="11.0"/>
    <col customWidth="1" min="4" max="4" width="11.71"/>
  </cols>
  <sheetData>
    <row r="1">
      <c r="C1">
        <f t="shared" ref="C1:D1" si="1">sum(C3:C132)</f>
        <v>0</v>
      </c>
      <c r="D1">
        <f t="shared" si="1"/>
        <v>0</v>
      </c>
    </row>
    <row r="2">
      <c r="A2" s="1" t="s">
        <v>809</v>
      </c>
      <c r="B2" s="1" t="s">
        <v>810</v>
      </c>
      <c r="C2" s="1" t="s">
        <v>12</v>
      </c>
      <c r="D2" s="1" t="s">
        <v>18</v>
      </c>
      <c r="E2" s="1" t="s">
        <v>474</v>
      </c>
    </row>
    <row r="3">
      <c r="A3" s="1">
        <v>1.0</v>
      </c>
      <c r="B3" s="84"/>
      <c r="C3">
        <f>countifs(Attendees!$D:$D,C$2,Attendees!$C:$C, $B3) </f>
        <v>0</v>
      </c>
      <c r="D3">
        <f>countifs(Attendees!$D:$D,D$2,Attendees!$C:$C, $B3) </f>
        <v>0</v>
      </c>
      <c r="E3">
        <f t="shared" ref="E3:E552" si="2">C3+D3</f>
        <v>0</v>
      </c>
    </row>
    <row r="4">
      <c r="A4" t="str">
        <f t="shared" ref="A4:A552" si="3">if(B3&lt;&gt;"",ROW()-2,"")</f>
        <v/>
      </c>
      <c r="B4" s="209"/>
      <c r="C4">
        <f>countifs(Attendees!$D:$D,C$2,Attendees!$C:$C, $B4) </f>
        <v>0</v>
      </c>
      <c r="D4">
        <f>countifs(Attendees!$D:$D,D$2,Attendees!$C:$C, $B4) </f>
        <v>0</v>
      </c>
      <c r="E4">
        <f t="shared" si="2"/>
        <v>0</v>
      </c>
    </row>
    <row r="5">
      <c r="A5" t="str">
        <f t="shared" si="3"/>
        <v/>
      </c>
      <c r="B5" s="209"/>
      <c r="C5">
        <f>countifs(Attendees!$D:$D,C$2,Attendees!$C:$C, $B5) </f>
        <v>0</v>
      </c>
      <c r="D5">
        <f>countifs(Attendees!$D:$D,D$2,Attendees!$C:$C, $B5) </f>
        <v>0</v>
      </c>
      <c r="E5">
        <f t="shared" si="2"/>
        <v>0</v>
      </c>
    </row>
    <row r="6">
      <c r="A6" t="str">
        <f t="shared" si="3"/>
        <v/>
      </c>
      <c r="B6" s="209"/>
      <c r="C6">
        <f>countifs(Attendees!$D:$D,C$2,Attendees!$C:$C, $B6) </f>
        <v>0</v>
      </c>
      <c r="D6">
        <f>countifs(Attendees!$D:$D,D$2,Attendees!$C:$C, $B6) </f>
        <v>0</v>
      </c>
      <c r="E6">
        <f t="shared" si="2"/>
        <v>0</v>
      </c>
    </row>
    <row r="7">
      <c r="A7" t="str">
        <f t="shared" si="3"/>
        <v/>
      </c>
      <c r="B7" s="209"/>
      <c r="C7">
        <f>countifs(Attendees!$D:$D,C$2,Attendees!$C:$C, $B7) </f>
        <v>0</v>
      </c>
      <c r="D7">
        <f>countifs(Attendees!$D:$D,D$2,Attendees!$C:$C, $B7) </f>
        <v>0</v>
      </c>
      <c r="E7">
        <f t="shared" si="2"/>
        <v>0</v>
      </c>
    </row>
    <row r="8">
      <c r="A8" t="str">
        <f t="shared" si="3"/>
        <v/>
      </c>
      <c r="B8" s="209"/>
      <c r="C8">
        <f>countifs(Attendees!$D:$D,C$2,Attendees!$C:$C, $B8) </f>
        <v>0</v>
      </c>
      <c r="D8">
        <f>countifs(Attendees!$D:$D,D$2,Attendees!$C:$C, $B8) </f>
        <v>0</v>
      </c>
      <c r="E8">
        <f t="shared" si="2"/>
        <v>0</v>
      </c>
    </row>
    <row r="9">
      <c r="A9" t="str">
        <f t="shared" si="3"/>
        <v/>
      </c>
      <c r="B9" s="209"/>
      <c r="C9">
        <f>countifs(Attendees!$D:$D,C$2,Attendees!$C:$C, $B9) </f>
        <v>0</v>
      </c>
      <c r="D9">
        <f>countifs(Attendees!$D:$D,D$2,Attendees!$C:$C, $B9) </f>
        <v>0</v>
      </c>
      <c r="E9">
        <f t="shared" si="2"/>
        <v>0</v>
      </c>
    </row>
    <row r="10">
      <c r="A10" t="str">
        <f t="shared" si="3"/>
        <v/>
      </c>
      <c r="B10" s="209"/>
      <c r="C10">
        <f>countifs(Attendees!$D:$D,C$2,Attendees!$C:$C, $B10) </f>
        <v>0</v>
      </c>
      <c r="D10">
        <f>countifs(Attendees!$D:$D,D$2,Attendees!$C:$C, $B10) </f>
        <v>0</v>
      </c>
      <c r="E10">
        <f t="shared" si="2"/>
        <v>0</v>
      </c>
    </row>
    <row r="11">
      <c r="A11" t="str">
        <f t="shared" si="3"/>
        <v/>
      </c>
      <c r="B11" s="209"/>
      <c r="C11">
        <f>countifs(Attendees!$D:$D,C$2,Attendees!$C:$C, $B11) </f>
        <v>0</v>
      </c>
      <c r="D11">
        <f>countifs(Attendees!$D:$D,D$2,Attendees!$C:$C, $B11) </f>
        <v>0</v>
      </c>
      <c r="E11">
        <f t="shared" si="2"/>
        <v>0</v>
      </c>
    </row>
    <row r="12">
      <c r="A12" t="str">
        <f t="shared" si="3"/>
        <v/>
      </c>
      <c r="B12" s="209"/>
      <c r="C12">
        <f>countifs(Attendees!$D:$D,C$2,Attendees!$C:$C, $B12) </f>
        <v>0</v>
      </c>
      <c r="D12">
        <f>countifs(Attendees!$D:$D,D$2,Attendees!$C:$C, $B12) </f>
        <v>0</v>
      </c>
      <c r="E12">
        <f t="shared" si="2"/>
        <v>0</v>
      </c>
    </row>
    <row r="13">
      <c r="A13" t="str">
        <f t="shared" si="3"/>
        <v/>
      </c>
      <c r="B13" s="209"/>
      <c r="C13">
        <f>countifs(Attendees!$D:$D,C$2,Attendees!$C:$C, $B13) </f>
        <v>0</v>
      </c>
      <c r="D13">
        <f>countifs(Attendees!$D:$D,D$2,Attendees!$C:$C, $B13) </f>
        <v>0</v>
      </c>
      <c r="E13">
        <f t="shared" si="2"/>
        <v>0</v>
      </c>
    </row>
    <row r="14">
      <c r="A14" t="str">
        <f t="shared" si="3"/>
        <v/>
      </c>
      <c r="B14" s="209"/>
      <c r="C14">
        <f>countifs(Attendees!$D:$D,C$2,Attendees!$C:$C, $B14) </f>
        <v>0</v>
      </c>
      <c r="D14">
        <f>countifs(Attendees!$D:$D,D$2,Attendees!$C:$C, $B14) </f>
        <v>0</v>
      </c>
      <c r="E14">
        <f t="shared" si="2"/>
        <v>0</v>
      </c>
    </row>
    <row r="15">
      <c r="A15" t="str">
        <f t="shared" si="3"/>
        <v/>
      </c>
      <c r="B15" s="209"/>
      <c r="C15">
        <f>countifs(Attendees!$D:$D,C$2,Attendees!$C:$C, $B15) </f>
        <v>0</v>
      </c>
      <c r="D15">
        <f>countifs(Attendees!$D:$D,D$2,Attendees!$C:$C, $B15) </f>
        <v>0</v>
      </c>
      <c r="E15">
        <f t="shared" si="2"/>
        <v>0</v>
      </c>
    </row>
    <row r="16">
      <c r="A16" t="str">
        <f t="shared" si="3"/>
        <v/>
      </c>
      <c r="B16" s="209"/>
      <c r="C16">
        <f>countifs(Attendees!$D:$D,C$2,Attendees!$C:$C, $B16) </f>
        <v>0</v>
      </c>
      <c r="D16">
        <f>countifs(Attendees!$D:$D,D$2,Attendees!$C:$C, $B16) </f>
        <v>0</v>
      </c>
      <c r="E16">
        <f t="shared" si="2"/>
        <v>0</v>
      </c>
    </row>
    <row r="17">
      <c r="A17" t="str">
        <f t="shared" si="3"/>
        <v/>
      </c>
      <c r="B17" s="209"/>
      <c r="C17">
        <f>countifs(Attendees!$D:$D,C$2,Attendees!$C:$C, $B17) </f>
        <v>0</v>
      </c>
      <c r="D17">
        <f>countifs(Attendees!$D:$D,D$2,Attendees!$C:$C, $B17) </f>
        <v>0</v>
      </c>
      <c r="E17">
        <f t="shared" si="2"/>
        <v>0</v>
      </c>
    </row>
    <row r="18">
      <c r="A18" t="str">
        <f t="shared" si="3"/>
        <v/>
      </c>
      <c r="B18" s="209"/>
      <c r="C18">
        <f>countifs(Attendees!$D:$D,C$2,Attendees!$C:$C, $B18) </f>
        <v>0</v>
      </c>
      <c r="D18">
        <f>countifs(Attendees!$D:$D,D$2,Attendees!$C:$C, $B18) </f>
        <v>0</v>
      </c>
      <c r="E18">
        <f t="shared" si="2"/>
        <v>0</v>
      </c>
    </row>
    <row r="19">
      <c r="A19" t="str">
        <f t="shared" si="3"/>
        <v/>
      </c>
      <c r="B19" s="209"/>
      <c r="C19">
        <f>countifs(Attendees!$D:$D,C$2,Attendees!$C:$C, $B19) </f>
        <v>0</v>
      </c>
      <c r="D19">
        <f>countifs(Attendees!$D:$D,D$2,Attendees!$C:$C, $B19) </f>
        <v>0</v>
      </c>
      <c r="E19">
        <f t="shared" si="2"/>
        <v>0</v>
      </c>
    </row>
    <row r="20">
      <c r="A20" t="str">
        <f t="shared" si="3"/>
        <v/>
      </c>
      <c r="B20" s="209"/>
      <c r="C20">
        <f>countifs(Attendees!$D:$D,C$2,Attendees!$C:$C, $B20) </f>
        <v>0</v>
      </c>
      <c r="D20">
        <f>countifs(Attendees!$D:$D,D$2,Attendees!$C:$C, $B20) </f>
        <v>0</v>
      </c>
      <c r="E20">
        <f t="shared" si="2"/>
        <v>0</v>
      </c>
    </row>
    <row r="21">
      <c r="A21" t="str">
        <f t="shared" si="3"/>
        <v/>
      </c>
      <c r="B21" s="209"/>
      <c r="C21">
        <f>countifs(Attendees!$D:$D,C$2,Attendees!$C:$C, $B21) </f>
        <v>0</v>
      </c>
      <c r="D21">
        <f>countifs(Attendees!$D:$D,D$2,Attendees!$C:$C, $B21) </f>
        <v>0</v>
      </c>
      <c r="E21">
        <f t="shared" si="2"/>
        <v>0</v>
      </c>
    </row>
    <row r="22">
      <c r="A22" t="str">
        <f t="shared" si="3"/>
        <v/>
      </c>
      <c r="B22" s="209"/>
      <c r="C22">
        <f>countifs(Attendees!$D:$D,C$2,Attendees!$C:$C, $B22) </f>
        <v>0</v>
      </c>
      <c r="D22">
        <f>countifs(Attendees!$D:$D,D$2,Attendees!$C:$C, $B22) </f>
        <v>0</v>
      </c>
      <c r="E22">
        <f t="shared" si="2"/>
        <v>0</v>
      </c>
    </row>
    <row r="23">
      <c r="A23" t="str">
        <f t="shared" si="3"/>
        <v/>
      </c>
      <c r="B23" s="209"/>
      <c r="C23">
        <f>countifs(Attendees!$D:$D,C$2,Attendees!$C:$C, $B23) </f>
        <v>0</v>
      </c>
      <c r="D23">
        <f>countifs(Attendees!$D:$D,D$2,Attendees!$C:$C, $B23) </f>
        <v>0</v>
      </c>
      <c r="E23">
        <f t="shared" si="2"/>
        <v>0</v>
      </c>
    </row>
    <row r="24">
      <c r="A24" t="str">
        <f t="shared" si="3"/>
        <v/>
      </c>
      <c r="B24" s="209"/>
      <c r="C24">
        <f>countifs(Attendees!$D:$D,C$2,Attendees!$C:$C, $B24) </f>
        <v>0</v>
      </c>
      <c r="D24">
        <f>countifs(Attendees!$D:$D,D$2,Attendees!$C:$C, $B24) </f>
        <v>0</v>
      </c>
      <c r="E24">
        <f t="shared" si="2"/>
        <v>0</v>
      </c>
    </row>
    <row r="25">
      <c r="A25" t="str">
        <f t="shared" si="3"/>
        <v/>
      </c>
      <c r="B25" s="209"/>
      <c r="C25">
        <f>countifs(Attendees!$D:$D,C$2,Attendees!$C:$C, $B25) </f>
        <v>0</v>
      </c>
      <c r="D25">
        <f>countifs(Attendees!$D:$D,D$2,Attendees!$C:$C, $B25) </f>
        <v>0</v>
      </c>
      <c r="E25">
        <f t="shared" si="2"/>
        <v>0</v>
      </c>
    </row>
    <row r="26">
      <c r="A26" t="str">
        <f t="shared" si="3"/>
        <v/>
      </c>
      <c r="B26" s="209"/>
      <c r="C26">
        <f>countifs(Attendees!$D:$D,C$2,Attendees!$C:$C, $B26) </f>
        <v>0</v>
      </c>
      <c r="D26">
        <f>countifs(Attendees!$D:$D,D$2,Attendees!$C:$C, $B26) </f>
        <v>0</v>
      </c>
      <c r="E26">
        <f t="shared" si="2"/>
        <v>0</v>
      </c>
    </row>
    <row r="27">
      <c r="A27" t="str">
        <f t="shared" si="3"/>
        <v/>
      </c>
      <c r="B27" s="209"/>
      <c r="C27">
        <f>countifs(Attendees!$D:$D,C$2,Attendees!$C:$C, $B27) </f>
        <v>0</v>
      </c>
      <c r="D27">
        <f>countifs(Attendees!$D:$D,D$2,Attendees!$C:$C, $B27) </f>
        <v>0</v>
      </c>
      <c r="E27">
        <f t="shared" si="2"/>
        <v>0</v>
      </c>
    </row>
    <row r="28">
      <c r="A28" t="str">
        <f t="shared" si="3"/>
        <v/>
      </c>
      <c r="B28" s="209"/>
      <c r="C28">
        <f>countifs(Attendees!$D:$D,C$2,Attendees!$C:$C, $B28) </f>
        <v>0</v>
      </c>
      <c r="D28">
        <f>countifs(Attendees!$D:$D,D$2,Attendees!$C:$C, $B28) </f>
        <v>0</v>
      </c>
      <c r="E28">
        <f t="shared" si="2"/>
        <v>0</v>
      </c>
    </row>
    <row r="29">
      <c r="A29" t="str">
        <f t="shared" si="3"/>
        <v/>
      </c>
      <c r="B29" s="209"/>
      <c r="C29">
        <f>countifs(Attendees!$D:$D,C$2,Attendees!$C:$C, $B29) </f>
        <v>0</v>
      </c>
      <c r="D29">
        <f>countifs(Attendees!$D:$D,D$2,Attendees!$C:$C, $B29) </f>
        <v>0</v>
      </c>
      <c r="E29">
        <f t="shared" si="2"/>
        <v>0</v>
      </c>
    </row>
    <row r="30">
      <c r="A30" t="str">
        <f t="shared" si="3"/>
        <v/>
      </c>
      <c r="B30" s="209"/>
      <c r="C30">
        <f>countifs(Attendees!$D:$D,C$2,Attendees!$C:$C, $B30) </f>
        <v>0</v>
      </c>
      <c r="D30">
        <f>countifs(Attendees!$D:$D,D$2,Attendees!$C:$C, $B30) </f>
        <v>0</v>
      </c>
      <c r="E30">
        <f t="shared" si="2"/>
        <v>0</v>
      </c>
    </row>
    <row r="31">
      <c r="A31" t="str">
        <f t="shared" si="3"/>
        <v/>
      </c>
      <c r="B31" s="209"/>
      <c r="C31">
        <f>countifs(Attendees!$D:$D,C$2,Attendees!$C:$C, $B31) </f>
        <v>0</v>
      </c>
      <c r="D31">
        <f>countifs(Attendees!$D:$D,D$2,Attendees!$C:$C, $B31) </f>
        <v>0</v>
      </c>
      <c r="E31">
        <f t="shared" si="2"/>
        <v>0</v>
      </c>
    </row>
    <row r="32">
      <c r="A32" t="str">
        <f t="shared" si="3"/>
        <v/>
      </c>
      <c r="B32" s="209"/>
      <c r="C32">
        <f>countifs(Attendees!$D:$D,C$2,Attendees!$C:$C, $B32) </f>
        <v>0</v>
      </c>
      <c r="D32">
        <f>countifs(Attendees!$D:$D,D$2,Attendees!$C:$C, $B32) </f>
        <v>0</v>
      </c>
      <c r="E32">
        <f t="shared" si="2"/>
        <v>0</v>
      </c>
    </row>
    <row r="33">
      <c r="A33" t="str">
        <f t="shared" si="3"/>
        <v/>
      </c>
      <c r="B33" s="209"/>
      <c r="C33">
        <f>countifs(Attendees!$D:$D,C$2,Attendees!$C:$C, $B33) </f>
        <v>0</v>
      </c>
      <c r="D33">
        <f>countifs(Attendees!$D:$D,D$2,Attendees!$C:$C, $B33) </f>
        <v>0</v>
      </c>
      <c r="E33">
        <f t="shared" si="2"/>
        <v>0</v>
      </c>
    </row>
    <row r="34">
      <c r="A34" t="str">
        <f t="shared" si="3"/>
        <v/>
      </c>
      <c r="B34" s="209"/>
      <c r="C34">
        <f>countifs(Attendees!$D:$D,C$2,Attendees!$C:$C, $B34) </f>
        <v>0</v>
      </c>
      <c r="D34">
        <f>countifs(Attendees!$D:$D,D$2,Attendees!$C:$C, $B34) </f>
        <v>0</v>
      </c>
      <c r="E34">
        <f t="shared" si="2"/>
        <v>0</v>
      </c>
    </row>
    <row r="35">
      <c r="A35" t="str">
        <f t="shared" si="3"/>
        <v/>
      </c>
      <c r="B35" s="209"/>
      <c r="C35">
        <f>countifs(Attendees!$D:$D,C$2,Attendees!$C:$C, $B35) </f>
        <v>0</v>
      </c>
      <c r="D35">
        <f>countifs(Attendees!$D:$D,D$2,Attendees!$C:$C, $B35) </f>
        <v>0</v>
      </c>
      <c r="E35">
        <f t="shared" si="2"/>
        <v>0</v>
      </c>
    </row>
    <row r="36">
      <c r="A36" t="str">
        <f t="shared" si="3"/>
        <v/>
      </c>
      <c r="B36" s="209"/>
      <c r="C36">
        <f>countifs(Attendees!$D:$D,C$2,Attendees!$C:$C, $B36) </f>
        <v>0</v>
      </c>
      <c r="D36">
        <f>countifs(Attendees!$D:$D,D$2,Attendees!$C:$C, $B36) </f>
        <v>0</v>
      </c>
      <c r="E36">
        <f t="shared" si="2"/>
        <v>0</v>
      </c>
    </row>
    <row r="37">
      <c r="A37" t="str">
        <f t="shared" si="3"/>
        <v/>
      </c>
      <c r="B37" s="209"/>
      <c r="C37">
        <f>countifs(Attendees!$D:$D,C$2,Attendees!$C:$C, $B37) </f>
        <v>0</v>
      </c>
      <c r="D37">
        <f>countifs(Attendees!$D:$D,D$2,Attendees!$C:$C, $B37) </f>
        <v>0</v>
      </c>
      <c r="E37">
        <f t="shared" si="2"/>
        <v>0</v>
      </c>
    </row>
    <row r="38">
      <c r="A38" t="str">
        <f t="shared" si="3"/>
        <v/>
      </c>
      <c r="B38" s="209"/>
      <c r="C38">
        <f>countifs(Attendees!$D:$D,C$2,Attendees!$C:$C, $B38) </f>
        <v>0</v>
      </c>
      <c r="D38">
        <f>countifs(Attendees!$D:$D,D$2,Attendees!$C:$C, $B38) </f>
        <v>0</v>
      </c>
      <c r="E38">
        <f t="shared" si="2"/>
        <v>0</v>
      </c>
    </row>
    <row r="39">
      <c r="A39" t="str">
        <f t="shared" si="3"/>
        <v/>
      </c>
      <c r="B39" s="209"/>
      <c r="C39">
        <f>countifs(Attendees!$D:$D,C$2,Attendees!$C:$C, $B39) </f>
        <v>0</v>
      </c>
      <c r="D39">
        <f>countifs(Attendees!$D:$D,D$2,Attendees!$C:$C, $B39) </f>
        <v>0</v>
      </c>
      <c r="E39">
        <f t="shared" si="2"/>
        <v>0</v>
      </c>
    </row>
    <row r="40">
      <c r="A40" t="str">
        <f t="shared" si="3"/>
        <v/>
      </c>
      <c r="B40" s="209"/>
      <c r="C40">
        <f>countifs(Attendees!$D:$D,C$2,Attendees!$C:$C, $B40) </f>
        <v>0</v>
      </c>
      <c r="D40">
        <f>countifs(Attendees!$D:$D,D$2,Attendees!$C:$C, $B40) </f>
        <v>0</v>
      </c>
      <c r="E40">
        <f t="shared" si="2"/>
        <v>0</v>
      </c>
    </row>
    <row r="41">
      <c r="A41" t="str">
        <f t="shared" si="3"/>
        <v/>
      </c>
      <c r="B41" s="209"/>
      <c r="C41">
        <f>countifs(Attendees!$D:$D,C$2,Attendees!$C:$C, $B41) </f>
        <v>0</v>
      </c>
      <c r="D41">
        <f>countifs(Attendees!$D:$D,D$2,Attendees!$C:$C, $B41) </f>
        <v>0</v>
      </c>
      <c r="E41">
        <f t="shared" si="2"/>
        <v>0</v>
      </c>
    </row>
    <row r="42">
      <c r="A42" t="str">
        <f t="shared" si="3"/>
        <v/>
      </c>
      <c r="B42" s="209"/>
      <c r="C42">
        <f>countifs(Attendees!$D:$D,C$2,Attendees!$C:$C, $B42) </f>
        <v>0</v>
      </c>
      <c r="D42">
        <f>countifs(Attendees!$D:$D,D$2,Attendees!$C:$C, $B42) </f>
        <v>0</v>
      </c>
      <c r="E42">
        <f t="shared" si="2"/>
        <v>0</v>
      </c>
    </row>
    <row r="43">
      <c r="A43" t="str">
        <f t="shared" si="3"/>
        <v/>
      </c>
      <c r="B43" s="209"/>
      <c r="C43">
        <f>countifs(Attendees!$D:$D,C$2,Attendees!$C:$C, $B43) </f>
        <v>0</v>
      </c>
      <c r="D43">
        <f>countifs(Attendees!$D:$D,D$2,Attendees!$C:$C, $B43) </f>
        <v>0</v>
      </c>
      <c r="E43">
        <f t="shared" si="2"/>
        <v>0</v>
      </c>
    </row>
    <row r="44">
      <c r="A44" t="str">
        <f t="shared" si="3"/>
        <v/>
      </c>
      <c r="B44" s="209"/>
      <c r="C44">
        <f>countifs(Attendees!$D:$D,C$2,Attendees!$C:$C, $B44) </f>
        <v>0</v>
      </c>
      <c r="D44">
        <f>countifs(Attendees!$D:$D,D$2,Attendees!$C:$C, $B44) </f>
        <v>0</v>
      </c>
      <c r="E44">
        <f t="shared" si="2"/>
        <v>0</v>
      </c>
    </row>
    <row r="45">
      <c r="A45" t="str">
        <f t="shared" si="3"/>
        <v/>
      </c>
      <c r="B45" s="209"/>
      <c r="C45">
        <f>countifs(Attendees!$D:$D,C$2,Attendees!$C:$C, $B45) </f>
        <v>0</v>
      </c>
      <c r="D45">
        <f>countifs(Attendees!$D:$D,D$2,Attendees!$C:$C, $B45) </f>
        <v>0</v>
      </c>
      <c r="E45">
        <f t="shared" si="2"/>
        <v>0</v>
      </c>
    </row>
    <row r="46">
      <c r="A46" t="str">
        <f t="shared" si="3"/>
        <v/>
      </c>
      <c r="B46" s="209"/>
      <c r="C46">
        <f>countifs(Attendees!$D:$D,C$2,Attendees!$C:$C, $B46) </f>
        <v>0</v>
      </c>
      <c r="D46">
        <f>countifs(Attendees!$D:$D,D$2,Attendees!$C:$C, $B46) </f>
        <v>0</v>
      </c>
      <c r="E46">
        <f t="shared" si="2"/>
        <v>0</v>
      </c>
    </row>
    <row r="47">
      <c r="A47" t="str">
        <f t="shared" si="3"/>
        <v/>
      </c>
      <c r="B47" s="209"/>
      <c r="C47">
        <f>countifs(Attendees!$D:$D,C$2,Attendees!$C:$C, $B47) </f>
        <v>0</v>
      </c>
      <c r="D47">
        <f>countifs(Attendees!$D:$D,D$2,Attendees!$C:$C, $B47) </f>
        <v>0</v>
      </c>
      <c r="E47">
        <f t="shared" si="2"/>
        <v>0</v>
      </c>
    </row>
    <row r="48">
      <c r="A48" t="str">
        <f t="shared" si="3"/>
        <v/>
      </c>
      <c r="B48" s="209"/>
      <c r="C48">
        <f>countifs(Attendees!$D:$D,C$2,Attendees!$C:$C, $B48) </f>
        <v>0</v>
      </c>
      <c r="D48">
        <f>countifs(Attendees!$D:$D,D$2,Attendees!$C:$C, $B48) </f>
        <v>0</v>
      </c>
      <c r="E48">
        <f t="shared" si="2"/>
        <v>0</v>
      </c>
    </row>
    <row r="49">
      <c r="A49" t="str">
        <f t="shared" si="3"/>
        <v/>
      </c>
      <c r="B49" s="209"/>
      <c r="C49">
        <f>countifs(Attendees!$D:$D,C$2,Attendees!$C:$C, $B49) </f>
        <v>0</v>
      </c>
      <c r="D49">
        <f>countifs(Attendees!$D:$D,D$2,Attendees!$C:$C, $B49) </f>
        <v>0</v>
      </c>
      <c r="E49">
        <f t="shared" si="2"/>
        <v>0</v>
      </c>
    </row>
    <row r="50">
      <c r="A50" t="str">
        <f t="shared" si="3"/>
        <v/>
      </c>
      <c r="B50" s="209"/>
      <c r="C50">
        <f>countifs(Attendees!$D:$D,C$2,Attendees!$C:$C, $B50) </f>
        <v>0</v>
      </c>
      <c r="D50">
        <f>countifs(Attendees!$D:$D,D$2,Attendees!$C:$C, $B50) </f>
        <v>0</v>
      </c>
      <c r="E50">
        <f t="shared" si="2"/>
        <v>0</v>
      </c>
    </row>
    <row r="51">
      <c r="A51" t="str">
        <f t="shared" si="3"/>
        <v/>
      </c>
      <c r="B51" s="209"/>
      <c r="C51">
        <f>countifs(Attendees!$D:$D,C$2,Attendees!$C:$C, $B51) </f>
        <v>0</v>
      </c>
      <c r="D51">
        <f>countifs(Attendees!$D:$D,D$2,Attendees!$C:$C, $B51) </f>
        <v>0</v>
      </c>
      <c r="E51">
        <f t="shared" si="2"/>
        <v>0</v>
      </c>
    </row>
    <row r="52">
      <c r="A52" t="str">
        <f t="shared" si="3"/>
        <v/>
      </c>
      <c r="B52" s="209"/>
      <c r="C52">
        <f>countifs(Attendees!$D:$D,C$2,Attendees!$C:$C, $B52) </f>
        <v>0</v>
      </c>
      <c r="D52">
        <f>countifs(Attendees!$D:$D,D$2,Attendees!$C:$C, $B52) </f>
        <v>0</v>
      </c>
      <c r="E52">
        <f t="shared" si="2"/>
        <v>0</v>
      </c>
    </row>
    <row r="53">
      <c r="A53" t="str">
        <f t="shared" si="3"/>
        <v/>
      </c>
      <c r="B53" s="209"/>
      <c r="C53">
        <f>countifs(Attendees!$D:$D,C$2,Attendees!$C:$C, $B53) </f>
        <v>0</v>
      </c>
      <c r="D53">
        <f>countifs(Attendees!$D:$D,D$2,Attendees!$C:$C, $B53) </f>
        <v>0</v>
      </c>
      <c r="E53">
        <f t="shared" si="2"/>
        <v>0</v>
      </c>
    </row>
    <row r="54">
      <c r="A54" t="str">
        <f t="shared" si="3"/>
        <v/>
      </c>
      <c r="B54" s="209"/>
      <c r="C54">
        <f>countifs(Attendees!$D:$D,C$2,Attendees!$C:$C, $B54) </f>
        <v>0</v>
      </c>
      <c r="D54">
        <f>countifs(Attendees!$D:$D,D$2,Attendees!$C:$C, $B54) </f>
        <v>0</v>
      </c>
      <c r="E54">
        <f t="shared" si="2"/>
        <v>0</v>
      </c>
    </row>
    <row r="55">
      <c r="A55" t="str">
        <f t="shared" si="3"/>
        <v/>
      </c>
      <c r="B55" s="209"/>
      <c r="C55">
        <f>countifs(Attendees!$D:$D,C$2,Attendees!$C:$C, $B55) </f>
        <v>0</v>
      </c>
      <c r="D55">
        <f>countifs(Attendees!$D:$D,D$2,Attendees!$C:$C, $B55) </f>
        <v>0</v>
      </c>
      <c r="E55">
        <f t="shared" si="2"/>
        <v>0</v>
      </c>
    </row>
    <row r="56">
      <c r="A56" t="str">
        <f t="shared" si="3"/>
        <v/>
      </c>
      <c r="B56" s="209"/>
      <c r="C56">
        <f>countifs(Attendees!$D:$D,C$2,Attendees!$C:$C, $B56) </f>
        <v>0</v>
      </c>
      <c r="D56">
        <f>countifs(Attendees!$D:$D,D$2,Attendees!$C:$C, $B56) </f>
        <v>0</v>
      </c>
      <c r="E56">
        <f t="shared" si="2"/>
        <v>0</v>
      </c>
    </row>
    <row r="57">
      <c r="A57" t="str">
        <f t="shared" si="3"/>
        <v/>
      </c>
      <c r="B57" s="209"/>
      <c r="C57">
        <f>countifs(Attendees!$D:$D,C$2,Attendees!$C:$C, $B57) </f>
        <v>0</v>
      </c>
      <c r="D57">
        <f>countifs(Attendees!$D:$D,D$2,Attendees!$C:$C, $B57) </f>
        <v>0</v>
      </c>
      <c r="E57">
        <f t="shared" si="2"/>
        <v>0</v>
      </c>
    </row>
    <row r="58">
      <c r="A58" t="str">
        <f t="shared" si="3"/>
        <v/>
      </c>
      <c r="B58" s="209"/>
      <c r="C58">
        <f>countifs(Attendees!$D:$D,C$2,Attendees!$C:$C, $B58) </f>
        <v>0</v>
      </c>
      <c r="D58">
        <f>countifs(Attendees!$D:$D,D$2,Attendees!$C:$C, $B58) </f>
        <v>0</v>
      </c>
      <c r="E58">
        <f t="shared" si="2"/>
        <v>0</v>
      </c>
    </row>
    <row r="59">
      <c r="A59" t="str">
        <f t="shared" si="3"/>
        <v/>
      </c>
      <c r="B59" s="209"/>
      <c r="C59">
        <f>countifs(Attendees!$D:$D,C$2,Attendees!$C:$C, $B59) </f>
        <v>0</v>
      </c>
      <c r="D59">
        <f>countifs(Attendees!$D:$D,D$2,Attendees!$C:$C, $B59) </f>
        <v>0</v>
      </c>
      <c r="E59">
        <f t="shared" si="2"/>
        <v>0</v>
      </c>
    </row>
    <row r="60">
      <c r="A60" t="str">
        <f t="shared" si="3"/>
        <v/>
      </c>
      <c r="B60" s="209"/>
      <c r="C60">
        <f>countifs(Attendees!$D:$D,C$2,Attendees!$C:$C, $B60) </f>
        <v>0</v>
      </c>
      <c r="D60">
        <f>countifs(Attendees!$D:$D,D$2,Attendees!$C:$C, $B60) </f>
        <v>0</v>
      </c>
      <c r="E60">
        <f t="shared" si="2"/>
        <v>0</v>
      </c>
    </row>
    <row r="61">
      <c r="A61" t="str">
        <f t="shared" si="3"/>
        <v/>
      </c>
      <c r="B61" s="209"/>
      <c r="C61">
        <f>countifs(Attendees!$D:$D,C$2,Attendees!$C:$C, $B61) </f>
        <v>0</v>
      </c>
      <c r="D61">
        <f>countifs(Attendees!$D:$D,D$2,Attendees!$C:$C, $B61) </f>
        <v>0</v>
      </c>
      <c r="E61">
        <f t="shared" si="2"/>
        <v>0</v>
      </c>
    </row>
    <row r="62">
      <c r="A62" t="str">
        <f t="shared" si="3"/>
        <v/>
      </c>
      <c r="B62" s="209"/>
      <c r="C62">
        <f>countifs(Attendees!$D:$D,C$2,Attendees!$C:$C, $B62) </f>
        <v>0</v>
      </c>
      <c r="D62">
        <f>countifs(Attendees!$D:$D,D$2,Attendees!$C:$C, $B62) </f>
        <v>0</v>
      </c>
      <c r="E62">
        <f t="shared" si="2"/>
        <v>0</v>
      </c>
    </row>
    <row r="63">
      <c r="A63" t="str">
        <f t="shared" si="3"/>
        <v/>
      </c>
      <c r="B63" s="209"/>
      <c r="C63">
        <f>countifs(Attendees!$D:$D,C$2,Attendees!$C:$C, $B63) </f>
        <v>0</v>
      </c>
      <c r="D63">
        <f>countifs(Attendees!$D:$D,D$2,Attendees!$C:$C, $B63) </f>
        <v>0</v>
      </c>
      <c r="E63">
        <f t="shared" si="2"/>
        <v>0</v>
      </c>
    </row>
    <row r="64">
      <c r="A64" t="str">
        <f t="shared" si="3"/>
        <v/>
      </c>
      <c r="B64" s="209"/>
      <c r="C64">
        <f>countifs(Attendees!$D:$D,C$2,Attendees!$C:$C, $B64) </f>
        <v>0</v>
      </c>
      <c r="D64">
        <f>countifs(Attendees!$D:$D,D$2,Attendees!$C:$C, $B64) </f>
        <v>0</v>
      </c>
      <c r="E64">
        <f t="shared" si="2"/>
        <v>0</v>
      </c>
    </row>
    <row r="65">
      <c r="A65" t="str">
        <f t="shared" si="3"/>
        <v/>
      </c>
      <c r="B65" s="209"/>
      <c r="C65">
        <f>countifs(Attendees!$D:$D,C$2,Attendees!$C:$C, $B65) </f>
        <v>0</v>
      </c>
      <c r="D65">
        <f>countifs(Attendees!$D:$D,D$2,Attendees!$C:$C, $B65) </f>
        <v>0</v>
      </c>
      <c r="E65">
        <f t="shared" si="2"/>
        <v>0</v>
      </c>
    </row>
    <row r="66">
      <c r="A66" t="str">
        <f t="shared" si="3"/>
        <v/>
      </c>
      <c r="B66" s="209"/>
      <c r="C66">
        <f>countifs(Attendees!$D:$D,C$2,Attendees!$C:$C, $B66) </f>
        <v>0</v>
      </c>
      <c r="D66">
        <f>countifs(Attendees!$D:$D,D$2,Attendees!$C:$C, $B66) </f>
        <v>0</v>
      </c>
      <c r="E66">
        <f t="shared" si="2"/>
        <v>0</v>
      </c>
    </row>
    <row r="67">
      <c r="A67" t="str">
        <f t="shared" si="3"/>
        <v/>
      </c>
      <c r="B67" s="209"/>
      <c r="C67">
        <f>countifs(Attendees!$D:$D,C$2,Attendees!$C:$C, $B67) </f>
        <v>0</v>
      </c>
      <c r="D67">
        <f>countifs(Attendees!$D:$D,D$2,Attendees!$C:$C, $B67) </f>
        <v>0</v>
      </c>
      <c r="E67">
        <f t="shared" si="2"/>
        <v>0</v>
      </c>
    </row>
    <row r="68">
      <c r="A68" t="str">
        <f t="shared" si="3"/>
        <v/>
      </c>
      <c r="B68" s="209"/>
      <c r="C68">
        <f>countifs(Attendees!$D:$D,C$2,Attendees!$C:$C, $B68) </f>
        <v>0</v>
      </c>
      <c r="D68">
        <f>countifs(Attendees!$D:$D,D$2,Attendees!$C:$C, $B68) </f>
        <v>0</v>
      </c>
      <c r="E68">
        <f t="shared" si="2"/>
        <v>0</v>
      </c>
    </row>
    <row r="69">
      <c r="A69" t="str">
        <f t="shared" si="3"/>
        <v/>
      </c>
      <c r="B69" s="209"/>
      <c r="C69">
        <f>countifs(Attendees!$D:$D,C$2,Attendees!$C:$C, $B69) </f>
        <v>0</v>
      </c>
      <c r="D69">
        <f>countifs(Attendees!$D:$D,D$2,Attendees!$C:$C, $B69) </f>
        <v>0</v>
      </c>
      <c r="E69">
        <f t="shared" si="2"/>
        <v>0</v>
      </c>
    </row>
    <row r="70">
      <c r="A70" t="str">
        <f t="shared" si="3"/>
        <v/>
      </c>
      <c r="B70" s="209"/>
      <c r="C70">
        <f>countifs(Attendees!$D:$D,C$2,Attendees!$C:$C, $B70) </f>
        <v>0</v>
      </c>
      <c r="D70">
        <f>countifs(Attendees!$D:$D,D$2,Attendees!$C:$C, $B70) </f>
        <v>0</v>
      </c>
      <c r="E70">
        <f t="shared" si="2"/>
        <v>0</v>
      </c>
    </row>
    <row r="71">
      <c r="A71" t="str">
        <f t="shared" si="3"/>
        <v/>
      </c>
      <c r="B71" s="209"/>
      <c r="C71">
        <f>countifs(Attendees!$D:$D,C$2,Attendees!$C:$C, $B71) </f>
        <v>0</v>
      </c>
      <c r="D71">
        <f>countifs(Attendees!$D:$D,D$2,Attendees!$C:$C, $B71) </f>
        <v>0</v>
      </c>
      <c r="E71">
        <f t="shared" si="2"/>
        <v>0</v>
      </c>
    </row>
    <row r="72">
      <c r="A72" t="str">
        <f t="shared" si="3"/>
        <v/>
      </c>
      <c r="B72" s="209"/>
      <c r="C72">
        <f>countifs(Attendees!$D:$D,C$2,Attendees!$C:$C, $B72) </f>
        <v>0</v>
      </c>
      <c r="D72">
        <f>countifs(Attendees!$D:$D,D$2,Attendees!$C:$C, $B72) </f>
        <v>0</v>
      </c>
      <c r="E72">
        <f t="shared" si="2"/>
        <v>0</v>
      </c>
    </row>
    <row r="73">
      <c r="A73" t="str">
        <f t="shared" si="3"/>
        <v/>
      </c>
      <c r="B73" s="209"/>
      <c r="C73">
        <f>countifs(Attendees!$D:$D,C$2,Attendees!$C:$C, $B73) </f>
        <v>0</v>
      </c>
      <c r="D73">
        <f>countifs(Attendees!$D:$D,D$2,Attendees!$C:$C, $B73) </f>
        <v>0</v>
      </c>
      <c r="E73">
        <f t="shared" si="2"/>
        <v>0</v>
      </c>
    </row>
    <row r="74">
      <c r="A74" t="str">
        <f t="shared" si="3"/>
        <v/>
      </c>
      <c r="B74" s="209"/>
      <c r="C74">
        <f>countifs(Attendees!$D:$D,C$2,Attendees!$C:$C, $B74) </f>
        <v>0</v>
      </c>
      <c r="D74">
        <f>countifs(Attendees!$D:$D,D$2,Attendees!$C:$C, $B74) </f>
        <v>0</v>
      </c>
      <c r="E74">
        <f t="shared" si="2"/>
        <v>0</v>
      </c>
    </row>
    <row r="75">
      <c r="A75" t="str">
        <f t="shared" si="3"/>
        <v/>
      </c>
      <c r="B75" s="209"/>
      <c r="C75">
        <f>countifs(Attendees!$D:$D,C$2,Attendees!$C:$C, $B75) </f>
        <v>0</v>
      </c>
      <c r="D75">
        <f>countifs(Attendees!$D:$D,D$2,Attendees!$C:$C, $B75) </f>
        <v>0</v>
      </c>
      <c r="E75">
        <f t="shared" si="2"/>
        <v>0</v>
      </c>
    </row>
    <row r="76">
      <c r="A76" t="str">
        <f t="shared" si="3"/>
        <v/>
      </c>
      <c r="B76" s="209"/>
      <c r="C76">
        <f>countifs(Attendees!$D:$D,C$2,Attendees!$C:$C, $B76) </f>
        <v>0</v>
      </c>
      <c r="D76">
        <f>countifs(Attendees!$D:$D,D$2,Attendees!$C:$C, $B76) </f>
        <v>0</v>
      </c>
      <c r="E76">
        <f t="shared" si="2"/>
        <v>0</v>
      </c>
    </row>
    <row r="77">
      <c r="A77" t="str">
        <f t="shared" si="3"/>
        <v/>
      </c>
      <c r="B77" s="209"/>
      <c r="C77">
        <f>countifs(Attendees!$D:$D,C$2,Attendees!$C:$C, $B77) </f>
        <v>0</v>
      </c>
      <c r="D77">
        <f>countifs(Attendees!$D:$D,D$2,Attendees!$C:$C, $B77) </f>
        <v>0</v>
      </c>
      <c r="E77">
        <f t="shared" si="2"/>
        <v>0</v>
      </c>
    </row>
    <row r="78">
      <c r="A78" t="str">
        <f t="shared" si="3"/>
        <v/>
      </c>
      <c r="B78" s="209"/>
      <c r="C78">
        <f>countifs(Attendees!$D:$D,C$2,Attendees!$C:$C, $B78) </f>
        <v>0</v>
      </c>
      <c r="D78">
        <f>countifs(Attendees!$D:$D,D$2,Attendees!$C:$C, $B78) </f>
        <v>0</v>
      </c>
      <c r="E78">
        <f t="shared" si="2"/>
        <v>0</v>
      </c>
    </row>
    <row r="79">
      <c r="A79" t="str">
        <f t="shared" si="3"/>
        <v/>
      </c>
      <c r="B79" s="209"/>
      <c r="C79">
        <f>countifs(Attendees!$D:$D,C$2,Attendees!$C:$C, $B79) </f>
        <v>0</v>
      </c>
      <c r="D79">
        <f>countifs(Attendees!$D:$D,D$2,Attendees!$C:$C, $B79) </f>
        <v>0</v>
      </c>
      <c r="E79">
        <f t="shared" si="2"/>
        <v>0</v>
      </c>
    </row>
    <row r="80">
      <c r="A80" t="str">
        <f t="shared" si="3"/>
        <v/>
      </c>
      <c r="B80" s="209"/>
      <c r="C80">
        <f>countifs(Attendees!$D:$D,C$2,Attendees!$C:$C, $B80) </f>
        <v>0</v>
      </c>
      <c r="D80">
        <f>countifs(Attendees!$D:$D,D$2,Attendees!$C:$C, $B80) </f>
        <v>0</v>
      </c>
      <c r="E80">
        <f t="shared" si="2"/>
        <v>0</v>
      </c>
    </row>
    <row r="81">
      <c r="A81" t="str">
        <f t="shared" si="3"/>
        <v/>
      </c>
      <c r="B81" s="209"/>
      <c r="C81">
        <f>countifs(Attendees!$D:$D,C$2,Attendees!$C:$C, $B81) </f>
        <v>0</v>
      </c>
      <c r="D81">
        <f>countifs(Attendees!$D:$D,D$2,Attendees!$C:$C, $B81) </f>
        <v>0</v>
      </c>
      <c r="E81">
        <f t="shared" si="2"/>
        <v>0</v>
      </c>
    </row>
    <row r="82">
      <c r="A82" t="str">
        <f t="shared" si="3"/>
        <v/>
      </c>
      <c r="B82" s="209"/>
      <c r="C82">
        <f>countifs(Attendees!$D:$D,C$2,Attendees!$C:$C, $B82) </f>
        <v>0</v>
      </c>
      <c r="D82">
        <f>countifs(Attendees!$D:$D,D$2,Attendees!$C:$C, $B82) </f>
        <v>0</v>
      </c>
      <c r="E82">
        <f t="shared" si="2"/>
        <v>0</v>
      </c>
    </row>
    <row r="83">
      <c r="A83" t="str">
        <f t="shared" si="3"/>
        <v/>
      </c>
      <c r="B83" s="209"/>
      <c r="C83">
        <f>countifs(Attendees!$D:$D,C$2,Attendees!$C:$C, $B83) </f>
        <v>0</v>
      </c>
      <c r="D83">
        <f>countifs(Attendees!$D:$D,D$2,Attendees!$C:$C, $B83) </f>
        <v>0</v>
      </c>
      <c r="E83">
        <f t="shared" si="2"/>
        <v>0</v>
      </c>
    </row>
    <row r="84">
      <c r="A84" t="str">
        <f t="shared" si="3"/>
        <v/>
      </c>
      <c r="B84" s="209"/>
      <c r="C84">
        <f>countifs(Attendees!$D:$D,C$2,Attendees!$C:$C, $B84) </f>
        <v>0</v>
      </c>
      <c r="D84">
        <f>countifs(Attendees!$D:$D,D$2,Attendees!$C:$C, $B84) </f>
        <v>0</v>
      </c>
      <c r="E84">
        <f t="shared" si="2"/>
        <v>0</v>
      </c>
    </row>
    <row r="85">
      <c r="A85" t="str">
        <f t="shared" si="3"/>
        <v/>
      </c>
      <c r="B85" s="209"/>
      <c r="C85">
        <f>countifs(Attendees!$D:$D,C$2,Attendees!$C:$C, $B85) </f>
        <v>0</v>
      </c>
      <c r="D85">
        <f>countifs(Attendees!$D:$D,D$2,Attendees!$C:$C, $B85) </f>
        <v>0</v>
      </c>
      <c r="E85">
        <f t="shared" si="2"/>
        <v>0</v>
      </c>
    </row>
    <row r="86">
      <c r="A86" t="str">
        <f t="shared" si="3"/>
        <v/>
      </c>
      <c r="B86" s="209"/>
      <c r="C86">
        <f>countifs(Attendees!$D:$D,C$2,Attendees!$C:$C, $B86) </f>
        <v>0</v>
      </c>
      <c r="D86">
        <f>countifs(Attendees!$D:$D,D$2,Attendees!$C:$C, $B86) </f>
        <v>0</v>
      </c>
      <c r="E86">
        <f t="shared" si="2"/>
        <v>0</v>
      </c>
    </row>
    <row r="87">
      <c r="A87" t="str">
        <f t="shared" si="3"/>
        <v/>
      </c>
      <c r="B87" s="209"/>
      <c r="C87">
        <f>countifs(Attendees!$D:$D,C$2,Attendees!$C:$C, $B87) </f>
        <v>0</v>
      </c>
      <c r="D87">
        <f>countifs(Attendees!$D:$D,D$2,Attendees!$C:$C, $B87) </f>
        <v>0</v>
      </c>
      <c r="E87">
        <f t="shared" si="2"/>
        <v>0</v>
      </c>
    </row>
    <row r="88">
      <c r="A88" t="str">
        <f t="shared" si="3"/>
        <v/>
      </c>
      <c r="B88" s="209"/>
      <c r="C88">
        <f>countifs(Attendees!$D:$D,C$2,Attendees!$C:$C, $B88) </f>
        <v>0</v>
      </c>
      <c r="D88">
        <f>countifs(Attendees!$D:$D,D$2,Attendees!$C:$C, $B88) </f>
        <v>0</v>
      </c>
      <c r="E88">
        <f t="shared" si="2"/>
        <v>0</v>
      </c>
    </row>
    <row r="89">
      <c r="A89" t="str">
        <f t="shared" si="3"/>
        <v/>
      </c>
      <c r="B89" s="209"/>
      <c r="C89">
        <f>countifs(Attendees!$D:$D,C$2,Attendees!$C:$C, $B89) </f>
        <v>0</v>
      </c>
      <c r="D89">
        <f>countifs(Attendees!$D:$D,D$2,Attendees!$C:$C, $B89) </f>
        <v>0</v>
      </c>
      <c r="E89">
        <f t="shared" si="2"/>
        <v>0</v>
      </c>
    </row>
    <row r="90">
      <c r="A90" t="str">
        <f t="shared" si="3"/>
        <v/>
      </c>
      <c r="B90" s="209"/>
      <c r="C90">
        <f>countifs(Attendees!$D:$D,C$2,Attendees!$C:$C, $B90) </f>
        <v>0</v>
      </c>
      <c r="D90">
        <f>countifs(Attendees!$D:$D,D$2,Attendees!$C:$C, $B90) </f>
        <v>0</v>
      </c>
      <c r="E90">
        <f t="shared" si="2"/>
        <v>0</v>
      </c>
    </row>
    <row r="91">
      <c r="A91" t="str">
        <f t="shared" si="3"/>
        <v/>
      </c>
      <c r="B91" s="209"/>
      <c r="C91">
        <f>countifs(Attendees!$D:$D,C$2,Attendees!$C:$C, $B91) </f>
        <v>0</v>
      </c>
      <c r="D91">
        <f>countifs(Attendees!$D:$D,D$2,Attendees!$C:$C, $B91) </f>
        <v>0</v>
      </c>
      <c r="E91">
        <f t="shared" si="2"/>
        <v>0</v>
      </c>
    </row>
    <row r="92">
      <c r="A92" t="str">
        <f t="shared" si="3"/>
        <v/>
      </c>
      <c r="B92" s="209"/>
      <c r="C92">
        <f>countifs(Attendees!$D:$D,C$2,Attendees!$C:$C, $B92) </f>
        <v>0</v>
      </c>
      <c r="D92">
        <f>countifs(Attendees!$D:$D,D$2,Attendees!$C:$C, $B92) </f>
        <v>0</v>
      </c>
      <c r="E92">
        <f t="shared" si="2"/>
        <v>0</v>
      </c>
    </row>
    <row r="93">
      <c r="A93" t="str">
        <f t="shared" si="3"/>
        <v/>
      </c>
      <c r="B93" s="209"/>
      <c r="C93">
        <f>countifs(Attendees!$D:$D,C$2,Attendees!$C:$C, $B93) </f>
        <v>0</v>
      </c>
      <c r="D93">
        <f>countifs(Attendees!$D:$D,D$2,Attendees!$C:$C, $B93) </f>
        <v>0</v>
      </c>
      <c r="E93">
        <f t="shared" si="2"/>
        <v>0</v>
      </c>
    </row>
    <row r="94">
      <c r="A94" t="str">
        <f t="shared" si="3"/>
        <v/>
      </c>
      <c r="B94" s="209"/>
      <c r="C94">
        <f>countifs(Attendees!$D:$D,C$2,Attendees!$C:$C, $B94) </f>
        <v>0</v>
      </c>
      <c r="D94">
        <f>countifs(Attendees!$D:$D,D$2,Attendees!$C:$C, $B94) </f>
        <v>0</v>
      </c>
      <c r="E94">
        <f t="shared" si="2"/>
        <v>0</v>
      </c>
    </row>
    <row r="95">
      <c r="A95" t="str">
        <f t="shared" si="3"/>
        <v/>
      </c>
      <c r="B95" s="209"/>
      <c r="C95">
        <f>countifs(Attendees!$D:$D,C$2,Attendees!$C:$C, $B95) </f>
        <v>0</v>
      </c>
      <c r="D95">
        <f>countifs(Attendees!$D:$D,D$2,Attendees!$C:$C, $B95) </f>
        <v>0</v>
      </c>
      <c r="E95">
        <f t="shared" si="2"/>
        <v>0</v>
      </c>
    </row>
    <row r="96">
      <c r="A96" t="str">
        <f t="shared" si="3"/>
        <v/>
      </c>
      <c r="B96" s="209"/>
      <c r="C96">
        <f>countifs(Attendees!$D:$D,C$2,Attendees!$C:$C, $B96) </f>
        <v>0</v>
      </c>
      <c r="D96">
        <f>countifs(Attendees!$D:$D,D$2,Attendees!$C:$C, $B96) </f>
        <v>0</v>
      </c>
      <c r="E96">
        <f t="shared" si="2"/>
        <v>0</v>
      </c>
    </row>
    <row r="97">
      <c r="A97" t="str">
        <f t="shared" si="3"/>
        <v/>
      </c>
      <c r="B97" s="209"/>
      <c r="C97">
        <f>countifs(Attendees!$D:$D,C$2,Attendees!$C:$C, $B97) </f>
        <v>0</v>
      </c>
      <c r="D97">
        <f>countifs(Attendees!$D:$D,D$2,Attendees!$C:$C, $B97) </f>
        <v>0</v>
      </c>
      <c r="E97">
        <f t="shared" si="2"/>
        <v>0</v>
      </c>
    </row>
    <row r="98">
      <c r="A98" t="str">
        <f t="shared" si="3"/>
        <v/>
      </c>
      <c r="B98" s="209"/>
      <c r="C98">
        <f>countifs(Attendees!$D:$D,C$2,Attendees!$C:$C, $B98) </f>
        <v>0</v>
      </c>
      <c r="D98">
        <f>countifs(Attendees!$D:$D,D$2,Attendees!$C:$C, $B98) </f>
        <v>0</v>
      </c>
      <c r="E98">
        <f t="shared" si="2"/>
        <v>0</v>
      </c>
    </row>
    <row r="99">
      <c r="A99" t="str">
        <f t="shared" si="3"/>
        <v/>
      </c>
      <c r="B99" s="209"/>
      <c r="C99">
        <f>countifs(Attendees!$D:$D,C$2,Attendees!$C:$C, $B99) </f>
        <v>0</v>
      </c>
      <c r="D99">
        <f>countifs(Attendees!$D:$D,D$2,Attendees!$C:$C, $B99) </f>
        <v>0</v>
      </c>
      <c r="E99">
        <f t="shared" si="2"/>
        <v>0</v>
      </c>
    </row>
    <row r="100">
      <c r="A100" t="str">
        <f t="shared" si="3"/>
        <v/>
      </c>
      <c r="B100" s="209"/>
      <c r="C100">
        <f>countifs(Attendees!$D:$D,C$2,Attendees!$C:$C, $B100) </f>
        <v>0</v>
      </c>
      <c r="D100">
        <f>countifs(Attendees!$D:$D,D$2,Attendees!$C:$C, $B100) </f>
        <v>0</v>
      </c>
      <c r="E100">
        <f t="shared" si="2"/>
        <v>0</v>
      </c>
    </row>
    <row r="101">
      <c r="A101" t="str">
        <f t="shared" si="3"/>
        <v/>
      </c>
      <c r="B101" s="209"/>
      <c r="C101">
        <f>countifs(Attendees!$D:$D,C$2,Attendees!$C:$C, $B101) </f>
        <v>0</v>
      </c>
      <c r="D101">
        <f>countifs(Attendees!$D:$D,D$2,Attendees!$C:$C, $B101) </f>
        <v>0</v>
      </c>
      <c r="E101">
        <f t="shared" si="2"/>
        <v>0</v>
      </c>
    </row>
    <row r="102">
      <c r="A102" t="str">
        <f t="shared" si="3"/>
        <v/>
      </c>
      <c r="B102" s="209"/>
      <c r="C102">
        <f>countifs(Attendees!$D:$D,C$2,Attendees!$C:$C, $B102) </f>
        <v>0</v>
      </c>
      <c r="D102">
        <f>countifs(Attendees!$D:$D,D$2,Attendees!$C:$C, $B102) </f>
        <v>0</v>
      </c>
      <c r="E102">
        <f t="shared" si="2"/>
        <v>0</v>
      </c>
    </row>
    <row r="103">
      <c r="A103" t="str">
        <f t="shared" si="3"/>
        <v/>
      </c>
      <c r="B103" s="209"/>
      <c r="C103">
        <f>countifs(Attendees!$D:$D,C$2,Attendees!$C:$C, $B103) </f>
        <v>0</v>
      </c>
      <c r="D103">
        <f>countifs(Attendees!$D:$D,D$2,Attendees!$C:$C, $B103) </f>
        <v>0</v>
      </c>
      <c r="E103">
        <f t="shared" si="2"/>
        <v>0</v>
      </c>
    </row>
    <row r="104">
      <c r="A104" t="str">
        <f t="shared" si="3"/>
        <v/>
      </c>
      <c r="B104" s="209"/>
      <c r="C104">
        <f>countifs(Attendees!$D:$D,C$2,Attendees!$C:$C, $B104) </f>
        <v>0</v>
      </c>
      <c r="D104">
        <f>countifs(Attendees!$D:$D,D$2,Attendees!$C:$C, $B104) </f>
        <v>0</v>
      </c>
      <c r="E104">
        <f t="shared" si="2"/>
        <v>0</v>
      </c>
    </row>
    <row r="105">
      <c r="A105" t="str">
        <f t="shared" si="3"/>
        <v/>
      </c>
      <c r="B105" s="209"/>
      <c r="C105">
        <f>countifs(Attendees!$D:$D,C$2,Attendees!$C:$C, $B105) </f>
        <v>0</v>
      </c>
      <c r="D105">
        <f>countifs(Attendees!$D:$D,D$2,Attendees!$C:$C, $B105) </f>
        <v>0</v>
      </c>
      <c r="E105">
        <f t="shared" si="2"/>
        <v>0</v>
      </c>
    </row>
    <row r="106">
      <c r="A106" t="str">
        <f t="shared" si="3"/>
        <v/>
      </c>
      <c r="B106" s="209"/>
      <c r="C106">
        <f>countifs(Attendees!$D:$D,C$2,Attendees!$C:$C, $B106) </f>
        <v>0</v>
      </c>
      <c r="D106">
        <f>countifs(Attendees!$D:$D,D$2,Attendees!$C:$C, $B106) </f>
        <v>0</v>
      </c>
      <c r="E106">
        <f t="shared" si="2"/>
        <v>0</v>
      </c>
    </row>
    <row r="107">
      <c r="A107" t="str">
        <f t="shared" si="3"/>
        <v/>
      </c>
      <c r="B107" s="209"/>
      <c r="C107">
        <f>countifs(Attendees!$D:$D,C$2,Attendees!$C:$C, $B107) </f>
        <v>0</v>
      </c>
      <c r="D107">
        <f>countifs(Attendees!$D:$D,D$2,Attendees!$C:$C, $B107) </f>
        <v>0</v>
      </c>
      <c r="E107">
        <f t="shared" si="2"/>
        <v>0</v>
      </c>
    </row>
    <row r="108">
      <c r="A108" t="str">
        <f t="shared" si="3"/>
        <v/>
      </c>
      <c r="B108" s="209"/>
      <c r="C108">
        <f>countifs(Attendees!$D:$D,C$2,Attendees!$C:$C, $B108) </f>
        <v>0</v>
      </c>
      <c r="D108">
        <f>countifs(Attendees!$D:$D,D$2,Attendees!$C:$C, $B108) </f>
        <v>0</v>
      </c>
      <c r="E108">
        <f t="shared" si="2"/>
        <v>0</v>
      </c>
    </row>
    <row r="109">
      <c r="A109" t="str">
        <f t="shared" si="3"/>
        <v/>
      </c>
      <c r="B109" s="209"/>
      <c r="C109">
        <f>countifs(Attendees!$D:$D,C$2,Attendees!$C:$C, $B109) </f>
        <v>0</v>
      </c>
      <c r="D109">
        <f>countifs(Attendees!$D:$D,D$2,Attendees!$C:$C, $B109) </f>
        <v>0</v>
      </c>
      <c r="E109">
        <f t="shared" si="2"/>
        <v>0</v>
      </c>
    </row>
    <row r="110">
      <c r="A110" t="str">
        <f t="shared" si="3"/>
        <v/>
      </c>
      <c r="B110" s="209"/>
      <c r="C110">
        <f>countifs(Attendees!$D:$D,C$2,Attendees!$C:$C, $B110) </f>
        <v>0</v>
      </c>
      <c r="D110">
        <f>countifs(Attendees!$D:$D,D$2,Attendees!$C:$C, $B110) </f>
        <v>0</v>
      </c>
      <c r="E110">
        <f t="shared" si="2"/>
        <v>0</v>
      </c>
    </row>
    <row r="111">
      <c r="A111" t="str">
        <f t="shared" si="3"/>
        <v/>
      </c>
      <c r="B111" s="209"/>
      <c r="C111">
        <f>countifs(Attendees!$D:$D,C$2,Attendees!$C:$C, $B111) </f>
        <v>0</v>
      </c>
      <c r="D111">
        <f>countifs(Attendees!$D:$D,D$2,Attendees!$C:$C, $B111) </f>
        <v>0</v>
      </c>
      <c r="E111">
        <f t="shared" si="2"/>
        <v>0</v>
      </c>
    </row>
    <row r="112">
      <c r="A112" t="str">
        <f t="shared" si="3"/>
        <v/>
      </c>
      <c r="B112" s="209"/>
      <c r="C112">
        <f>countifs(Attendees!$D:$D,C$2,Attendees!$C:$C, $B112) </f>
        <v>0</v>
      </c>
      <c r="D112">
        <f>countifs(Attendees!$D:$D,D$2,Attendees!$C:$C, $B112) </f>
        <v>0</v>
      </c>
      <c r="E112">
        <f t="shared" si="2"/>
        <v>0</v>
      </c>
    </row>
    <row r="113">
      <c r="A113" t="str">
        <f t="shared" si="3"/>
        <v/>
      </c>
      <c r="B113" s="209"/>
      <c r="C113">
        <f>countifs(Attendees!$D:$D,C$2,Attendees!$C:$C, $B113) </f>
        <v>0</v>
      </c>
      <c r="D113">
        <f>countifs(Attendees!$D:$D,D$2,Attendees!$C:$C, $B113) </f>
        <v>0</v>
      </c>
      <c r="E113">
        <f t="shared" si="2"/>
        <v>0</v>
      </c>
    </row>
    <row r="114">
      <c r="A114" t="str">
        <f t="shared" si="3"/>
        <v/>
      </c>
      <c r="B114" s="209"/>
      <c r="C114">
        <f>countifs(Attendees!$D:$D,C$2,Attendees!$C:$C, $B114) </f>
        <v>0</v>
      </c>
      <c r="D114">
        <f>countifs(Attendees!$D:$D,D$2,Attendees!$C:$C, $B114) </f>
        <v>0</v>
      </c>
      <c r="E114">
        <f t="shared" si="2"/>
        <v>0</v>
      </c>
    </row>
    <row r="115">
      <c r="A115" t="str">
        <f t="shared" si="3"/>
        <v/>
      </c>
      <c r="B115" s="209"/>
      <c r="C115">
        <f>countifs(Attendees!$D:$D,C$2,Attendees!$C:$C, $B115) </f>
        <v>0</v>
      </c>
      <c r="D115">
        <f>countifs(Attendees!$D:$D,D$2,Attendees!$C:$C, $B115) </f>
        <v>0</v>
      </c>
      <c r="E115">
        <f t="shared" si="2"/>
        <v>0</v>
      </c>
    </row>
    <row r="116">
      <c r="A116" t="str">
        <f t="shared" si="3"/>
        <v/>
      </c>
      <c r="B116" s="209"/>
      <c r="C116">
        <f>countifs(Attendees!$D:$D,C$2,Attendees!$C:$C, $B116) </f>
        <v>0</v>
      </c>
      <c r="D116">
        <f>countifs(Attendees!$D:$D,D$2,Attendees!$C:$C, $B116) </f>
        <v>0</v>
      </c>
      <c r="E116">
        <f t="shared" si="2"/>
        <v>0</v>
      </c>
    </row>
    <row r="117">
      <c r="A117" t="str">
        <f t="shared" si="3"/>
        <v/>
      </c>
      <c r="B117" s="209"/>
      <c r="C117">
        <f>countifs(Attendees!$D:$D,C$2,Attendees!$C:$C, $B117) </f>
        <v>0</v>
      </c>
      <c r="D117">
        <f>countifs(Attendees!$D:$D,D$2,Attendees!$C:$C, $B117) </f>
        <v>0</v>
      </c>
      <c r="E117">
        <f t="shared" si="2"/>
        <v>0</v>
      </c>
    </row>
    <row r="118">
      <c r="A118" t="str">
        <f t="shared" si="3"/>
        <v/>
      </c>
      <c r="B118" s="209"/>
      <c r="C118">
        <f>countifs(Attendees!$D:$D,C$2,Attendees!$C:$C, $B118) </f>
        <v>0</v>
      </c>
      <c r="D118">
        <f>countifs(Attendees!$D:$D,D$2,Attendees!$C:$C, $B118) </f>
        <v>0</v>
      </c>
      <c r="E118">
        <f t="shared" si="2"/>
        <v>0</v>
      </c>
    </row>
    <row r="119">
      <c r="A119" t="str">
        <f t="shared" si="3"/>
        <v/>
      </c>
      <c r="B119" s="209"/>
      <c r="C119">
        <f>countifs(Attendees!$D:$D,C$2,Attendees!$C:$C, $B119) </f>
        <v>0</v>
      </c>
      <c r="D119">
        <f>countifs(Attendees!$D:$D,D$2,Attendees!$C:$C, $B119) </f>
        <v>0</v>
      </c>
      <c r="E119">
        <f t="shared" si="2"/>
        <v>0</v>
      </c>
    </row>
    <row r="120">
      <c r="A120" t="str">
        <f t="shared" si="3"/>
        <v/>
      </c>
      <c r="B120" s="209"/>
      <c r="C120">
        <f>countifs(Attendees!$D:$D,C$2,Attendees!$C:$C, $B120) </f>
        <v>0</v>
      </c>
      <c r="D120">
        <f>countifs(Attendees!$D:$D,D$2,Attendees!$C:$C, $B120) </f>
        <v>0</v>
      </c>
      <c r="E120">
        <f t="shared" si="2"/>
        <v>0</v>
      </c>
    </row>
    <row r="121">
      <c r="A121" t="str">
        <f t="shared" si="3"/>
        <v/>
      </c>
      <c r="B121" s="209"/>
      <c r="C121">
        <f>countifs(Attendees!$D:$D,C$2,Attendees!$C:$C, $B121) </f>
        <v>0</v>
      </c>
      <c r="D121">
        <f>countifs(Attendees!$D:$D,D$2,Attendees!$C:$C, $B121) </f>
        <v>0</v>
      </c>
      <c r="E121">
        <f t="shared" si="2"/>
        <v>0</v>
      </c>
    </row>
    <row r="122">
      <c r="A122" t="str">
        <f t="shared" si="3"/>
        <v/>
      </c>
      <c r="B122" s="209"/>
      <c r="C122">
        <f>countifs(Attendees!$D:$D,C$2,Attendees!$C:$C, $B122) </f>
        <v>0</v>
      </c>
      <c r="D122">
        <f>countifs(Attendees!$D:$D,D$2,Attendees!$C:$C, $B122) </f>
        <v>0</v>
      </c>
      <c r="E122">
        <f t="shared" si="2"/>
        <v>0</v>
      </c>
    </row>
    <row r="123">
      <c r="A123" t="str">
        <f t="shared" si="3"/>
        <v/>
      </c>
      <c r="B123" s="209"/>
      <c r="C123">
        <f>countifs(Attendees!$D:$D,C$2,Attendees!$C:$C, $B123) </f>
        <v>0</v>
      </c>
      <c r="D123">
        <f>countifs(Attendees!$D:$D,D$2,Attendees!$C:$C, $B123) </f>
        <v>0</v>
      </c>
      <c r="E123">
        <f t="shared" si="2"/>
        <v>0</v>
      </c>
    </row>
    <row r="124">
      <c r="A124" t="str">
        <f t="shared" si="3"/>
        <v/>
      </c>
      <c r="B124" s="209"/>
      <c r="C124">
        <f>countifs(Attendees!$D:$D,C$2,Attendees!$C:$C, $B124) </f>
        <v>0</v>
      </c>
      <c r="D124">
        <f>countifs(Attendees!$D:$D,D$2,Attendees!$C:$C, $B124) </f>
        <v>0</v>
      </c>
      <c r="E124">
        <f t="shared" si="2"/>
        <v>0</v>
      </c>
    </row>
    <row r="125">
      <c r="A125" t="str">
        <f t="shared" si="3"/>
        <v/>
      </c>
      <c r="B125" s="209"/>
      <c r="C125">
        <f>countifs(Attendees!$D:$D,C$2,Attendees!$C:$C, $B125) </f>
        <v>0</v>
      </c>
      <c r="D125">
        <f>countifs(Attendees!$D:$D,D$2,Attendees!$C:$C, $B125) </f>
        <v>0</v>
      </c>
      <c r="E125">
        <f t="shared" si="2"/>
        <v>0</v>
      </c>
    </row>
    <row r="126">
      <c r="A126" t="str">
        <f t="shared" si="3"/>
        <v/>
      </c>
      <c r="B126" s="209"/>
      <c r="C126">
        <f>countifs(Attendees!$D:$D,C$2,Attendees!$C:$C, $B126) </f>
        <v>0</v>
      </c>
      <c r="D126">
        <f>countifs(Attendees!$D:$D,D$2,Attendees!$C:$C, $B126) </f>
        <v>0</v>
      </c>
      <c r="E126">
        <f t="shared" si="2"/>
        <v>0</v>
      </c>
    </row>
    <row r="127">
      <c r="A127" t="str">
        <f t="shared" si="3"/>
        <v/>
      </c>
      <c r="B127" s="209"/>
      <c r="C127">
        <f>countifs(Attendees!$D:$D,C$2,Attendees!$C:$C, $B127) </f>
        <v>0</v>
      </c>
      <c r="D127">
        <f>countifs(Attendees!$D:$D,D$2,Attendees!$C:$C, $B127) </f>
        <v>0</v>
      </c>
      <c r="E127">
        <f t="shared" si="2"/>
        <v>0</v>
      </c>
    </row>
    <row r="128">
      <c r="A128" t="str">
        <f t="shared" si="3"/>
        <v/>
      </c>
      <c r="B128" s="209"/>
      <c r="C128">
        <f>countifs(Attendees!$D:$D,C$2,Attendees!$C:$C, $B128) </f>
        <v>0</v>
      </c>
      <c r="D128">
        <f>countifs(Attendees!$D:$D,D$2,Attendees!$C:$C, $B128) </f>
        <v>0</v>
      </c>
      <c r="E128">
        <f t="shared" si="2"/>
        <v>0</v>
      </c>
    </row>
    <row r="129">
      <c r="A129" t="str">
        <f t="shared" si="3"/>
        <v/>
      </c>
      <c r="B129" s="209"/>
      <c r="C129">
        <f>countifs(Attendees!$D:$D,C$2,Attendees!$C:$C, $B129) </f>
        <v>0</v>
      </c>
      <c r="D129">
        <f>countifs(Attendees!$D:$D,D$2,Attendees!$C:$C, $B129) </f>
        <v>0</v>
      </c>
      <c r="E129">
        <f t="shared" si="2"/>
        <v>0</v>
      </c>
    </row>
    <row r="130">
      <c r="A130" t="str">
        <f t="shared" si="3"/>
        <v/>
      </c>
      <c r="B130" s="209"/>
      <c r="C130">
        <f>countifs(Attendees!$D:$D,C$2,Attendees!$C:$C, $B130) </f>
        <v>0</v>
      </c>
      <c r="D130">
        <f>countifs(Attendees!$D:$D,D$2,Attendees!$C:$C, $B130) </f>
        <v>0</v>
      </c>
      <c r="E130">
        <f t="shared" si="2"/>
        <v>0</v>
      </c>
    </row>
    <row r="131">
      <c r="A131" t="str">
        <f t="shared" si="3"/>
        <v/>
      </c>
      <c r="B131" s="209"/>
      <c r="C131">
        <f>countifs(Attendees!$D:$D,C$2,Attendees!$C:$C, $B131) </f>
        <v>0</v>
      </c>
      <c r="D131">
        <f>countifs(Attendees!$D:$D,D$2,Attendees!$C:$C, $B131) </f>
        <v>0</v>
      </c>
      <c r="E131">
        <f t="shared" si="2"/>
        <v>0</v>
      </c>
    </row>
    <row r="132">
      <c r="A132" t="str">
        <f t="shared" si="3"/>
        <v/>
      </c>
      <c r="B132" s="209"/>
      <c r="C132">
        <f>countifs(Attendees!$D:$D,C$2,Attendees!$C:$C, $B132) </f>
        <v>0</v>
      </c>
      <c r="D132">
        <f>countifs(Attendees!$D:$D,D$2,Attendees!$C:$C, $B132) </f>
        <v>0</v>
      </c>
      <c r="E132">
        <f t="shared" si="2"/>
        <v>0</v>
      </c>
    </row>
    <row r="133">
      <c r="A133" t="str">
        <f t="shared" si="3"/>
        <v/>
      </c>
      <c r="B133" s="209"/>
      <c r="C133">
        <f>countifs(Attendees!$D:$D,C$2,Attendees!$C:$C, $B133) </f>
        <v>0</v>
      </c>
      <c r="D133">
        <f>countifs(Attendees!$D:$D,D$2,Attendees!$C:$C, $B133) </f>
        <v>0</v>
      </c>
      <c r="E133">
        <f t="shared" si="2"/>
        <v>0</v>
      </c>
    </row>
    <row r="134">
      <c r="A134" t="str">
        <f t="shared" si="3"/>
        <v/>
      </c>
      <c r="B134" s="209"/>
      <c r="C134">
        <f>countifs(Attendees!$D:$D,C$2,Attendees!$C:$C, $B134) </f>
        <v>0</v>
      </c>
      <c r="D134">
        <f>countifs(Attendees!$D:$D,D$2,Attendees!$C:$C, $B134) </f>
        <v>0</v>
      </c>
      <c r="E134">
        <f t="shared" si="2"/>
        <v>0</v>
      </c>
    </row>
    <row r="135">
      <c r="A135" t="str">
        <f t="shared" si="3"/>
        <v/>
      </c>
      <c r="B135" s="209"/>
      <c r="C135">
        <f>countifs(Attendees!$D:$D,C$2,Attendees!$C:$C, $B135) </f>
        <v>0</v>
      </c>
      <c r="D135">
        <f>countifs(Attendees!$D:$D,D$2,Attendees!$C:$C, $B135) </f>
        <v>0</v>
      </c>
      <c r="E135">
        <f t="shared" si="2"/>
        <v>0</v>
      </c>
    </row>
    <row r="136">
      <c r="A136" t="str">
        <f t="shared" si="3"/>
        <v/>
      </c>
      <c r="B136" s="209"/>
      <c r="C136">
        <f>countifs(Attendees!$D:$D,C$2,Attendees!$C:$C, $B136) </f>
        <v>0</v>
      </c>
      <c r="D136">
        <f>countifs(Attendees!$D:$D,D$2,Attendees!$C:$C, $B136) </f>
        <v>0</v>
      </c>
      <c r="E136">
        <f t="shared" si="2"/>
        <v>0</v>
      </c>
    </row>
    <row r="137">
      <c r="A137" t="str">
        <f t="shared" si="3"/>
        <v/>
      </c>
      <c r="B137" s="209"/>
      <c r="C137">
        <f>countifs(Attendees!$D:$D,C$2,Attendees!$C:$C, $B137) </f>
        <v>0</v>
      </c>
      <c r="D137">
        <f>countifs(Attendees!$D:$D,D$2,Attendees!$C:$C, $B137) </f>
        <v>0</v>
      </c>
      <c r="E137">
        <f t="shared" si="2"/>
        <v>0</v>
      </c>
    </row>
    <row r="138">
      <c r="A138" t="str">
        <f t="shared" si="3"/>
        <v/>
      </c>
      <c r="B138" s="209"/>
      <c r="C138">
        <f>countifs(Attendees!$D:$D,C$2,Attendees!$C:$C, $B138) </f>
        <v>0</v>
      </c>
      <c r="D138">
        <f>countifs(Attendees!$D:$D,D$2,Attendees!$C:$C, $B138) </f>
        <v>0</v>
      </c>
      <c r="E138">
        <f t="shared" si="2"/>
        <v>0</v>
      </c>
    </row>
    <row r="139">
      <c r="A139" t="str">
        <f t="shared" si="3"/>
        <v/>
      </c>
      <c r="B139" s="209"/>
      <c r="C139">
        <f>countifs(Attendees!$D:$D,C$2,Attendees!$C:$C, $B139) </f>
        <v>0</v>
      </c>
      <c r="D139">
        <f>countifs(Attendees!$D:$D,D$2,Attendees!$C:$C, $B139) </f>
        <v>0</v>
      </c>
      <c r="E139">
        <f t="shared" si="2"/>
        <v>0</v>
      </c>
    </row>
    <row r="140">
      <c r="A140" t="str">
        <f t="shared" si="3"/>
        <v/>
      </c>
      <c r="B140" s="209"/>
      <c r="C140">
        <f>countifs(Attendees!$D:$D,C$2,Attendees!$C:$C, $B140) </f>
        <v>0</v>
      </c>
      <c r="D140">
        <f>countifs(Attendees!$D:$D,D$2,Attendees!$C:$C, $B140) </f>
        <v>0</v>
      </c>
      <c r="E140">
        <f t="shared" si="2"/>
        <v>0</v>
      </c>
    </row>
    <row r="141">
      <c r="A141" t="str">
        <f t="shared" si="3"/>
        <v/>
      </c>
      <c r="B141" s="209"/>
      <c r="C141">
        <f>countifs(Attendees!$D:$D,C$2,Attendees!$C:$C, $B141) </f>
        <v>0</v>
      </c>
      <c r="D141">
        <f>countifs(Attendees!$D:$D,D$2,Attendees!$C:$C, $B141) </f>
        <v>0</v>
      </c>
      <c r="E141">
        <f t="shared" si="2"/>
        <v>0</v>
      </c>
    </row>
    <row r="142">
      <c r="A142" t="str">
        <f t="shared" si="3"/>
        <v/>
      </c>
      <c r="B142" s="209"/>
      <c r="C142">
        <f>countifs(Attendees!$D:$D,C$2,Attendees!$C:$C, $B142) </f>
        <v>0</v>
      </c>
      <c r="D142">
        <f>countifs(Attendees!$D:$D,D$2,Attendees!$C:$C, $B142) </f>
        <v>0</v>
      </c>
      <c r="E142">
        <f t="shared" si="2"/>
        <v>0</v>
      </c>
    </row>
    <row r="143">
      <c r="A143" t="str">
        <f t="shared" si="3"/>
        <v/>
      </c>
      <c r="B143" s="209"/>
      <c r="C143">
        <f>countifs(Attendees!$D:$D,C$2,Attendees!$C:$C, $B143) </f>
        <v>0</v>
      </c>
      <c r="D143">
        <f>countifs(Attendees!$D:$D,D$2,Attendees!$C:$C, $B143) </f>
        <v>0</v>
      </c>
      <c r="E143">
        <f t="shared" si="2"/>
        <v>0</v>
      </c>
    </row>
    <row r="144">
      <c r="A144" t="str">
        <f t="shared" si="3"/>
        <v/>
      </c>
      <c r="B144" s="209"/>
      <c r="C144">
        <f>countifs(Attendees!$D:$D,C$2,Attendees!$C:$C, $B144) </f>
        <v>0</v>
      </c>
      <c r="D144">
        <f>countifs(Attendees!$D:$D,D$2,Attendees!$C:$C, $B144) </f>
        <v>0</v>
      </c>
      <c r="E144">
        <f t="shared" si="2"/>
        <v>0</v>
      </c>
    </row>
    <row r="145">
      <c r="A145" t="str">
        <f t="shared" si="3"/>
        <v/>
      </c>
      <c r="B145" s="209"/>
      <c r="C145">
        <f>countifs(Attendees!$D:$D,C$2,Attendees!$C:$C, $B145) </f>
        <v>0</v>
      </c>
      <c r="D145">
        <f>countifs(Attendees!$D:$D,D$2,Attendees!$C:$C, $B145) </f>
        <v>0</v>
      </c>
      <c r="E145">
        <f t="shared" si="2"/>
        <v>0</v>
      </c>
    </row>
    <row r="146">
      <c r="A146" t="str">
        <f t="shared" si="3"/>
        <v/>
      </c>
      <c r="B146" s="209"/>
      <c r="C146">
        <f>countifs(Attendees!$D:$D,C$2,Attendees!$C:$C, $B146) </f>
        <v>0</v>
      </c>
      <c r="D146">
        <f>countifs(Attendees!$D:$D,D$2,Attendees!$C:$C, $B146) </f>
        <v>0</v>
      </c>
      <c r="E146">
        <f t="shared" si="2"/>
        <v>0</v>
      </c>
    </row>
    <row r="147">
      <c r="A147" t="str">
        <f t="shared" si="3"/>
        <v/>
      </c>
      <c r="B147" s="209"/>
      <c r="C147">
        <f>countifs(Attendees!$D:$D,C$2,Attendees!$C:$C, $B147) </f>
        <v>0</v>
      </c>
      <c r="D147">
        <f>countifs(Attendees!$D:$D,D$2,Attendees!$C:$C, $B147) </f>
        <v>0</v>
      </c>
      <c r="E147">
        <f t="shared" si="2"/>
        <v>0</v>
      </c>
    </row>
    <row r="148">
      <c r="A148" t="str">
        <f t="shared" si="3"/>
        <v/>
      </c>
      <c r="B148" s="209"/>
      <c r="C148">
        <f>countifs(Attendees!$D:$D,C$2,Attendees!$C:$C, $B148) </f>
        <v>0</v>
      </c>
      <c r="D148">
        <f>countifs(Attendees!$D:$D,D$2,Attendees!$C:$C, $B148) </f>
        <v>0</v>
      </c>
      <c r="E148">
        <f t="shared" si="2"/>
        <v>0</v>
      </c>
    </row>
    <row r="149">
      <c r="A149" t="str">
        <f t="shared" si="3"/>
        <v/>
      </c>
      <c r="B149" s="209"/>
      <c r="C149">
        <f>countifs(Attendees!$D:$D,C$2,Attendees!$C:$C, $B149) </f>
        <v>0</v>
      </c>
      <c r="D149">
        <f>countifs(Attendees!$D:$D,D$2,Attendees!$C:$C, $B149) </f>
        <v>0</v>
      </c>
      <c r="E149">
        <f t="shared" si="2"/>
        <v>0</v>
      </c>
    </row>
    <row r="150">
      <c r="A150" t="str">
        <f t="shared" si="3"/>
        <v/>
      </c>
      <c r="B150" s="209"/>
      <c r="C150">
        <f>countifs(Attendees!$D:$D,C$2,Attendees!$C:$C, $B150) </f>
        <v>0</v>
      </c>
      <c r="D150">
        <f>countifs(Attendees!$D:$D,D$2,Attendees!$C:$C, $B150) </f>
        <v>0</v>
      </c>
      <c r="E150">
        <f t="shared" si="2"/>
        <v>0</v>
      </c>
    </row>
    <row r="151">
      <c r="A151" t="str">
        <f t="shared" si="3"/>
        <v/>
      </c>
      <c r="B151" s="209"/>
      <c r="C151">
        <f>countifs(Attendees!$D:$D,C$2,Attendees!$C:$C, $B151) </f>
        <v>0</v>
      </c>
      <c r="D151">
        <f>countifs(Attendees!$D:$D,D$2,Attendees!$C:$C, $B151) </f>
        <v>0</v>
      </c>
      <c r="E151">
        <f t="shared" si="2"/>
        <v>0</v>
      </c>
    </row>
    <row r="152">
      <c r="A152" t="str">
        <f t="shared" si="3"/>
        <v/>
      </c>
      <c r="B152" s="209"/>
      <c r="C152">
        <f>countifs(Attendees!$D:$D,C$2,Attendees!$C:$C, $B152) </f>
        <v>0</v>
      </c>
      <c r="D152">
        <f>countifs(Attendees!$D:$D,D$2,Attendees!$C:$C, $B152) </f>
        <v>0</v>
      </c>
      <c r="E152">
        <f t="shared" si="2"/>
        <v>0</v>
      </c>
    </row>
    <row r="153">
      <c r="A153" t="str">
        <f t="shared" si="3"/>
        <v/>
      </c>
      <c r="B153" s="209"/>
      <c r="C153">
        <f>countifs(Attendees!$D:$D,C$2,Attendees!$C:$C, $B153) </f>
        <v>0</v>
      </c>
      <c r="D153">
        <f>countifs(Attendees!$D:$D,D$2,Attendees!$C:$C, $B153) </f>
        <v>0</v>
      </c>
      <c r="E153">
        <f t="shared" si="2"/>
        <v>0</v>
      </c>
    </row>
    <row r="154">
      <c r="A154" t="str">
        <f t="shared" si="3"/>
        <v/>
      </c>
      <c r="B154" s="209"/>
      <c r="C154">
        <f>countifs(Attendees!$D:$D,C$2,Attendees!$C:$C, $B154) </f>
        <v>0</v>
      </c>
      <c r="D154">
        <f>countifs(Attendees!$D:$D,D$2,Attendees!$C:$C, $B154) </f>
        <v>0</v>
      </c>
      <c r="E154">
        <f t="shared" si="2"/>
        <v>0</v>
      </c>
    </row>
    <row r="155">
      <c r="A155" t="str">
        <f t="shared" si="3"/>
        <v/>
      </c>
      <c r="B155" s="209"/>
      <c r="C155">
        <f>countifs(Attendees!$D:$D,C$2,Attendees!$C:$C, $B155) </f>
        <v>0</v>
      </c>
      <c r="D155">
        <f>countifs(Attendees!$D:$D,D$2,Attendees!$C:$C, $B155) </f>
        <v>0</v>
      </c>
      <c r="E155">
        <f t="shared" si="2"/>
        <v>0</v>
      </c>
    </row>
    <row r="156">
      <c r="A156" t="str">
        <f t="shared" si="3"/>
        <v/>
      </c>
      <c r="B156" s="209"/>
      <c r="C156">
        <f>countifs(Attendees!$D:$D,C$2,Attendees!$C:$C, $B156) </f>
        <v>0</v>
      </c>
      <c r="D156">
        <f>countifs(Attendees!$D:$D,D$2,Attendees!$C:$C, $B156) </f>
        <v>0</v>
      </c>
      <c r="E156">
        <f t="shared" si="2"/>
        <v>0</v>
      </c>
    </row>
    <row r="157">
      <c r="A157" t="str">
        <f t="shared" si="3"/>
        <v/>
      </c>
      <c r="B157" s="209"/>
      <c r="C157">
        <f>countifs(Attendees!$D:$D,C$2,Attendees!$C:$C, $B157) </f>
        <v>0</v>
      </c>
      <c r="D157">
        <f>countifs(Attendees!$D:$D,D$2,Attendees!$C:$C, $B157) </f>
        <v>0</v>
      </c>
      <c r="E157">
        <f t="shared" si="2"/>
        <v>0</v>
      </c>
    </row>
    <row r="158">
      <c r="A158" t="str">
        <f t="shared" si="3"/>
        <v/>
      </c>
      <c r="B158" s="209"/>
      <c r="C158">
        <f>countifs(Attendees!$D:$D,C$2,Attendees!$C:$C, $B158) </f>
        <v>0</v>
      </c>
      <c r="D158">
        <f>countifs(Attendees!$D:$D,D$2,Attendees!$C:$C, $B158) </f>
        <v>0</v>
      </c>
      <c r="E158">
        <f t="shared" si="2"/>
        <v>0</v>
      </c>
    </row>
    <row r="159">
      <c r="A159" t="str">
        <f t="shared" si="3"/>
        <v/>
      </c>
      <c r="B159" s="209"/>
      <c r="C159">
        <f>countifs(Attendees!$D:$D,C$2,Attendees!$C:$C, $B159) </f>
        <v>0</v>
      </c>
      <c r="D159">
        <f>countifs(Attendees!$D:$D,D$2,Attendees!$C:$C, $B159) </f>
        <v>0</v>
      </c>
      <c r="E159">
        <f t="shared" si="2"/>
        <v>0</v>
      </c>
    </row>
    <row r="160">
      <c r="A160" t="str">
        <f t="shared" si="3"/>
        <v/>
      </c>
      <c r="B160" s="209"/>
      <c r="C160">
        <f>countifs(Attendees!$D:$D,C$2,Attendees!$C:$C, $B160) </f>
        <v>0</v>
      </c>
      <c r="D160">
        <f>countifs(Attendees!$D:$D,D$2,Attendees!$C:$C, $B160) </f>
        <v>0</v>
      </c>
      <c r="E160">
        <f t="shared" si="2"/>
        <v>0</v>
      </c>
    </row>
    <row r="161">
      <c r="A161" t="str">
        <f t="shared" si="3"/>
        <v/>
      </c>
      <c r="B161" s="209"/>
      <c r="C161">
        <f>countifs(Attendees!$D:$D,C$2,Attendees!$C:$C, $B161) </f>
        <v>0</v>
      </c>
      <c r="D161">
        <f>countifs(Attendees!$D:$D,D$2,Attendees!$C:$C, $B161) </f>
        <v>0</v>
      </c>
      <c r="E161">
        <f t="shared" si="2"/>
        <v>0</v>
      </c>
    </row>
    <row r="162">
      <c r="A162" t="str">
        <f t="shared" si="3"/>
        <v/>
      </c>
      <c r="B162" s="209"/>
      <c r="C162">
        <f>countifs(Attendees!$D:$D,C$2,Attendees!$C:$C, $B162) </f>
        <v>0</v>
      </c>
      <c r="D162">
        <f>countifs(Attendees!$D:$D,D$2,Attendees!$C:$C, $B162) </f>
        <v>0</v>
      </c>
      <c r="E162">
        <f t="shared" si="2"/>
        <v>0</v>
      </c>
    </row>
    <row r="163">
      <c r="A163" t="str">
        <f t="shared" si="3"/>
        <v/>
      </c>
      <c r="C163">
        <f>countifs(Attendees!$D:$D,C$2,Attendees!$C:$C, $B163) </f>
        <v>0</v>
      </c>
      <c r="D163">
        <f>countifs(Attendees!$D:$D,D$2,Attendees!$C:$C, $B163) </f>
        <v>0</v>
      </c>
      <c r="E163">
        <f t="shared" si="2"/>
        <v>0</v>
      </c>
    </row>
    <row r="164">
      <c r="A164" t="str">
        <f t="shared" si="3"/>
        <v/>
      </c>
      <c r="C164">
        <f>countifs(Attendees!$D:$D,C$2,Attendees!$C:$C, $B164) </f>
        <v>0</v>
      </c>
      <c r="D164">
        <f>countifs(Attendees!$D:$D,D$2,Attendees!$C:$C, $B164) </f>
        <v>0</v>
      </c>
      <c r="E164">
        <f t="shared" si="2"/>
        <v>0</v>
      </c>
    </row>
    <row r="165">
      <c r="A165" t="str">
        <f t="shared" si="3"/>
        <v/>
      </c>
      <c r="C165">
        <f>countifs(Attendees!$D:$D,C$2,Attendees!$C:$C, $B165) </f>
        <v>0</v>
      </c>
      <c r="D165">
        <f>countifs(Attendees!$D:$D,D$2,Attendees!$C:$C, $B165) </f>
        <v>0</v>
      </c>
      <c r="E165">
        <f t="shared" si="2"/>
        <v>0</v>
      </c>
    </row>
    <row r="166">
      <c r="A166" t="str">
        <f t="shared" si="3"/>
        <v/>
      </c>
      <c r="C166">
        <f>countifs(Attendees!$D:$D,C$2,Attendees!$C:$C, $B166) </f>
        <v>0</v>
      </c>
      <c r="D166">
        <f>countifs(Attendees!$D:$D,D$2,Attendees!$C:$C, $B166) </f>
        <v>0</v>
      </c>
      <c r="E166">
        <f t="shared" si="2"/>
        <v>0</v>
      </c>
    </row>
    <row r="167">
      <c r="A167" t="str">
        <f t="shared" si="3"/>
        <v/>
      </c>
      <c r="C167">
        <f>countifs(Attendees!$D:$D,C$2,Attendees!$C:$C, $B167) </f>
        <v>0</v>
      </c>
      <c r="D167">
        <f>countifs(Attendees!$D:$D,D$2,Attendees!$C:$C, $B167) </f>
        <v>0</v>
      </c>
      <c r="E167">
        <f t="shared" si="2"/>
        <v>0</v>
      </c>
    </row>
    <row r="168">
      <c r="A168" t="str">
        <f t="shared" si="3"/>
        <v/>
      </c>
      <c r="C168">
        <f>countifs(Attendees!$D:$D,C$2,Attendees!$C:$C, $B168) </f>
        <v>0</v>
      </c>
      <c r="D168">
        <f>countifs(Attendees!$D:$D,D$2,Attendees!$C:$C, $B168) </f>
        <v>0</v>
      </c>
      <c r="E168">
        <f t="shared" si="2"/>
        <v>0</v>
      </c>
    </row>
    <row r="169">
      <c r="A169" t="str">
        <f t="shared" si="3"/>
        <v/>
      </c>
      <c r="C169">
        <f>countifs(Attendees!$D:$D,C$2,Attendees!$C:$C, $B169) </f>
        <v>0</v>
      </c>
      <c r="D169">
        <f>countifs(Attendees!$D:$D,D$2,Attendees!$C:$C, $B169) </f>
        <v>0</v>
      </c>
      <c r="E169">
        <f t="shared" si="2"/>
        <v>0</v>
      </c>
    </row>
    <row r="170">
      <c r="A170" t="str">
        <f t="shared" si="3"/>
        <v/>
      </c>
      <c r="C170">
        <f>countifs(Attendees!$D:$D,C$2,Attendees!$C:$C, $B170) </f>
        <v>0</v>
      </c>
      <c r="D170">
        <f>countifs(Attendees!$D:$D,D$2,Attendees!$C:$C, $B170) </f>
        <v>0</v>
      </c>
      <c r="E170">
        <f t="shared" si="2"/>
        <v>0</v>
      </c>
    </row>
    <row r="171">
      <c r="A171" t="str">
        <f t="shared" si="3"/>
        <v/>
      </c>
      <c r="C171">
        <f>countifs(Attendees!$D:$D,C$2,Attendees!$C:$C, $B171) </f>
        <v>0</v>
      </c>
      <c r="D171">
        <f>countifs(Attendees!$D:$D,D$2,Attendees!$C:$C, $B171) </f>
        <v>0</v>
      </c>
      <c r="E171">
        <f t="shared" si="2"/>
        <v>0</v>
      </c>
    </row>
    <row r="172">
      <c r="A172" t="str">
        <f t="shared" si="3"/>
        <v/>
      </c>
      <c r="C172">
        <f>countifs(Attendees!$D:$D,C$2,Attendees!$C:$C, $B172) </f>
        <v>0</v>
      </c>
      <c r="D172">
        <f>countifs(Attendees!$D:$D,D$2,Attendees!$C:$C, $B172) </f>
        <v>0</v>
      </c>
      <c r="E172">
        <f t="shared" si="2"/>
        <v>0</v>
      </c>
    </row>
    <row r="173">
      <c r="A173" t="str">
        <f t="shared" si="3"/>
        <v/>
      </c>
      <c r="C173">
        <f>countifs(Attendees!$D:$D,C$2,Attendees!$C:$C, $B173) </f>
        <v>0</v>
      </c>
      <c r="D173">
        <f>countifs(Attendees!$D:$D,D$2,Attendees!$C:$C, $B173) </f>
        <v>0</v>
      </c>
      <c r="E173">
        <f t="shared" si="2"/>
        <v>0</v>
      </c>
    </row>
    <row r="174">
      <c r="A174" t="str">
        <f t="shared" si="3"/>
        <v/>
      </c>
      <c r="C174">
        <f>countifs(Attendees!$D:$D,C$2,Attendees!$C:$C, $B174) </f>
        <v>0</v>
      </c>
      <c r="D174">
        <f>countifs(Attendees!$D:$D,D$2,Attendees!$C:$C, $B174) </f>
        <v>0</v>
      </c>
      <c r="E174">
        <f t="shared" si="2"/>
        <v>0</v>
      </c>
    </row>
    <row r="175">
      <c r="A175" t="str">
        <f t="shared" si="3"/>
        <v/>
      </c>
      <c r="C175">
        <f>countifs(Attendees!$D:$D,C$2,Attendees!$C:$C, $B175) </f>
        <v>0</v>
      </c>
      <c r="D175">
        <f>countifs(Attendees!$D:$D,D$2,Attendees!$C:$C, $B175) </f>
        <v>0</v>
      </c>
      <c r="E175">
        <f t="shared" si="2"/>
        <v>0</v>
      </c>
    </row>
    <row r="176">
      <c r="A176" t="str">
        <f t="shared" si="3"/>
        <v/>
      </c>
      <c r="C176">
        <f>countifs(Attendees!$D:$D,C$2,Attendees!$C:$C, $B176) </f>
        <v>0</v>
      </c>
      <c r="D176">
        <f>countifs(Attendees!$D:$D,D$2,Attendees!$C:$C, $B176) </f>
        <v>0</v>
      </c>
      <c r="E176">
        <f t="shared" si="2"/>
        <v>0</v>
      </c>
    </row>
    <row r="177">
      <c r="A177" t="str">
        <f t="shared" si="3"/>
        <v/>
      </c>
      <c r="C177">
        <f>countifs(Attendees!$D:$D,C$2,Attendees!$C:$C, $B177) </f>
        <v>0</v>
      </c>
      <c r="D177">
        <f>countifs(Attendees!$D:$D,D$2,Attendees!$C:$C, $B177) </f>
        <v>0</v>
      </c>
      <c r="E177">
        <f t="shared" si="2"/>
        <v>0</v>
      </c>
    </row>
    <row r="178">
      <c r="A178" t="str">
        <f t="shared" si="3"/>
        <v/>
      </c>
      <c r="C178">
        <f>countifs(Attendees!$D:$D,C$2,Attendees!$C:$C, $B178) </f>
        <v>0</v>
      </c>
      <c r="D178">
        <f>countifs(Attendees!$D:$D,D$2,Attendees!$C:$C, $B178) </f>
        <v>0</v>
      </c>
      <c r="E178">
        <f t="shared" si="2"/>
        <v>0</v>
      </c>
    </row>
    <row r="179">
      <c r="A179" t="str">
        <f t="shared" si="3"/>
        <v/>
      </c>
      <c r="C179">
        <f>countifs(Attendees!$D:$D,C$2,Attendees!$C:$C, $B179) </f>
        <v>0</v>
      </c>
      <c r="D179">
        <f>countifs(Attendees!$D:$D,D$2,Attendees!$C:$C, $B179) </f>
        <v>0</v>
      </c>
      <c r="E179">
        <f t="shared" si="2"/>
        <v>0</v>
      </c>
    </row>
    <row r="180">
      <c r="A180" t="str">
        <f t="shared" si="3"/>
        <v/>
      </c>
      <c r="C180">
        <f>countifs(Attendees!$D:$D,C$2,Attendees!$C:$C, $B180) </f>
        <v>0</v>
      </c>
      <c r="D180">
        <f>countifs(Attendees!$D:$D,D$2,Attendees!$C:$C, $B180) </f>
        <v>0</v>
      </c>
      <c r="E180">
        <f t="shared" si="2"/>
        <v>0</v>
      </c>
    </row>
    <row r="181">
      <c r="A181" t="str">
        <f t="shared" si="3"/>
        <v/>
      </c>
      <c r="C181">
        <f>countifs(Attendees!$D:$D,C$2,Attendees!$C:$C, $B181) </f>
        <v>0</v>
      </c>
      <c r="D181">
        <f>countifs(Attendees!$D:$D,D$2,Attendees!$C:$C, $B181) </f>
        <v>0</v>
      </c>
      <c r="E181">
        <f t="shared" si="2"/>
        <v>0</v>
      </c>
    </row>
    <row r="182">
      <c r="A182" t="str">
        <f t="shared" si="3"/>
        <v/>
      </c>
      <c r="C182">
        <f>countifs(Attendees!$D:$D,C$2,Attendees!$C:$C, $B182) </f>
        <v>0</v>
      </c>
      <c r="D182">
        <f>countifs(Attendees!$D:$D,D$2,Attendees!$C:$C, $B182) </f>
        <v>0</v>
      </c>
      <c r="E182">
        <f t="shared" si="2"/>
        <v>0</v>
      </c>
    </row>
    <row r="183">
      <c r="A183" t="str">
        <f t="shared" si="3"/>
        <v/>
      </c>
      <c r="C183">
        <f>countifs(Attendees!$D:$D,C$2,Attendees!$C:$C, $B183) </f>
        <v>0</v>
      </c>
      <c r="D183">
        <f>countifs(Attendees!$D:$D,D$2,Attendees!$C:$C, $B183) </f>
        <v>0</v>
      </c>
      <c r="E183">
        <f t="shared" si="2"/>
        <v>0</v>
      </c>
    </row>
    <row r="184">
      <c r="A184" t="str">
        <f t="shared" si="3"/>
        <v/>
      </c>
      <c r="C184">
        <f>countifs(Attendees!$D:$D,C$2,Attendees!$C:$C, $B184) </f>
        <v>0</v>
      </c>
      <c r="D184">
        <f>countifs(Attendees!$D:$D,D$2,Attendees!$C:$C, $B184) </f>
        <v>0</v>
      </c>
      <c r="E184">
        <f t="shared" si="2"/>
        <v>0</v>
      </c>
    </row>
    <row r="185">
      <c r="A185" t="str">
        <f t="shared" si="3"/>
        <v/>
      </c>
      <c r="C185">
        <f>countifs(Attendees!$D:$D,C$2,Attendees!$C:$C, $B185) </f>
        <v>0</v>
      </c>
      <c r="D185">
        <f>countifs(Attendees!$D:$D,D$2,Attendees!$C:$C, $B185) </f>
        <v>0</v>
      </c>
      <c r="E185">
        <f t="shared" si="2"/>
        <v>0</v>
      </c>
    </row>
    <row r="186">
      <c r="A186" t="str">
        <f t="shared" si="3"/>
        <v/>
      </c>
      <c r="C186">
        <f>countifs(Attendees!$D:$D,C$2,Attendees!$C:$C, $B186) </f>
        <v>0</v>
      </c>
      <c r="D186">
        <f>countifs(Attendees!$D:$D,D$2,Attendees!$C:$C, $B186) </f>
        <v>0</v>
      </c>
      <c r="E186">
        <f t="shared" si="2"/>
        <v>0</v>
      </c>
    </row>
    <row r="187">
      <c r="A187" t="str">
        <f t="shared" si="3"/>
        <v/>
      </c>
      <c r="C187">
        <f>countifs(Attendees!$D:$D,C$2,Attendees!$C:$C, $B187) </f>
        <v>0</v>
      </c>
      <c r="D187">
        <f>countifs(Attendees!$D:$D,D$2,Attendees!$C:$C, $B187) </f>
        <v>0</v>
      </c>
      <c r="E187">
        <f t="shared" si="2"/>
        <v>0</v>
      </c>
    </row>
    <row r="188">
      <c r="A188" t="str">
        <f t="shared" si="3"/>
        <v/>
      </c>
      <c r="C188">
        <f>countifs(Attendees!$D:$D,C$2,Attendees!$C:$C, $B188) </f>
        <v>0</v>
      </c>
      <c r="D188">
        <f>countifs(Attendees!$D:$D,D$2,Attendees!$C:$C, $B188) </f>
        <v>0</v>
      </c>
      <c r="E188">
        <f t="shared" si="2"/>
        <v>0</v>
      </c>
    </row>
    <row r="189">
      <c r="A189" t="str">
        <f t="shared" si="3"/>
        <v/>
      </c>
      <c r="C189">
        <f>countifs(Attendees!$D:$D,C$2,Attendees!$C:$C, $B189) </f>
        <v>0</v>
      </c>
      <c r="D189">
        <f>countifs(Attendees!$D:$D,D$2,Attendees!$C:$C, $B189) </f>
        <v>0</v>
      </c>
      <c r="E189">
        <f t="shared" si="2"/>
        <v>0</v>
      </c>
    </row>
    <row r="190">
      <c r="A190" t="str">
        <f t="shared" si="3"/>
        <v/>
      </c>
      <c r="C190">
        <f>countifs(Attendees!$D:$D,C$2,Attendees!$C:$C, $B190) </f>
        <v>0</v>
      </c>
      <c r="D190">
        <f>countifs(Attendees!$D:$D,D$2,Attendees!$C:$C, $B190) </f>
        <v>0</v>
      </c>
      <c r="E190">
        <f t="shared" si="2"/>
        <v>0</v>
      </c>
    </row>
    <row r="191">
      <c r="A191" t="str">
        <f t="shared" si="3"/>
        <v/>
      </c>
      <c r="C191">
        <f>countifs(Attendees!$D:$D,C$2,Attendees!$C:$C, $B191) </f>
        <v>0</v>
      </c>
      <c r="D191">
        <f>countifs(Attendees!$D:$D,D$2,Attendees!$C:$C, $B191) </f>
        <v>0</v>
      </c>
      <c r="E191">
        <f t="shared" si="2"/>
        <v>0</v>
      </c>
    </row>
    <row r="192">
      <c r="A192" t="str">
        <f t="shared" si="3"/>
        <v/>
      </c>
      <c r="C192">
        <f>countifs(Attendees!$D:$D,C$2,Attendees!$C:$C, $B192) </f>
        <v>0</v>
      </c>
      <c r="D192">
        <f>countifs(Attendees!$D:$D,D$2,Attendees!$C:$C, $B192) </f>
        <v>0</v>
      </c>
      <c r="E192">
        <f t="shared" si="2"/>
        <v>0</v>
      </c>
    </row>
    <row r="193">
      <c r="A193" t="str">
        <f t="shared" si="3"/>
        <v/>
      </c>
      <c r="C193">
        <f>countifs(Attendees!$D:$D,C$2,Attendees!$C:$C, $B193) </f>
        <v>0</v>
      </c>
      <c r="D193">
        <f>countifs(Attendees!$D:$D,D$2,Attendees!$C:$C, $B193) </f>
        <v>0</v>
      </c>
      <c r="E193">
        <f t="shared" si="2"/>
        <v>0</v>
      </c>
    </row>
    <row r="194">
      <c r="A194" t="str">
        <f t="shared" si="3"/>
        <v/>
      </c>
      <c r="C194">
        <f>countifs(Attendees!$D:$D,C$2,Attendees!$C:$C, $B194) </f>
        <v>0</v>
      </c>
      <c r="D194">
        <f>countifs(Attendees!$D:$D,D$2,Attendees!$C:$C, $B194) </f>
        <v>0</v>
      </c>
      <c r="E194">
        <f t="shared" si="2"/>
        <v>0</v>
      </c>
    </row>
    <row r="195">
      <c r="A195" t="str">
        <f t="shared" si="3"/>
        <v/>
      </c>
      <c r="C195">
        <f>countifs(Attendees!$D:$D,C$2,Attendees!$C:$C, $B195) </f>
        <v>0</v>
      </c>
      <c r="D195">
        <f>countifs(Attendees!$D:$D,D$2,Attendees!$C:$C, $B195) </f>
        <v>0</v>
      </c>
      <c r="E195">
        <f t="shared" si="2"/>
        <v>0</v>
      </c>
    </row>
    <row r="196">
      <c r="A196" t="str">
        <f t="shared" si="3"/>
        <v/>
      </c>
      <c r="C196">
        <f>countifs(Attendees!$D:$D,C$2,Attendees!$C:$C, $B196) </f>
        <v>0</v>
      </c>
      <c r="D196">
        <f>countifs(Attendees!$D:$D,D$2,Attendees!$C:$C, $B196) </f>
        <v>0</v>
      </c>
      <c r="E196">
        <f t="shared" si="2"/>
        <v>0</v>
      </c>
    </row>
    <row r="197">
      <c r="A197" t="str">
        <f t="shared" si="3"/>
        <v/>
      </c>
      <c r="C197">
        <f>countifs(Attendees!$D:$D,C$2,Attendees!$C:$C, $B197) </f>
        <v>0</v>
      </c>
      <c r="D197">
        <f>countifs(Attendees!$D:$D,D$2,Attendees!$C:$C, $B197) </f>
        <v>0</v>
      </c>
      <c r="E197">
        <f t="shared" si="2"/>
        <v>0</v>
      </c>
    </row>
    <row r="198">
      <c r="A198" t="str">
        <f t="shared" si="3"/>
        <v/>
      </c>
      <c r="C198">
        <f>countifs(Attendees!$D:$D,C$2,Attendees!$C:$C, $B198) </f>
        <v>0</v>
      </c>
      <c r="D198">
        <f>countifs(Attendees!$D:$D,D$2,Attendees!$C:$C, $B198) </f>
        <v>0</v>
      </c>
      <c r="E198">
        <f t="shared" si="2"/>
        <v>0</v>
      </c>
    </row>
    <row r="199">
      <c r="A199" t="str">
        <f t="shared" si="3"/>
        <v/>
      </c>
      <c r="C199">
        <f>countifs(Attendees!$D:$D,C$2,Attendees!$C:$C, $B199) </f>
        <v>0</v>
      </c>
      <c r="D199">
        <f>countifs(Attendees!$D:$D,D$2,Attendees!$C:$C, $B199) </f>
        <v>0</v>
      </c>
      <c r="E199">
        <f t="shared" si="2"/>
        <v>0</v>
      </c>
    </row>
    <row r="200">
      <c r="A200" t="str">
        <f t="shared" si="3"/>
        <v/>
      </c>
      <c r="C200">
        <f>countifs(Attendees!$D:$D,C$2,Attendees!$C:$C, $B200) </f>
        <v>0</v>
      </c>
      <c r="D200">
        <f>countifs(Attendees!$D:$D,D$2,Attendees!$C:$C, $B200) </f>
        <v>0</v>
      </c>
      <c r="E200">
        <f t="shared" si="2"/>
        <v>0</v>
      </c>
    </row>
    <row r="201">
      <c r="A201" t="str">
        <f t="shared" si="3"/>
        <v/>
      </c>
      <c r="C201">
        <f>countifs(Attendees!$D:$D,C$2,Attendees!$C:$C, $B201) </f>
        <v>0</v>
      </c>
      <c r="D201">
        <f>countifs(Attendees!$D:$D,D$2,Attendees!$C:$C, $B201) </f>
        <v>0</v>
      </c>
      <c r="E201">
        <f t="shared" si="2"/>
        <v>0</v>
      </c>
    </row>
    <row r="202">
      <c r="A202" t="str">
        <f t="shared" si="3"/>
        <v/>
      </c>
      <c r="C202">
        <f>countifs(Attendees!$D:$D,C$2,Attendees!$C:$C, $B202) </f>
        <v>0</v>
      </c>
      <c r="D202">
        <f>countifs(Attendees!$D:$D,D$2,Attendees!$C:$C, $B202) </f>
        <v>0</v>
      </c>
      <c r="E202">
        <f t="shared" si="2"/>
        <v>0</v>
      </c>
    </row>
    <row r="203">
      <c r="A203" t="str">
        <f t="shared" si="3"/>
        <v/>
      </c>
      <c r="C203">
        <f>countifs(Attendees!$D:$D,C$2,Attendees!$C:$C, $B203) </f>
        <v>0</v>
      </c>
      <c r="D203">
        <f>countifs(Attendees!$D:$D,D$2,Attendees!$C:$C, $B203) </f>
        <v>0</v>
      </c>
      <c r="E203">
        <f t="shared" si="2"/>
        <v>0</v>
      </c>
    </row>
    <row r="204">
      <c r="A204" t="str">
        <f t="shared" si="3"/>
        <v/>
      </c>
      <c r="C204">
        <f>countifs(Attendees!$D:$D,C$2,Attendees!$C:$C, $B204) </f>
        <v>0</v>
      </c>
      <c r="D204">
        <f>countifs(Attendees!$D:$D,D$2,Attendees!$C:$C, $B204) </f>
        <v>0</v>
      </c>
      <c r="E204">
        <f t="shared" si="2"/>
        <v>0</v>
      </c>
    </row>
    <row r="205">
      <c r="A205" t="str">
        <f t="shared" si="3"/>
        <v/>
      </c>
      <c r="C205">
        <f>countifs(Attendees!$D:$D,C$2,Attendees!$C:$C, $B205) </f>
        <v>0</v>
      </c>
      <c r="D205">
        <f>countifs(Attendees!$D:$D,D$2,Attendees!$C:$C, $B205) </f>
        <v>0</v>
      </c>
      <c r="E205">
        <f t="shared" si="2"/>
        <v>0</v>
      </c>
    </row>
    <row r="206">
      <c r="A206" t="str">
        <f t="shared" si="3"/>
        <v/>
      </c>
      <c r="C206">
        <f>countifs(Attendees!$D:$D,C$2,Attendees!$C:$C, $B206) </f>
        <v>0</v>
      </c>
      <c r="D206">
        <f>countifs(Attendees!$D:$D,D$2,Attendees!$C:$C, $B206) </f>
        <v>0</v>
      </c>
      <c r="E206">
        <f t="shared" si="2"/>
        <v>0</v>
      </c>
    </row>
    <row r="207">
      <c r="A207" t="str">
        <f t="shared" si="3"/>
        <v/>
      </c>
      <c r="C207">
        <f>countifs(Attendees!$D:$D,C$2,Attendees!$C:$C, $B207) </f>
        <v>0</v>
      </c>
      <c r="D207">
        <f>countifs(Attendees!$D:$D,D$2,Attendees!$C:$C, $B207) </f>
        <v>0</v>
      </c>
      <c r="E207">
        <f t="shared" si="2"/>
        <v>0</v>
      </c>
    </row>
    <row r="208">
      <c r="A208" t="str">
        <f t="shared" si="3"/>
        <v/>
      </c>
      <c r="C208">
        <f>countifs(Attendees!$D:$D,C$2,Attendees!$C:$C, $B208) </f>
        <v>0</v>
      </c>
      <c r="D208">
        <f>countifs(Attendees!$D:$D,D$2,Attendees!$C:$C, $B208) </f>
        <v>0</v>
      </c>
      <c r="E208">
        <f t="shared" si="2"/>
        <v>0</v>
      </c>
    </row>
    <row r="209">
      <c r="A209" t="str">
        <f t="shared" si="3"/>
        <v/>
      </c>
      <c r="C209">
        <f>countifs(Attendees!$D:$D,C$2,Attendees!$C:$C, $B209) </f>
        <v>0</v>
      </c>
      <c r="D209">
        <f>countifs(Attendees!$D:$D,D$2,Attendees!$C:$C, $B209) </f>
        <v>0</v>
      </c>
      <c r="E209">
        <f t="shared" si="2"/>
        <v>0</v>
      </c>
    </row>
    <row r="210">
      <c r="A210" t="str">
        <f t="shared" si="3"/>
        <v/>
      </c>
      <c r="C210">
        <f>countifs(Attendees!$D:$D,C$2,Attendees!$C:$C, $B210) </f>
        <v>0</v>
      </c>
      <c r="D210">
        <f>countifs(Attendees!$D:$D,D$2,Attendees!$C:$C, $B210) </f>
        <v>0</v>
      </c>
      <c r="E210">
        <f t="shared" si="2"/>
        <v>0</v>
      </c>
    </row>
    <row r="211">
      <c r="A211" t="str">
        <f t="shared" si="3"/>
        <v/>
      </c>
      <c r="C211">
        <f>countifs(Attendees!$D:$D,C$2,Attendees!$C:$C, $B211) </f>
        <v>0</v>
      </c>
      <c r="D211">
        <f>countifs(Attendees!$D:$D,D$2,Attendees!$C:$C, $B211) </f>
        <v>0</v>
      </c>
      <c r="E211">
        <f t="shared" si="2"/>
        <v>0</v>
      </c>
    </row>
    <row r="212">
      <c r="A212" t="str">
        <f t="shared" si="3"/>
        <v/>
      </c>
      <c r="C212">
        <f>countifs(Attendees!$D:$D,C$2,Attendees!$C:$C, $B212) </f>
        <v>0</v>
      </c>
      <c r="D212">
        <f>countifs(Attendees!$D:$D,D$2,Attendees!$C:$C, $B212) </f>
        <v>0</v>
      </c>
      <c r="E212">
        <f t="shared" si="2"/>
        <v>0</v>
      </c>
    </row>
    <row r="213">
      <c r="A213" t="str">
        <f t="shared" si="3"/>
        <v/>
      </c>
      <c r="C213">
        <f>countifs(Attendees!$D:$D,C$2,Attendees!$C:$C, $B213) </f>
        <v>0</v>
      </c>
      <c r="D213">
        <f>countifs(Attendees!$D:$D,D$2,Attendees!$C:$C, $B213) </f>
        <v>0</v>
      </c>
      <c r="E213">
        <f t="shared" si="2"/>
        <v>0</v>
      </c>
    </row>
    <row r="214">
      <c r="A214" t="str">
        <f t="shared" si="3"/>
        <v/>
      </c>
      <c r="C214">
        <f>countifs(Attendees!$D:$D,C$2,Attendees!$C:$C, $B214) </f>
        <v>0</v>
      </c>
      <c r="D214">
        <f>countifs(Attendees!$D:$D,D$2,Attendees!$C:$C, $B214) </f>
        <v>0</v>
      </c>
      <c r="E214">
        <f t="shared" si="2"/>
        <v>0</v>
      </c>
    </row>
    <row r="215">
      <c r="A215" t="str">
        <f t="shared" si="3"/>
        <v/>
      </c>
      <c r="C215">
        <f>countifs(Attendees!$D:$D,C$2,Attendees!$C:$C, $B215) </f>
        <v>0</v>
      </c>
      <c r="D215">
        <f>countifs(Attendees!$D:$D,D$2,Attendees!$C:$C, $B215) </f>
        <v>0</v>
      </c>
      <c r="E215">
        <f t="shared" si="2"/>
        <v>0</v>
      </c>
    </row>
    <row r="216">
      <c r="A216" t="str">
        <f t="shared" si="3"/>
        <v/>
      </c>
      <c r="C216">
        <f>countifs(Attendees!$D:$D,C$2,Attendees!$C:$C, $B216) </f>
        <v>0</v>
      </c>
      <c r="D216">
        <f>countifs(Attendees!$D:$D,D$2,Attendees!$C:$C, $B216) </f>
        <v>0</v>
      </c>
      <c r="E216">
        <f t="shared" si="2"/>
        <v>0</v>
      </c>
    </row>
    <row r="217">
      <c r="A217" t="str">
        <f t="shared" si="3"/>
        <v/>
      </c>
      <c r="C217">
        <f>countifs(Attendees!$D:$D,C$2,Attendees!$C:$C, $B217) </f>
        <v>0</v>
      </c>
      <c r="D217">
        <f>countifs(Attendees!$D:$D,D$2,Attendees!$C:$C, $B217) </f>
        <v>0</v>
      </c>
      <c r="E217">
        <f t="shared" si="2"/>
        <v>0</v>
      </c>
    </row>
    <row r="218">
      <c r="A218" t="str">
        <f t="shared" si="3"/>
        <v/>
      </c>
      <c r="C218">
        <f>countifs(Attendees!$D:$D,C$2,Attendees!$C:$C, $B218) </f>
        <v>0</v>
      </c>
      <c r="D218">
        <f>countifs(Attendees!$D:$D,D$2,Attendees!$C:$C, $B218) </f>
        <v>0</v>
      </c>
      <c r="E218">
        <f t="shared" si="2"/>
        <v>0</v>
      </c>
    </row>
    <row r="219">
      <c r="A219" t="str">
        <f t="shared" si="3"/>
        <v/>
      </c>
      <c r="C219">
        <f>countifs(Attendees!$D:$D,C$2,Attendees!$C:$C, $B219) </f>
        <v>0</v>
      </c>
      <c r="D219">
        <f>countifs(Attendees!$D:$D,D$2,Attendees!$C:$C, $B219) </f>
        <v>0</v>
      </c>
      <c r="E219">
        <f t="shared" si="2"/>
        <v>0</v>
      </c>
    </row>
    <row r="220">
      <c r="A220" t="str">
        <f t="shared" si="3"/>
        <v/>
      </c>
      <c r="C220">
        <f>countifs(Attendees!$D:$D,C$2,Attendees!$C:$C, $B220) </f>
        <v>0</v>
      </c>
      <c r="D220">
        <f>countifs(Attendees!$D:$D,D$2,Attendees!$C:$C, $B220) </f>
        <v>0</v>
      </c>
      <c r="E220">
        <f t="shared" si="2"/>
        <v>0</v>
      </c>
    </row>
    <row r="221">
      <c r="A221" t="str">
        <f t="shared" si="3"/>
        <v/>
      </c>
      <c r="C221">
        <f>countifs(Attendees!$D:$D,C$2,Attendees!$C:$C, $B221) </f>
        <v>0</v>
      </c>
      <c r="D221">
        <f>countifs(Attendees!$D:$D,D$2,Attendees!$C:$C, $B221) </f>
        <v>0</v>
      </c>
      <c r="E221">
        <f t="shared" si="2"/>
        <v>0</v>
      </c>
    </row>
    <row r="222">
      <c r="A222" t="str">
        <f t="shared" si="3"/>
        <v/>
      </c>
      <c r="C222">
        <f>countifs(Attendees!$D:$D,C$2,Attendees!$C:$C, $B222) </f>
        <v>0</v>
      </c>
      <c r="D222">
        <f>countifs(Attendees!$D:$D,D$2,Attendees!$C:$C, $B222) </f>
        <v>0</v>
      </c>
      <c r="E222">
        <f t="shared" si="2"/>
        <v>0</v>
      </c>
    </row>
    <row r="223">
      <c r="A223" t="str">
        <f t="shared" si="3"/>
        <v/>
      </c>
      <c r="C223">
        <f>countifs(Attendees!$D:$D,C$2,Attendees!$C:$C, $B223) </f>
        <v>0</v>
      </c>
      <c r="D223">
        <f>countifs(Attendees!$D:$D,D$2,Attendees!$C:$C, $B223) </f>
        <v>0</v>
      </c>
      <c r="E223">
        <f t="shared" si="2"/>
        <v>0</v>
      </c>
    </row>
    <row r="224">
      <c r="A224" t="str">
        <f t="shared" si="3"/>
        <v/>
      </c>
      <c r="C224">
        <f>countifs(Attendees!$D:$D,C$2,Attendees!$C:$C, $B224) </f>
        <v>0</v>
      </c>
      <c r="D224">
        <f>countifs(Attendees!$D:$D,D$2,Attendees!$C:$C, $B224) </f>
        <v>0</v>
      </c>
      <c r="E224">
        <f t="shared" si="2"/>
        <v>0</v>
      </c>
    </row>
    <row r="225">
      <c r="A225" t="str">
        <f t="shared" si="3"/>
        <v/>
      </c>
      <c r="C225">
        <f>countifs(Attendees!$D:$D,C$2,Attendees!$C:$C, $B225) </f>
        <v>0</v>
      </c>
      <c r="D225">
        <f>countifs(Attendees!$D:$D,D$2,Attendees!$C:$C, $B225) </f>
        <v>0</v>
      </c>
      <c r="E225">
        <f t="shared" si="2"/>
        <v>0</v>
      </c>
    </row>
    <row r="226">
      <c r="A226" t="str">
        <f t="shared" si="3"/>
        <v/>
      </c>
      <c r="C226">
        <f>countifs(Attendees!$D:$D,C$2,Attendees!$C:$C, $B226) </f>
        <v>0</v>
      </c>
      <c r="D226">
        <f>countifs(Attendees!$D:$D,D$2,Attendees!$C:$C, $B226) </f>
        <v>0</v>
      </c>
      <c r="E226">
        <f t="shared" si="2"/>
        <v>0</v>
      </c>
    </row>
    <row r="227">
      <c r="A227" t="str">
        <f t="shared" si="3"/>
        <v/>
      </c>
      <c r="C227">
        <f>countifs(Attendees!$D:$D,C$2,Attendees!$C:$C, $B227) </f>
        <v>0</v>
      </c>
      <c r="D227">
        <f>countifs(Attendees!$D:$D,D$2,Attendees!$C:$C, $B227) </f>
        <v>0</v>
      </c>
      <c r="E227">
        <f t="shared" si="2"/>
        <v>0</v>
      </c>
    </row>
    <row r="228">
      <c r="A228" t="str">
        <f t="shared" si="3"/>
        <v/>
      </c>
      <c r="C228">
        <f>countifs(Attendees!$D:$D,C$2,Attendees!$C:$C, $B228) </f>
        <v>0</v>
      </c>
      <c r="D228">
        <f>countifs(Attendees!$D:$D,D$2,Attendees!$C:$C, $B228) </f>
        <v>0</v>
      </c>
      <c r="E228">
        <f t="shared" si="2"/>
        <v>0</v>
      </c>
    </row>
    <row r="229">
      <c r="A229" t="str">
        <f t="shared" si="3"/>
        <v/>
      </c>
      <c r="C229">
        <f>countifs(Attendees!$D:$D,C$2,Attendees!$C:$C, $B229) </f>
        <v>0</v>
      </c>
      <c r="D229">
        <f>countifs(Attendees!$D:$D,D$2,Attendees!$C:$C, $B229) </f>
        <v>0</v>
      </c>
      <c r="E229">
        <f t="shared" si="2"/>
        <v>0</v>
      </c>
    </row>
    <row r="230">
      <c r="A230" t="str">
        <f t="shared" si="3"/>
        <v/>
      </c>
      <c r="C230">
        <f>countifs(Attendees!$D:$D,C$2,Attendees!$C:$C, $B230) </f>
        <v>0</v>
      </c>
      <c r="D230">
        <f>countifs(Attendees!$D:$D,D$2,Attendees!$C:$C, $B230) </f>
        <v>0</v>
      </c>
      <c r="E230">
        <f t="shared" si="2"/>
        <v>0</v>
      </c>
    </row>
    <row r="231">
      <c r="A231" t="str">
        <f t="shared" si="3"/>
        <v/>
      </c>
      <c r="C231">
        <f>countifs(Attendees!$D:$D,C$2,Attendees!$C:$C, $B231) </f>
        <v>0</v>
      </c>
      <c r="D231">
        <f>countifs(Attendees!$D:$D,D$2,Attendees!$C:$C, $B231) </f>
        <v>0</v>
      </c>
      <c r="E231">
        <f t="shared" si="2"/>
        <v>0</v>
      </c>
    </row>
    <row r="232">
      <c r="A232" t="str">
        <f t="shared" si="3"/>
        <v/>
      </c>
      <c r="C232">
        <f>countifs(Attendees!$D:$D,C$2,Attendees!$C:$C, $B232) </f>
        <v>0</v>
      </c>
      <c r="D232">
        <f>countifs(Attendees!$D:$D,D$2,Attendees!$C:$C, $B232) </f>
        <v>0</v>
      </c>
      <c r="E232">
        <f t="shared" si="2"/>
        <v>0</v>
      </c>
    </row>
    <row r="233">
      <c r="A233" t="str">
        <f t="shared" si="3"/>
        <v/>
      </c>
      <c r="C233">
        <f>countifs(Attendees!$D:$D,C$2,Attendees!$C:$C, $B233) </f>
        <v>0</v>
      </c>
      <c r="D233">
        <f>countifs(Attendees!$D:$D,D$2,Attendees!$C:$C, $B233) </f>
        <v>0</v>
      </c>
      <c r="E233">
        <f t="shared" si="2"/>
        <v>0</v>
      </c>
    </row>
    <row r="234">
      <c r="A234" t="str">
        <f t="shared" si="3"/>
        <v/>
      </c>
      <c r="C234">
        <f>countifs(Attendees!$D:$D,C$2,Attendees!$C:$C, $B234) </f>
        <v>0</v>
      </c>
      <c r="D234">
        <f>countifs(Attendees!$D:$D,D$2,Attendees!$C:$C, $B234) </f>
        <v>0</v>
      </c>
      <c r="E234">
        <f t="shared" si="2"/>
        <v>0</v>
      </c>
    </row>
    <row r="235">
      <c r="A235" t="str">
        <f t="shared" si="3"/>
        <v/>
      </c>
      <c r="C235">
        <f>countifs(Attendees!$D:$D,C$2,Attendees!$C:$C, $B235) </f>
        <v>0</v>
      </c>
      <c r="D235">
        <f>countifs(Attendees!$D:$D,D$2,Attendees!$C:$C, $B235) </f>
        <v>0</v>
      </c>
      <c r="E235">
        <f t="shared" si="2"/>
        <v>0</v>
      </c>
    </row>
    <row r="236">
      <c r="A236" t="str">
        <f t="shared" si="3"/>
        <v/>
      </c>
      <c r="C236">
        <f>countifs(Attendees!$D:$D,C$2,Attendees!$C:$C, $B236) </f>
        <v>0</v>
      </c>
      <c r="D236">
        <f>countifs(Attendees!$D:$D,D$2,Attendees!$C:$C, $B236) </f>
        <v>0</v>
      </c>
      <c r="E236">
        <f t="shared" si="2"/>
        <v>0</v>
      </c>
    </row>
    <row r="237">
      <c r="A237" t="str">
        <f t="shared" si="3"/>
        <v/>
      </c>
      <c r="C237">
        <f>countifs(Attendees!$D:$D,C$2,Attendees!$C:$C, $B237) </f>
        <v>0</v>
      </c>
      <c r="D237">
        <f>countifs(Attendees!$D:$D,D$2,Attendees!$C:$C, $B237) </f>
        <v>0</v>
      </c>
      <c r="E237">
        <f t="shared" si="2"/>
        <v>0</v>
      </c>
    </row>
    <row r="238">
      <c r="A238" t="str">
        <f t="shared" si="3"/>
        <v/>
      </c>
      <c r="C238">
        <f>countifs(Attendees!$D:$D,C$2,Attendees!$C:$C, $B238) </f>
        <v>0</v>
      </c>
      <c r="D238">
        <f>countifs(Attendees!$D:$D,D$2,Attendees!$C:$C, $B238) </f>
        <v>0</v>
      </c>
      <c r="E238">
        <f t="shared" si="2"/>
        <v>0</v>
      </c>
    </row>
    <row r="239">
      <c r="A239" t="str">
        <f t="shared" si="3"/>
        <v/>
      </c>
      <c r="C239">
        <f>countifs(Attendees!$D:$D,C$2,Attendees!$C:$C, $B239) </f>
        <v>0</v>
      </c>
      <c r="D239">
        <f>countifs(Attendees!$D:$D,D$2,Attendees!$C:$C, $B239) </f>
        <v>0</v>
      </c>
      <c r="E239">
        <f t="shared" si="2"/>
        <v>0</v>
      </c>
    </row>
    <row r="240">
      <c r="A240" t="str">
        <f t="shared" si="3"/>
        <v/>
      </c>
      <c r="C240">
        <f>countifs(Attendees!$D:$D,C$2,Attendees!$C:$C, $B240) </f>
        <v>0</v>
      </c>
      <c r="D240">
        <f>countifs(Attendees!$D:$D,D$2,Attendees!$C:$C, $B240) </f>
        <v>0</v>
      </c>
      <c r="E240">
        <f t="shared" si="2"/>
        <v>0</v>
      </c>
    </row>
    <row r="241">
      <c r="A241" t="str">
        <f t="shared" si="3"/>
        <v/>
      </c>
      <c r="C241">
        <f>countifs(Attendees!$D:$D,C$2,Attendees!$C:$C, $B241) </f>
        <v>0</v>
      </c>
      <c r="D241">
        <f>countifs(Attendees!$D:$D,D$2,Attendees!$C:$C, $B241) </f>
        <v>0</v>
      </c>
      <c r="E241">
        <f t="shared" si="2"/>
        <v>0</v>
      </c>
    </row>
    <row r="242">
      <c r="A242" t="str">
        <f t="shared" si="3"/>
        <v/>
      </c>
      <c r="C242">
        <f>countifs(Attendees!$D:$D,C$2,Attendees!$C:$C, $B242) </f>
        <v>0</v>
      </c>
      <c r="D242">
        <f>countifs(Attendees!$D:$D,D$2,Attendees!$C:$C, $B242) </f>
        <v>0</v>
      </c>
      <c r="E242">
        <f t="shared" si="2"/>
        <v>0</v>
      </c>
    </row>
    <row r="243">
      <c r="A243" t="str">
        <f t="shared" si="3"/>
        <v/>
      </c>
      <c r="C243">
        <f>countifs(Attendees!$D:$D,C$2,Attendees!$C:$C, $B243) </f>
        <v>0</v>
      </c>
      <c r="D243">
        <f>countifs(Attendees!$D:$D,D$2,Attendees!$C:$C, $B243) </f>
        <v>0</v>
      </c>
      <c r="E243">
        <f t="shared" si="2"/>
        <v>0</v>
      </c>
    </row>
    <row r="244">
      <c r="A244" t="str">
        <f t="shared" si="3"/>
        <v/>
      </c>
      <c r="C244">
        <f>countifs(Attendees!$D:$D,C$2,Attendees!$C:$C, $B244) </f>
        <v>0</v>
      </c>
      <c r="D244">
        <f>countifs(Attendees!$D:$D,D$2,Attendees!$C:$C, $B244) </f>
        <v>0</v>
      </c>
      <c r="E244">
        <f t="shared" si="2"/>
        <v>0</v>
      </c>
    </row>
    <row r="245">
      <c r="A245" t="str">
        <f t="shared" si="3"/>
        <v/>
      </c>
      <c r="C245">
        <f>countifs(Attendees!$D:$D,C$2,Attendees!$C:$C, $B245) </f>
        <v>0</v>
      </c>
      <c r="D245">
        <f>countifs(Attendees!$D:$D,D$2,Attendees!$C:$C, $B245) </f>
        <v>0</v>
      </c>
      <c r="E245">
        <f t="shared" si="2"/>
        <v>0</v>
      </c>
    </row>
    <row r="246">
      <c r="A246" t="str">
        <f t="shared" si="3"/>
        <v/>
      </c>
      <c r="C246">
        <f>countifs(Attendees!$D:$D,C$2,Attendees!$C:$C, $B246) </f>
        <v>0</v>
      </c>
      <c r="D246">
        <f>countifs(Attendees!$D:$D,D$2,Attendees!$C:$C, $B246) </f>
        <v>0</v>
      </c>
      <c r="E246">
        <f t="shared" si="2"/>
        <v>0</v>
      </c>
    </row>
    <row r="247">
      <c r="A247" t="str">
        <f t="shared" si="3"/>
        <v/>
      </c>
      <c r="C247">
        <f>countifs(Attendees!$D:$D,C$2,Attendees!$C:$C, $B247) </f>
        <v>0</v>
      </c>
      <c r="D247">
        <f>countifs(Attendees!$D:$D,D$2,Attendees!$C:$C, $B247) </f>
        <v>0</v>
      </c>
      <c r="E247">
        <f t="shared" si="2"/>
        <v>0</v>
      </c>
    </row>
    <row r="248">
      <c r="A248" t="str">
        <f t="shared" si="3"/>
        <v/>
      </c>
      <c r="C248">
        <f>countifs(Attendees!$D:$D,C$2,Attendees!$C:$C, $B248) </f>
        <v>0</v>
      </c>
      <c r="D248">
        <f>countifs(Attendees!$D:$D,D$2,Attendees!$C:$C, $B248) </f>
        <v>0</v>
      </c>
      <c r="E248">
        <f t="shared" si="2"/>
        <v>0</v>
      </c>
    </row>
    <row r="249">
      <c r="A249" t="str">
        <f t="shared" si="3"/>
        <v/>
      </c>
      <c r="C249">
        <f>countifs(Attendees!$D:$D,C$2,Attendees!$C:$C, $B249) </f>
        <v>0</v>
      </c>
      <c r="D249">
        <f>countifs(Attendees!$D:$D,D$2,Attendees!$C:$C, $B249) </f>
        <v>0</v>
      </c>
      <c r="E249">
        <f t="shared" si="2"/>
        <v>0</v>
      </c>
    </row>
    <row r="250">
      <c r="A250" t="str">
        <f t="shared" si="3"/>
        <v/>
      </c>
      <c r="C250">
        <f>countifs(Attendees!$D:$D,C$2,Attendees!$C:$C, $B250) </f>
        <v>0</v>
      </c>
      <c r="D250">
        <f>countifs(Attendees!$D:$D,D$2,Attendees!$C:$C, $B250) </f>
        <v>0</v>
      </c>
      <c r="E250">
        <f t="shared" si="2"/>
        <v>0</v>
      </c>
    </row>
    <row r="251">
      <c r="A251" t="str">
        <f t="shared" si="3"/>
        <v/>
      </c>
      <c r="C251">
        <f>countifs(Attendees!$D:$D,C$2,Attendees!$C:$C, $B251) </f>
        <v>0</v>
      </c>
      <c r="D251">
        <f>countifs(Attendees!$D:$D,D$2,Attendees!$C:$C, $B251) </f>
        <v>0</v>
      </c>
      <c r="E251">
        <f t="shared" si="2"/>
        <v>0</v>
      </c>
    </row>
    <row r="252">
      <c r="A252" t="str">
        <f t="shared" si="3"/>
        <v/>
      </c>
      <c r="C252">
        <f>countifs(Attendees!$D:$D,C$2,Attendees!$C:$C, $B252) </f>
        <v>0</v>
      </c>
      <c r="D252">
        <f>countifs(Attendees!$D:$D,D$2,Attendees!$C:$C, $B252) </f>
        <v>0</v>
      </c>
      <c r="E252">
        <f t="shared" si="2"/>
        <v>0</v>
      </c>
    </row>
    <row r="253">
      <c r="A253" t="str">
        <f t="shared" si="3"/>
        <v/>
      </c>
      <c r="C253">
        <f>countifs(Attendees!$D:$D,C$2,Attendees!$C:$C, $B253) </f>
        <v>0</v>
      </c>
      <c r="D253">
        <f>countifs(Attendees!$D:$D,D$2,Attendees!$C:$C, $B253) </f>
        <v>0</v>
      </c>
      <c r="E253">
        <f t="shared" si="2"/>
        <v>0</v>
      </c>
    </row>
    <row r="254">
      <c r="A254" t="str">
        <f t="shared" si="3"/>
        <v/>
      </c>
      <c r="C254">
        <f>countifs(Attendees!$D:$D,C$2,Attendees!$C:$C, $B254) </f>
        <v>0</v>
      </c>
      <c r="D254">
        <f>countifs(Attendees!$D:$D,D$2,Attendees!$C:$C, $B254) </f>
        <v>0</v>
      </c>
      <c r="E254">
        <f t="shared" si="2"/>
        <v>0</v>
      </c>
    </row>
    <row r="255">
      <c r="A255" t="str">
        <f t="shared" si="3"/>
        <v/>
      </c>
      <c r="C255">
        <f>countifs(Attendees!$D:$D,C$2,Attendees!$C:$C, $B255) </f>
        <v>0</v>
      </c>
      <c r="D255">
        <f>countifs(Attendees!$D:$D,D$2,Attendees!$C:$C, $B255) </f>
        <v>0</v>
      </c>
      <c r="E255">
        <f t="shared" si="2"/>
        <v>0</v>
      </c>
    </row>
    <row r="256">
      <c r="A256" t="str">
        <f t="shared" si="3"/>
        <v/>
      </c>
      <c r="C256">
        <f>countifs(Attendees!$D:$D,C$2,Attendees!$C:$C, $B256) </f>
        <v>0</v>
      </c>
      <c r="D256">
        <f>countifs(Attendees!$D:$D,D$2,Attendees!$C:$C, $B256) </f>
        <v>0</v>
      </c>
      <c r="E256">
        <f t="shared" si="2"/>
        <v>0</v>
      </c>
    </row>
    <row r="257">
      <c r="A257" t="str">
        <f t="shared" si="3"/>
        <v/>
      </c>
      <c r="C257">
        <f>countifs(Attendees!$D:$D,C$2,Attendees!$C:$C, $B257) </f>
        <v>0</v>
      </c>
      <c r="D257">
        <f>countifs(Attendees!$D:$D,D$2,Attendees!$C:$C, $B257) </f>
        <v>0</v>
      </c>
      <c r="E257">
        <f t="shared" si="2"/>
        <v>0</v>
      </c>
    </row>
    <row r="258">
      <c r="A258" t="str">
        <f t="shared" si="3"/>
        <v/>
      </c>
      <c r="C258">
        <f>countifs(Attendees!$D:$D,C$2,Attendees!$C:$C, $B258) </f>
        <v>0</v>
      </c>
      <c r="D258">
        <f>countifs(Attendees!$D:$D,D$2,Attendees!$C:$C, $B258) </f>
        <v>0</v>
      </c>
      <c r="E258">
        <f t="shared" si="2"/>
        <v>0</v>
      </c>
    </row>
    <row r="259">
      <c r="A259" t="str">
        <f t="shared" si="3"/>
        <v/>
      </c>
      <c r="C259">
        <f>countifs(Attendees!$D:$D,C$2,Attendees!$C:$C, $B259) </f>
        <v>0</v>
      </c>
      <c r="D259">
        <f>countifs(Attendees!$D:$D,D$2,Attendees!$C:$C, $B259) </f>
        <v>0</v>
      </c>
      <c r="E259">
        <f t="shared" si="2"/>
        <v>0</v>
      </c>
    </row>
    <row r="260">
      <c r="A260" t="str">
        <f t="shared" si="3"/>
        <v/>
      </c>
      <c r="C260">
        <f>countifs(Attendees!$D:$D,C$2,Attendees!$C:$C, $B260) </f>
        <v>0</v>
      </c>
      <c r="D260">
        <f>countifs(Attendees!$D:$D,D$2,Attendees!$C:$C, $B260) </f>
        <v>0</v>
      </c>
      <c r="E260">
        <f t="shared" si="2"/>
        <v>0</v>
      </c>
    </row>
    <row r="261">
      <c r="A261" t="str">
        <f t="shared" si="3"/>
        <v/>
      </c>
      <c r="C261">
        <f>countifs(Attendees!$D:$D,C$2,Attendees!$C:$C, $B261) </f>
        <v>0</v>
      </c>
      <c r="D261">
        <f>countifs(Attendees!$D:$D,D$2,Attendees!$C:$C, $B261) </f>
        <v>0</v>
      </c>
      <c r="E261">
        <f t="shared" si="2"/>
        <v>0</v>
      </c>
    </row>
    <row r="262">
      <c r="A262" t="str">
        <f t="shared" si="3"/>
        <v/>
      </c>
      <c r="C262">
        <f>countifs(Attendees!$D:$D,C$2,Attendees!$C:$C, $B262) </f>
        <v>0</v>
      </c>
      <c r="D262">
        <f>countifs(Attendees!$D:$D,D$2,Attendees!$C:$C, $B262) </f>
        <v>0</v>
      </c>
      <c r="E262">
        <f t="shared" si="2"/>
        <v>0</v>
      </c>
    </row>
    <row r="263">
      <c r="A263" t="str">
        <f t="shared" si="3"/>
        <v/>
      </c>
      <c r="C263">
        <f>countifs(Attendees!$D:$D,C$2,Attendees!$C:$C, $B263) </f>
        <v>0</v>
      </c>
      <c r="D263">
        <f>countifs(Attendees!$D:$D,D$2,Attendees!$C:$C, $B263) </f>
        <v>0</v>
      </c>
      <c r="E263">
        <f t="shared" si="2"/>
        <v>0</v>
      </c>
    </row>
    <row r="264">
      <c r="A264" t="str">
        <f t="shared" si="3"/>
        <v/>
      </c>
      <c r="C264">
        <f>countifs(Attendees!$D:$D,C$2,Attendees!$C:$C, $B264) </f>
        <v>0</v>
      </c>
      <c r="D264">
        <f>countifs(Attendees!$D:$D,D$2,Attendees!$C:$C, $B264) </f>
        <v>0</v>
      </c>
      <c r="E264">
        <f t="shared" si="2"/>
        <v>0</v>
      </c>
    </row>
    <row r="265">
      <c r="A265" t="str">
        <f t="shared" si="3"/>
        <v/>
      </c>
      <c r="C265">
        <f>countifs(Attendees!$D:$D,C$2,Attendees!$C:$C, $B265) </f>
        <v>0</v>
      </c>
      <c r="D265">
        <f>countifs(Attendees!$D:$D,D$2,Attendees!$C:$C, $B265) </f>
        <v>0</v>
      </c>
      <c r="E265">
        <f t="shared" si="2"/>
        <v>0</v>
      </c>
    </row>
    <row r="266">
      <c r="A266" t="str">
        <f t="shared" si="3"/>
        <v/>
      </c>
      <c r="C266">
        <f>countifs(Attendees!$D:$D,C$2,Attendees!$C:$C, $B266) </f>
        <v>0</v>
      </c>
      <c r="D266">
        <f>countifs(Attendees!$D:$D,D$2,Attendees!$C:$C, $B266) </f>
        <v>0</v>
      </c>
      <c r="E266">
        <f t="shared" si="2"/>
        <v>0</v>
      </c>
    </row>
    <row r="267">
      <c r="A267" t="str">
        <f t="shared" si="3"/>
        <v/>
      </c>
      <c r="C267">
        <f>countifs(Attendees!$D:$D,C$2,Attendees!$C:$C, $B267) </f>
        <v>0</v>
      </c>
      <c r="D267">
        <f>countifs(Attendees!$D:$D,D$2,Attendees!$C:$C, $B267) </f>
        <v>0</v>
      </c>
      <c r="E267">
        <f t="shared" si="2"/>
        <v>0</v>
      </c>
    </row>
    <row r="268">
      <c r="A268" t="str">
        <f t="shared" si="3"/>
        <v/>
      </c>
      <c r="C268">
        <f>countifs(Attendees!$D:$D,C$2,Attendees!$C:$C, $B268) </f>
        <v>0</v>
      </c>
      <c r="D268">
        <f>countifs(Attendees!$D:$D,D$2,Attendees!$C:$C, $B268) </f>
        <v>0</v>
      </c>
      <c r="E268">
        <f t="shared" si="2"/>
        <v>0</v>
      </c>
    </row>
    <row r="269">
      <c r="A269" t="str">
        <f t="shared" si="3"/>
        <v/>
      </c>
      <c r="C269">
        <f>countifs(Attendees!$D:$D,C$2,Attendees!$C:$C, $B269) </f>
        <v>0</v>
      </c>
      <c r="D269">
        <f>countifs(Attendees!$D:$D,D$2,Attendees!$C:$C, $B269) </f>
        <v>0</v>
      </c>
      <c r="E269">
        <f t="shared" si="2"/>
        <v>0</v>
      </c>
    </row>
    <row r="270">
      <c r="A270" t="str">
        <f t="shared" si="3"/>
        <v/>
      </c>
      <c r="C270">
        <f>countifs(Attendees!$D:$D,C$2,Attendees!$C:$C, $B270) </f>
        <v>0</v>
      </c>
      <c r="D270">
        <f>countifs(Attendees!$D:$D,D$2,Attendees!$C:$C, $B270) </f>
        <v>0</v>
      </c>
      <c r="E270">
        <f t="shared" si="2"/>
        <v>0</v>
      </c>
    </row>
    <row r="271">
      <c r="A271" t="str">
        <f t="shared" si="3"/>
        <v/>
      </c>
      <c r="C271">
        <f>countifs(Attendees!$D:$D,C$2,Attendees!$C:$C, $B271) </f>
        <v>0</v>
      </c>
      <c r="D271">
        <f>countifs(Attendees!$D:$D,D$2,Attendees!$C:$C, $B271) </f>
        <v>0</v>
      </c>
      <c r="E271">
        <f t="shared" si="2"/>
        <v>0</v>
      </c>
    </row>
    <row r="272">
      <c r="A272" t="str">
        <f t="shared" si="3"/>
        <v/>
      </c>
      <c r="C272">
        <f>countifs(Attendees!$D:$D,C$2,Attendees!$C:$C, $B272) </f>
        <v>0</v>
      </c>
      <c r="D272">
        <f>countifs(Attendees!$D:$D,D$2,Attendees!$C:$C, $B272) </f>
        <v>0</v>
      </c>
      <c r="E272">
        <f t="shared" si="2"/>
        <v>0</v>
      </c>
    </row>
    <row r="273">
      <c r="A273" t="str">
        <f t="shared" si="3"/>
        <v/>
      </c>
      <c r="C273">
        <f>countifs(Attendees!$D:$D,C$2,Attendees!$C:$C, $B273) </f>
        <v>0</v>
      </c>
      <c r="D273">
        <f>countifs(Attendees!$D:$D,D$2,Attendees!$C:$C, $B273) </f>
        <v>0</v>
      </c>
      <c r="E273">
        <f t="shared" si="2"/>
        <v>0</v>
      </c>
    </row>
    <row r="274">
      <c r="A274" t="str">
        <f t="shared" si="3"/>
        <v/>
      </c>
      <c r="C274">
        <f>countifs(Attendees!$D:$D,C$2,Attendees!$C:$C, $B274) </f>
        <v>0</v>
      </c>
      <c r="D274">
        <f>countifs(Attendees!$D:$D,D$2,Attendees!$C:$C, $B274) </f>
        <v>0</v>
      </c>
      <c r="E274">
        <f t="shared" si="2"/>
        <v>0</v>
      </c>
    </row>
    <row r="275">
      <c r="A275" t="str">
        <f t="shared" si="3"/>
        <v/>
      </c>
      <c r="C275">
        <f>countifs(Attendees!$D:$D,C$2,Attendees!$C:$C, $B275) </f>
        <v>0</v>
      </c>
      <c r="D275">
        <f>countifs(Attendees!$D:$D,D$2,Attendees!$C:$C, $B275) </f>
        <v>0</v>
      </c>
      <c r="E275">
        <f t="shared" si="2"/>
        <v>0</v>
      </c>
    </row>
    <row r="276">
      <c r="A276" t="str">
        <f t="shared" si="3"/>
        <v/>
      </c>
      <c r="C276">
        <f>countifs(Attendees!$D:$D,C$2,Attendees!$C:$C, $B276) </f>
        <v>0</v>
      </c>
      <c r="D276">
        <f>countifs(Attendees!$D:$D,D$2,Attendees!$C:$C, $B276) </f>
        <v>0</v>
      </c>
      <c r="E276">
        <f t="shared" si="2"/>
        <v>0</v>
      </c>
    </row>
    <row r="277">
      <c r="A277" t="str">
        <f t="shared" si="3"/>
        <v/>
      </c>
      <c r="C277">
        <f>countifs(Attendees!$D:$D,C$2,Attendees!$C:$C, $B277) </f>
        <v>0</v>
      </c>
      <c r="D277">
        <f>countifs(Attendees!$D:$D,D$2,Attendees!$C:$C, $B277) </f>
        <v>0</v>
      </c>
      <c r="E277">
        <f t="shared" si="2"/>
        <v>0</v>
      </c>
    </row>
    <row r="278">
      <c r="A278" t="str">
        <f t="shared" si="3"/>
        <v/>
      </c>
      <c r="C278">
        <f>countifs(Attendees!$D:$D,C$2,Attendees!$C:$C, $B278) </f>
        <v>0</v>
      </c>
      <c r="D278">
        <f>countifs(Attendees!$D:$D,D$2,Attendees!$C:$C, $B278) </f>
        <v>0</v>
      </c>
      <c r="E278">
        <f t="shared" si="2"/>
        <v>0</v>
      </c>
    </row>
    <row r="279">
      <c r="A279" t="str">
        <f t="shared" si="3"/>
        <v/>
      </c>
      <c r="C279">
        <f>countifs(Attendees!$D:$D,C$2,Attendees!$C:$C, $B279) </f>
        <v>0</v>
      </c>
      <c r="D279">
        <f>countifs(Attendees!$D:$D,D$2,Attendees!$C:$C, $B279) </f>
        <v>0</v>
      </c>
      <c r="E279">
        <f t="shared" si="2"/>
        <v>0</v>
      </c>
    </row>
    <row r="280">
      <c r="A280" t="str">
        <f t="shared" si="3"/>
        <v/>
      </c>
      <c r="C280">
        <f>countifs(Attendees!$D:$D,C$2,Attendees!$C:$C, $B280) </f>
        <v>0</v>
      </c>
      <c r="D280">
        <f>countifs(Attendees!$D:$D,D$2,Attendees!$C:$C, $B280) </f>
        <v>0</v>
      </c>
      <c r="E280">
        <f t="shared" si="2"/>
        <v>0</v>
      </c>
    </row>
    <row r="281">
      <c r="A281" t="str">
        <f t="shared" si="3"/>
        <v/>
      </c>
      <c r="C281">
        <f>countifs(Attendees!$D:$D,C$2,Attendees!$C:$C, $B281) </f>
        <v>0</v>
      </c>
      <c r="D281">
        <f>countifs(Attendees!$D:$D,D$2,Attendees!$C:$C, $B281) </f>
        <v>0</v>
      </c>
      <c r="E281">
        <f t="shared" si="2"/>
        <v>0</v>
      </c>
    </row>
    <row r="282">
      <c r="A282" t="str">
        <f t="shared" si="3"/>
        <v/>
      </c>
      <c r="C282">
        <f>countifs(Attendees!$D:$D,C$2,Attendees!$C:$C, $B282) </f>
        <v>0</v>
      </c>
      <c r="D282">
        <f>countifs(Attendees!$D:$D,D$2,Attendees!$C:$C, $B282) </f>
        <v>0</v>
      </c>
      <c r="E282">
        <f t="shared" si="2"/>
        <v>0</v>
      </c>
    </row>
    <row r="283">
      <c r="A283" t="str">
        <f t="shared" si="3"/>
        <v/>
      </c>
      <c r="C283">
        <f>countifs(Attendees!$D:$D,C$2,Attendees!$C:$C, $B283) </f>
        <v>0</v>
      </c>
      <c r="D283">
        <f>countifs(Attendees!$D:$D,D$2,Attendees!$C:$C, $B283) </f>
        <v>0</v>
      </c>
      <c r="E283">
        <f t="shared" si="2"/>
        <v>0</v>
      </c>
    </row>
    <row r="284">
      <c r="A284" t="str">
        <f t="shared" si="3"/>
        <v/>
      </c>
      <c r="C284">
        <f>countifs(Attendees!$D:$D,C$2,Attendees!$C:$C, $B284) </f>
        <v>0</v>
      </c>
      <c r="D284">
        <f>countifs(Attendees!$D:$D,D$2,Attendees!$C:$C, $B284) </f>
        <v>0</v>
      </c>
      <c r="E284">
        <f t="shared" si="2"/>
        <v>0</v>
      </c>
    </row>
    <row r="285">
      <c r="A285" t="str">
        <f t="shared" si="3"/>
        <v/>
      </c>
      <c r="C285">
        <f>countifs(Attendees!$D:$D,C$2,Attendees!$C:$C, $B285) </f>
        <v>0</v>
      </c>
      <c r="D285">
        <f>countifs(Attendees!$D:$D,D$2,Attendees!$C:$C, $B285) </f>
        <v>0</v>
      </c>
      <c r="E285">
        <f t="shared" si="2"/>
        <v>0</v>
      </c>
    </row>
    <row r="286">
      <c r="A286" t="str">
        <f t="shared" si="3"/>
        <v/>
      </c>
      <c r="C286">
        <f>countifs(Attendees!$D:$D,C$2,Attendees!$C:$C, $B286) </f>
        <v>0</v>
      </c>
      <c r="D286">
        <f>countifs(Attendees!$D:$D,D$2,Attendees!$C:$C, $B286) </f>
        <v>0</v>
      </c>
      <c r="E286">
        <f t="shared" si="2"/>
        <v>0</v>
      </c>
    </row>
    <row r="287">
      <c r="A287" t="str">
        <f t="shared" si="3"/>
        <v/>
      </c>
      <c r="C287">
        <f>countifs(Attendees!$D:$D,C$2,Attendees!$C:$C, $B287) </f>
        <v>0</v>
      </c>
      <c r="D287">
        <f>countifs(Attendees!$D:$D,D$2,Attendees!$C:$C, $B287) </f>
        <v>0</v>
      </c>
      <c r="E287">
        <f t="shared" si="2"/>
        <v>0</v>
      </c>
    </row>
    <row r="288">
      <c r="A288" t="str">
        <f t="shared" si="3"/>
        <v/>
      </c>
      <c r="C288">
        <f>countifs(Attendees!$D:$D,C$2,Attendees!$C:$C, $B288) </f>
        <v>0</v>
      </c>
      <c r="D288">
        <f>countifs(Attendees!$D:$D,D$2,Attendees!$C:$C, $B288) </f>
        <v>0</v>
      </c>
      <c r="E288">
        <f t="shared" si="2"/>
        <v>0</v>
      </c>
    </row>
    <row r="289">
      <c r="A289" t="str">
        <f t="shared" si="3"/>
        <v/>
      </c>
      <c r="C289">
        <f>countifs(Attendees!$D:$D,C$2,Attendees!$C:$C, $B289) </f>
        <v>0</v>
      </c>
      <c r="D289">
        <f>countifs(Attendees!$D:$D,D$2,Attendees!$C:$C, $B289) </f>
        <v>0</v>
      </c>
      <c r="E289">
        <f t="shared" si="2"/>
        <v>0</v>
      </c>
    </row>
    <row r="290">
      <c r="A290" t="str">
        <f t="shared" si="3"/>
        <v/>
      </c>
      <c r="C290">
        <f>countifs(Attendees!$D:$D,C$2,Attendees!$C:$C, $B290) </f>
        <v>0</v>
      </c>
      <c r="D290">
        <f>countifs(Attendees!$D:$D,D$2,Attendees!$C:$C, $B290) </f>
        <v>0</v>
      </c>
      <c r="E290">
        <f t="shared" si="2"/>
        <v>0</v>
      </c>
    </row>
    <row r="291">
      <c r="A291" t="str">
        <f t="shared" si="3"/>
        <v/>
      </c>
      <c r="C291">
        <f>countifs(Attendees!$D:$D,C$2,Attendees!$C:$C, $B291) </f>
        <v>0</v>
      </c>
      <c r="D291">
        <f>countifs(Attendees!$D:$D,D$2,Attendees!$C:$C, $B291) </f>
        <v>0</v>
      </c>
      <c r="E291">
        <f t="shared" si="2"/>
        <v>0</v>
      </c>
    </row>
    <row r="292">
      <c r="A292" t="str">
        <f t="shared" si="3"/>
        <v/>
      </c>
      <c r="C292">
        <f>countifs(Attendees!$D:$D,C$2,Attendees!$C:$C, $B292) </f>
        <v>0</v>
      </c>
      <c r="D292">
        <f>countifs(Attendees!$D:$D,D$2,Attendees!$C:$C, $B292) </f>
        <v>0</v>
      </c>
      <c r="E292">
        <f t="shared" si="2"/>
        <v>0</v>
      </c>
    </row>
    <row r="293">
      <c r="A293" t="str">
        <f t="shared" si="3"/>
        <v/>
      </c>
      <c r="C293">
        <f>countifs(Attendees!$D:$D,C$2,Attendees!$C:$C, $B293) </f>
        <v>0</v>
      </c>
      <c r="D293">
        <f>countifs(Attendees!$D:$D,D$2,Attendees!$C:$C, $B293) </f>
        <v>0</v>
      </c>
      <c r="E293">
        <f t="shared" si="2"/>
        <v>0</v>
      </c>
    </row>
    <row r="294">
      <c r="A294" t="str">
        <f t="shared" si="3"/>
        <v/>
      </c>
      <c r="C294">
        <f>countifs(Attendees!$D:$D,C$2,Attendees!$C:$C, $B294) </f>
        <v>0</v>
      </c>
      <c r="D294">
        <f>countifs(Attendees!$D:$D,D$2,Attendees!$C:$C, $B294) </f>
        <v>0</v>
      </c>
      <c r="E294">
        <f t="shared" si="2"/>
        <v>0</v>
      </c>
    </row>
    <row r="295">
      <c r="A295" t="str">
        <f t="shared" si="3"/>
        <v/>
      </c>
      <c r="C295">
        <f>countifs(Attendees!$D:$D,C$2,Attendees!$C:$C, $B295) </f>
        <v>0</v>
      </c>
      <c r="D295">
        <f>countifs(Attendees!$D:$D,D$2,Attendees!$C:$C, $B295) </f>
        <v>0</v>
      </c>
      <c r="E295">
        <f t="shared" si="2"/>
        <v>0</v>
      </c>
    </row>
    <row r="296">
      <c r="A296" t="str">
        <f t="shared" si="3"/>
        <v/>
      </c>
      <c r="C296">
        <f>countifs(Attendees!$D:$D,C$2,Attendees!$C:$C, $B296) </f>
        <v>0</v>
      </c>
      <c r="D296">
        <f>countifs(Attendees!$D:$D,D$2,Attendees!$C:$C, $B296) </f>
        <v>0</v>
      </c>
      <c r="E296">
        <f t="shared" si="2"/>
        <v>0</v>
      </c>
    </row>
    <row r="297">
      <c r="A297" t="str">
        <f t="shared" si="3"/>
        <v/>
      </c>
      <c r="C297">
        <f>countifs(Attendees!$D:$D,C$2,Attendees!$C:$C, $B297) </f>
        <v>0</v>
      </c>
      <c r="D297">
        <f>countifs(Attendees!$D:$D,D$2,Attendees!$C:$C, $B297) </f>
        <v>0</v>
      </c>
      <c r="E297">
        <f t="shared" si="2"/>
        <v>0</v>
      </c>
    </row>
    <row r="298">
      <c r="A298" t="str">
        <f t="shared" si="3"/>
        <v/>
      </c>
      <c r="C298">
        <f>countifs(Attendees!$D:$D,C$2,Attendees!$C:$C, $B298) </f>
        <v>0</v>
      </c>
      <c r="D298">
        <f>countifs(Attendees!$D:$D,D$2,Attendees!$C:$C, $B298) </f>
        <v>0</v>
      </c>
      <c r="E298">
        <f t="shared" si="2"/>
        <v>0</v>
      </c>
    </row>
    <row r="299">
      <c r="A299" t="str">
        <f t="shared" si="3"/>
        <v/>
      </c>
      <c r="C299">
        <f>countifs(Attendees!$D:$D,C$2,Attendees!$C:$C, $B299) </f>
        <v>0</v>
      </c>
      <c r="D299">
        <f>countifs(Attendees!$D:$D,D$2,Attendees!$C:$C, $B299) </f>
        <v>0</v>
      </c>
      <c r="E299">
        <f t="shared" si="2"/>
        <v>0</v>
      </c>
    </row>
    <row r="300">
      <c r="A300" t="str">
        <f t="shared" si="3"/>
        <v/>
      </c>
      <c r="C300">
        <f>countifs(Attendees!$D:$D,C$2,Attendees!$C:$C, $B300) </f>
        <v>0</v>
      </c>
      <c r="D300">
        <f>countifs(Attendees!$D:$D,D$2,Attendees!$C:$C, $B300) </f>
        <v>0</v>
      </c>
      <c r="E300">
        <f t="shared" si="2"/>
        <v>0</v>
      </c>
    </row>
    <row r="301">
      <c r="A301" t="str">
        <f t="shared" si="3"/>
        <v/>
      </c>
      <c r="C301">
        <f>countifs(Attendees!$D:$D,C$2,Attendees!$C:$C, $B301) </f>
        <v>0</v>
      </c>
      <c r="D301">
        <f>countifs(Attendees!$D:$D,D$2,Attendees!$C:$C, $B301) </f>
        <v>0</v>
      </c>
      <c r="E301">
        <f t="shared" si="2"/>
        <v>0</v>
      </c>
    </row>
    <row r="302">
      <c r="A302" t="str">
        <f t="shared" si="3"/>
        <v/>
      </c>
      <c r="C302">
        <f>countifs(Attendees!$D:$D,C$2,Attendees!$C:$C, $B302) </f>
        <v>0</v>
      </c>
      <c r="D302">
        <f>countifs(Attendees!$D:$D,D$2,Attendees!$C:$C, $B302) </f>
        <v>0</v>
      </c>
      <c r="E302">
        <f t="shared" si="2"/>
        <v>0</v>
      </c>
    </row>
    <row r="303">
      <c r="A303" t="str">
        <f t="shared" si="3"/>
        <v/>
      </c>
      <c r="C303">
        <f>countifs(Attendees!$D:$D,C$2,Attendees!$C:$C, $B303) </f>
        <v>0</v>
      </c>
      <c r="D303">
        <f>countifs(Attendees!$D:$D,D$2,Attendees!$C:$C, $B303) </f>
        <v>0</v>
      </c>
      <c r="E303">
        <f t="shared" si="2"/>
        <v>0</v>
      </c>
    </row>
    <row r="304">
      <c r="A304" t="str">
        <f t="shared" si="3"/>
        <v/>
      </c>
      <c r="C304">
        <f>countifs(Attendees!$D:$D,C$2,Attendees!$C:$C, $B304) </f>
        <v>0</v>
      </c>
      <c r="D304">
        <f>countifs(Attendees!$D:$D,D$2,Attendees!$C:$C, $B304) </f>
        <v>0</v>
      </c>
      <c r="E304">
        <f t="shared" si="2"/>
        <v>0</v>
      </c>
    </row>
    <row r="305">
      <c r="A305" t="str">
        <f t="shared" si="3"/>
        <v/>
      </c>
      <c r="C305">
        <f>countifs(Attendees!$D:$D,C$2,Attendees!$C:$C, $B305) </f>
        <v>0</v>
      </c>
      <c r="D305">
        <f>countifs(Attendees!$D:$D,D$2,Attendees!$C:$C, $B305) </f>
        <v>0</v>
      </c>
      <c r="E305">
        <f t="shared" si="2"/>
        <v>0</v>
      </c>
    </row>
    <row r="306">
      <c r="A306" t="str">
        <f t="shared" si="3"/>
        <v/>
      </c>
      <c r="C306">
        <f>countifs(Attendees!$D:$D,C$2,Attendees!$C:$C, $B306) </f>
        <v>0</v>
      </c>
      <c r="D306">
        <f>countifs(Attendees!$D:$D,D$2,Attendees!$C:$C, $B306) </f>
        <v>0</v>
      </c>
      <c r="E306">
        <f t="shared" si="2"/>
        <v>0</v>
      </c>
    </row>
    <row r="307">
      <c r="A307" t="str">
        <f t="shared" si="3"/>
        <v/>
      </c>
      <c r="C307">
        <f>countifs(Attendees!$D:$D,C$2,Attendees!$C:$C, $B307) </f>
        <v>0</v>
      </c>
      <c r="D307">
        <f>countifs(Attendees!$D:$D,D$2,Attendees!$C:$C, $B307) </f>
        <v>0</v>
      </c>
      <c r="E307">
        <f t="shared" si="2"/>
        <v>0</v>
      </c>
    </row>
    <row r="308">
      <c r="A308" t="str">
        <f t="shared" si="3"/>
        <v/>
      </c>
      <c r="C308">
        <f>countifs(Attendees!$D:$D,C$2,Attendees!$C:$C, $B308) </f>
        <v>0</v>
      </c>
      <c r="D308">
        <f>countifs(Attendees!$D:$D,D$2,Attendees!$C:$C, $B308) </f>
        <v>0</v>
      </c>
      <c r="E308">
        <f t="shared" si="2"/>
        <v>0</v>
      </c>
    </row>
    <row r="309">
      <c r="A309" t="str">
        <f t="shared" si="3"/>
        <v/>
      </c>
      <c r="C309">
        <f>countifs(Attendees!$D:$D,C$2,Attendees!$C:$C, $B309) </f>
        <v>0</v>
      </c>
      <c r="D309">
        <f>countifs(Attendees!$D:$D,D$2,Attendees!$C:$C, $B309) </f>
        <v>0</v>
      </c>
      <c r="E309">
        <f t="shared" si="2"/>
        <v>0</v>
      </c>
    </row>
    <row r="310">
      <c r="A310" t="str">
        <f t="shared" si="3"/>
        <v/>
      </c>
      <c r="C310">
        <f>countifs(Attendees!$D:$D,C$2,Attendees!$C:$C, $B310) </f>
        <v>0</v>
      </c>
      <c r="D310">
        <f>countifs(Attendees!$D:$D,D$2,Attendees!$C:$C, $B310) </f>
        <v>0</v>
      </c>
      <c r="E310">
        <f t="shared" si="2"/>
        <v>0</v>
      </c>
    </row>
    <row r="311">
      <c r="A311" t="str">
        <f t="shared" si="3"/>
        <v/>
      </c>
      <c r="C311">
        <f>countifs(Attendees!$D:$D,C$2,Attendees!$C:$C, $B311) </f>
        <v>0</v>
      </c>
      <c r="D311">
        <f>countifs(Attendees!$D:$D,D$2,Attendees!$C:$C, $B311) </f>
        <v>0</v>
      </c>
      <c r="E311">
        <f t="shared" si="2"/>
        <v>0</v>
      </c>
    </row>
    <row r="312">
      <c r="A312" t="str">
        <f t="shared" si="3"/>
        <v/>
      </c>
      <c r="C312">
        <f>countifs(Attendees!$D:$D,C$2,Attendees!$C:$C, $B312) </f>
        <v>0</v>
      </c>
      <c r="D312">
        <f>countifs(Attendees!$D:$D,D$2,Attendees!$C:$C, $B312) </f>
        <v>0</v>
      </c>
      <c r="E312">
        <f t="shared" si="2"/>
        <v>0</v>
      </c>
    </row>
    <row r="313">
      <c r="A313" t="str">
        <f t="shared" si="3"/>
        <v/>
      </c>
      <c r="C313">
        <f>countifs(Attendees!$D:$D,C$2,Attendees!$C:$C, $B313) </f>
        <v>0</v>
      </c>
      <c r="D313">
        <f>countifs(Attendees!$D:$D,D$2,Attendees!$C:$C, $B313) </f>
        <v>0</v>
      </c>
      <c r="E313">
        <f t="shared" si="2"/>
        <v>0</v>
      </c>
    </row>
    <row r="314">
      <c r="A314" t="str">
        <f t="shared" si="3"/>
        <v/>
      </c>
      <c r="C314">
        <f>countifs(Attendees!$D:$D,C$2,Attendees!$C:$C, $B314) </f>
        <v>0</v>
      </c>
      <c r="D314">
        <f>countifs(Attendees!$D:$D,D$2,Attendees!$C:$C, $B314) </f>
        <v>0</v>
      </c>
      <c r="E314">
        <f t="shared" si="2"/>
        <v>0</v>
      </c>
    </row>
    <row r="315">
      <c r="A315" t="str">
        <f t="shared" si="3"/>
        <v/>
      </c>
      <c r="C315">
        <f>countifs(Attendees!$D:$D,C$2,Attendees!$C:$C, $B315) </f>
        <v>0</v>
      </c>
      <c r="D315">
        <f>countifs(Attendees!$D:$D,D$2,Attendees!$C:$C, $B315) </f>
        <v>0</v>
      </c>
      <c r="E315">
        <f t="shared" si="2"/>
        <v>0</v>
      </c>
    </row>
    <row r="316">
      <c r="A316" t="str">
        <f t="shared" si="3"/>
        <v/>
      </c>
      <c r="C316">
        <f>countifs(Attendees!$D:$D,C$2,Attendees!$C:$C, $B316) </f>
        <v>0</v>
      </c>
      <c r="D316">
        <f>countifs(Attendees!$D:$D,D$2,Attendees!$C:$C, $B316) </f>
        <v>0</v>
      </c>
      <c r="E316">
        <f t="shared" si="2"/>
        <v>0</v>
      </c>
    </row>
    <row r="317">
      <c r="A317" t="str">
        <f t="shared" si="3"/>
        <v/>
      </c>
      <c r="C317">
        <f>countifs(Attendees!$D:$D,C$2,Attendees!$C:$C, $B317) </f>
        <v>0</v>
      </c>
      <c r="D317">
        <f>countifs(Attendees!$D:$D,D$2,Attendees!$C:$C, $B317) </f>
        <v>0</v>
      </c>
      <c r="E317">
        <f t="shared" si="2"/>
        <v>0</v>
      </c>
    </row>
    <row r="318">
      <c r="A318" t="str">
        <f t="shared" si="3"/>
        <v/>
      </c>
      <c r="C318">
        <f>countifs(Attendees!$D:$D,C$2,Attendees!$C:$C, $B318) </f>
        <v>0</v>
      </c>
      <c r="D318">
        <f>countifs(Attendees!$D:$D,D$2,Attendees!$C:$C, $B318) </f>
        <v>0</v>
      </c>
      <c r="E318">
        <f t="shared" si="2"/>
        <v>0</v>
      </c>
    </row>
    <row r="319">
      <c r="A319" t="str">
        <f t="shared" si="3"/>
        <v/>
      </c>
      <c r="C319">
        <f>countifs(Attendees!$D:$D,C$2,Attendees!$C:$C, $B319) </f>
        <v>0</v>
      </c>
      <c r="D319">
        <f>countifs(Attendees!$D:$D,D$2,Attendees!$C:$C, $B319) </f>
        <v>0</v>
      </c>
      <c r="E319">
        <f t="shared" si="2"/>
        <v>0</v>
      </c>
    </row>
    <row r="320">
      <c r="A320" t="str">
        <f t="shared" si="3"/>
        <v/>
      </c>
      <c r="C320">
        <f>countifs(Attendees!$D:$D,C$2,Attendees!$C:$C, $B320) </f>
        <v>0</v>
      </c>
      <c r="D320">
        <f>countifs(Attendees!$D:$D,D$2,Attendees!$C:$C, $B320) </f>
        <v>0</v>
      </c>
      <c r="E320">
        <f t="shared" si="2"/>
        <v>0</v>
      </c>
    </row>
    <row r="321">
      <c r="A321" t="str">
        <f t="shared" si="3"/>
        <v/>
      </c>
      <c r="C321">
        <f>countifs(Attendees!$D:$D,C$2,Attendees!$C:$C, $B321) </f>
        <v>0</v>
      </c>
      <c r="D321">
        <f>countifs(Attendees!$D:$D,D$2,Attendees!$C:$C, $B321) </f>
        <v>0</v>
      </c>
      <c r="E321">
        <f t="shared" si="2"/>
        <v>0</v>
      </c>
    </row>
    <row r="322">
      <c r="A322" t="str">
        <f t="shared" si="3"/>
        <v/>
      </c>
      <c r="C322">
        <f>countifs(Attendees!$D:$D,C$2,Attendees!$C:$C, $B322) </f>
        <v>0</v>
      </c>
      <c r="D322">
        <f>countifs(Attendees!$D:$D,D$2,Attendees!$C:$C, $B322) </f>
        <v>0</v>
      </c>
      <c r="E322">
        <f t="shared" si="2"/>
        <v>0</v>
      </c>
    </row>
    <row r="323">
      <c r="A323" t="str">
        <f t="shared" si="3"/>
        <v/>
      </c>
      <c r="C323">
        <f>countifs(Attendees!$D:$D,C$2,Attendees!$C:$C, $B323) </f>
        <v>0</v>
      </c>
      <c r="D323">
        <f>countifs(Attendees!$D:$D,D$2,Attendees!$C:$C, $B323) </f>
        <v>0</v>
      </c>
      <c r="E323">
        <f t="shared" si="2"/>
        <v>0</v>
      </c>
    </row>
    <row r="324">
      <c r="A324" t="str">
        <f t="shared" si="3"/>
        <v/>
      </c>
      <c r="C324">
        <f>countifs(Attendees!$D:$D,C$2,Attendees!$C:$C, $B324) </f>
        <v>0</v>
      </c>
      <c r="D324">
        <f>countifs(Attendees!$D:$D,D$2,Attendees!$C:$C, $B324) </f>
        <v>0</v>
      </c>
      <c r="E324">
        <f t="shared" si="2"/>
        <v>0</v>
      </c>
    </row>
    <row r="325">
      <c r="A325" t="str">
        <f t="shared" si="3"/>
        <v/>
      </c>
      <c r="C325">
        <f>countifs(Attendees!$D:$D,C$2,Attendees!$C:$C, $B325) </f>
        <v>0</v>
      </c>
      <c r="D325">
        <f>countifs(Attendees!$D:$D,D$2,Attendees!$C:$C, $B325) </f>
        <v>0</v>
      </c>
      <c r="E325">
        <f t="shared" si="2"/>
        <v>0</v>
      </c>
    </row>
    <row r="326">
      <c r="A326" t="str">
        <f t="shared" si="3"/>
        <v/>
      </c>
      <c r="C326">
        <f>countifs(Attendees!$D:$D,C$2,Attendees!$C:$C, $B326) </f>
        <v>0</v>
      </c>
      <c r="D326">
        <f>countifs(Attendees!$D:$D,D$2,Attendees!$C:$C, $B326) </f>
        <v>0</v>
      </c>
      <c r="E326">
        <f t="shared" si="2"/>
        <v>0</v>
      </c>
    </row>
    <row r="327">
      <c r="A327" t="str">
        <f t="shared" si="3"/>
        <v/>
      </c>
      <c r="C327">
        <f>countifs(Attendees!$D:$D,C$2,Attendees!$C:$C, $B327) </f>
        <v>0</v>
      </c>
      <c r="D327">
        <f>countifs(Attendees!$D:$D,D$2,Attendees!$C:$C, $B327) </f>
        <v>0</v>
      </c>
      <c r="E327">
        <f t="shared" si="2"/>
        <v>0</v>
      </c>
    </row>
    <row r="328">
      <c r="A328" t="str">
        <f t="shared" si="3"/>
        <v/>
      </c>
      <c r="C328">
        <f>countifs(Attendees!$D:$D,C$2,Attendees!$C:$C, $B328) </f>
        <v>0</v>
      </c>
      <c r="D328">
        <f>countifs(Attendees!$D:$D,D$2,Attendees!$C:$C, $B328) </f>
        <v>0</v>
      </c>
      <c r="E328">
        <f t="shared" si="2"/>
        <v>0</v>
      </c>
    </row>
    <row r="329">
      <c r="A329" t="str">
        <f t="shared" si="3"/>
        <v/>
      </c>
      <c r="C329">
        <f>countifs(Attendees!$D:$D,C$2,Attendees!$C:$C, $B329) </f>
        <v>0</v>
      </c>
      <c r="D329">
        <f>countifs(Attendees!$D:$D,D$2,Attendees!$C:$C, $B329) </f>
        <v>0</v>
      </c>
      <c r="E329">
        <f t="shared" si="2"/>
        <v>0</v>
      </c>
    </row>
    <row r="330">
      <c r="A330" t="str">
        <f t="shared" si="3"/>
        <v/>
      </c>
      <c r="C330">
        <f>countifs(Attendees!$D:$D,C$2,Attendees!$C:$C, $B330) </f>
        <v>0</v>
      </c>
      <c r="D330">
        <f>countifs(Attendees!$D:$D,D$2,Attendees!$C:$C, $B330) </f>
        <v>0</v>
      </c>
      <c r="E330">
        <f t="shared" si="2"/>
        <v>0</v>
      </c>
    </row>
    <row r="331">
      <c r="A331" t="str">
        <f t="shared" si="3"/>
        <v/>
      </c>
      <c r="C331">
        <f>countifs(Attendees!$D:$D,C$2,Attendees!$C:$C, $B331) </f>
        <v>0</v>
      </c>
      <c r="D331">
        <f>countifs(Attendees!$D:$D,D$2,Attendees!$C:$C, $B331) </f>
        <v>0</v>
      </c>
      <c r="E331">
        <f t="shared" si="2"/>
        <v>0</v>
      </c>
    </row>
    <row r="332">
      <c r="A332" t="str">
        <f t="shared" si="3"/>
        <v/>
      </c>
      <c r="C332">
        <f>countifs(Attendees!$D:$D,C$2,Attendees!$C:$C, $B332) </f>
        <v>0</v>
      </c>
      <c r="D332">
        <f>countifs(Attendees!$D:$D,D$2,Attendees!$C:$C, $B332) </f>
        <v>0</v>
      </c>
      <c r="E332">
        <f t="shared" si="2"/>
        <v>0</v>
      </c>
    </row>
    <row r="333">
      <c r="A333" t="str">
        <f t="shared" si="3"/>
        <v/>
      </c>
      <c r="C333">
        <f>countifs(Attendees!$D:$D,C$2,Attendees!$C:$C, $B333) </f>
        <v>0</v>
      </c>
      <c r="D333">
        <f>countifs(Attendees!$D:$D,D$2,Attendees!$C:$C, $B333) </f>
        <v>0</v>
      </c>
      <c r="E333">
        <f t="shared" si="2"/>
        <v>0</v>
      </c>
    </row>
    <row r="334">
      <c r="A334" t="str">
        <f t="shared" si="3"/>
        <v/>
      </c>
      <c r="C334">
        <f>countifs(Attendees!$D:$D,C$2,Attendees!$C:$C, $B334) </f>
        <v>0</v>
      </c>
      <c r="D334">
        <f>countifs(Attendees!$D:$D,D$2,Attendees!$C:$C, $B334) </f>
        <v>0</v>
      </c>
      <c r="E334">
        <f t="shared" si="2"/>
        <v>0</v>
      </c>
    </row>
    <row r="335">
      <c r="A335" t="str">
        <f t="shared" si="3"/>
        <v/>
      </c>
      <c r="C335">
        <f>countifs(Attendees!$D:$D,C$2,Attendees!$C:$C, $B335) </f>
        <v>0</v>
      </c>
      <c r="D335">
        <f>countifs(Attendees!$D:$D,D$2,Attendees!$C:$C, $B335) </f>
        <v>0</v>
      </c>
      <c r="E335">
        <f t="shared" si="2"/>
        <v>0</v>
      </c>
    </row>
    <row r="336">
      <c r="A336" t="str">
        <f t="shared" si="3"/>
        <v/>
      </c>
      <c r="C336">
        <f>countifs(Attendees!$D:$D,C$2,Attendees!$C:$C, $B336) </f>
        <v>0</v>
      </c>
      <c r="D336">
        <f>countifs(Attendees!$D:$D,D$2,Attendees!$C:$C, $B336) </f>
        <v>0</v>
      </c>
      <c r="E336">
        <f t="shared" si="2"/>
        <v>0</v>
      </c>
    </row>
    <row r="337">
      <c r="A337" t="str">
        <f t="shared" si="3"/>
        <v/>
      </c>
      <c r="C337">
        <f>countifs(Attendees!$D:$D,C$2,Attendees!$C:$C, $B337) </f>
        <v>0</v>
      </c>
      <c r="D337">
        <f>countifs(Attendees!$D:$D,D$2,Attendees!$C:$C, $B337) </f>
        <v>0</v>
      </c>
      <c r="E337">
        <f t="shared" si="2"/>
        <v>0</v>
      </c>
    </row>
    <row r="338">
      <c r="A338" t="str">
        <f t="shared" si="3"/>
        <v/>
      </c>
      <c r="C338">
        <f>countifs(Attendees!$D:$D,C$2,Attendees!$C:$C, $B338) </f>
        <v>0</v>
      </c>
      <c r="D338">
        <f>countifs(Attendees!$D:$D,D$2,Attendees!$C:$C, $B338) </f>
        <v>0</v>
      </c>
      <c r="E338">
        <f t="shared" si="2"/>
        <v>0</v>
      </c>
    </row>
    <row r="339">
      <c r="A339" t="str">
        <f t="shared" si="3"/>
        <v/>
      </c>
      <c r="C339">
        <f>countifs(Attendees!$D:$D,C$2,Attendees!$C:$C, $B339) </f>
        <v>0</v>
      </c>
      <c r="D339">
        <f>countifs(Attendees!$D:$D,D$2,Attendees!$C:$C, $B339) </f>
        <v>0</v>
      </c>
      <c r="E339">
        <f t="shared" si="2"/>
        <v>0</v>
      </c>
    </row>
    <row r="340">
      <c r="A340" t="str">
        <f t="shared" si="3"/>
        <v/>
      </c>
      <c r="C340">
        <f>countifs(Attendees!$D:$D,C$2,Attendees!$C:$C, $B340) </f>
        <v>0</v>
      </c>
      <c r="D340">
        <f>countifs(Attendees!$D:$D,D$2,Attendees!$C:$C, $B340) </f>
        <v>0</v>
      </c>
      <c r="E340">
        <f t="shared" si="2"/>
        <v>0</v>
      </c>
    </row>
    <row r="341">
      <c r="A341" t="str">
        <f t="shared" si="3"/>
        <v/>
      </c>
      <c r="C341">
        <f>countifs(Attendees!$D:$D,C$2,Attendees!$C:$C, $B341) </f>
        <v>0</v>
      </c>
      <c r="D341">
        <f>countifs(Attendees!$D:$D,D$2,Attendees!$C:$C, $B341) </f>
        <v>0</v>
      </c>
      <c r="E341">
        <f t="shared" si="2"/>
        <v>0</v>
      </c>
    </row>
    <row r="342">
      <c r="A342" t="str">
        <f t="shared" si="3"/>
        <v/>
      </c>
      <c r="C342">
        <f>countifs(Attendees!$D:$D,C$2,Attendees!$C:$C, $B342) </f>
        <v>0</v>
      </c>
      <c r="D342">
        <f>countifs(Attendees!$D:$D,D$2,Attendees!$C:$C, $B342) </f>
        <v>0</v>
      </c>
      <c r="E342">
        <f t="shared" si="2"/>
        <v>0</v>
      </c>
    </row>
    <row r="343">
      <c r="A343" t="str">
        <f t="shared" si="3"/>
        <v/>
      </c>
      <c r="C343">
        <f>countifs(Attendees!$D:$D,C$2,Attendees!$C:$C, $B343) </f>
        <v>0</v>
      </c>
      <c r="D343">
        <f>countifs(Attendees!$D:$D,D$2,Attendees!$C:$C, $B343) </f>
        <v>0</v>
      </c>
      <c r="E343">
        <f t="shared" si="2"/>
        <v>0</v>
      </c>
    </row>
    <row r="344">
      <c r="A344" t="str">
        <f t="shared" si="3"/>
        <v/>
      </c>
      <c r="C344">
        <f>countifs(Attendees!$D:$D,C$2,Attendees!$C:$C, $B344) </f>
        <v>0</v>
      </c>
      <c r="D344">
        <f>countifs(Attendees!$D:$D,D$2,Attendees!$C:$C, $B344) </f>
        <v>0</v>
      </c>
      <c r="E344">
        <f t="shared" si="2"/>
        <v>0</v>
      </c>
    </row>
    <row r="345">
      <c r="A345" t="str">
        <f t="shared" si="3"/>
        <v/>
      </c>
      <c r="C345">
        <f>countifs(Attendees!$D:$D,C$2,Attendees!$C:$C, $B345) </f>
        <v>0</v>
      </c>
      <c r="D345">
        <f>countifs(Attendees!$D:$D,D$2,Attendees!$C:$C, $B345) </f>
        <v>0</v>
      </c>
      <c r="E345">
        <f t="shared" si="2"/>
        <v>0</v>
      </c>
    </row>
    <row r="346">
      <c r="A346" t="str">
        <f t="shared" si="3"/>
        <v/>
      </c>
      <c r="C346">
        <f>countifs(Attendees!$D:$D,C$2,Attendees!$C:$C, $B346) </f>
        <v>0</v>
      </c>
      <c r="D346">
        <f>countifs(Attendees!$D:$D,D$2,Attendees!$C:$C, $B346) </f>
        <v>0</v>
      </c>
      <c r="E346">
        <f t="shared" si="2"/>
        <v>0</v>
      </c>
    </row>
    <row r="347">
      <c r="A347" t="str">
        <f t="shared" si="3"/>
        <v/>
      </c>
      <c r="C347">
        <f>countifs(Attendees!$D:$D,C$2,Attendees!$C:$C, $B347) </f>
        <v>0</v>
      </c>
      <c r="D347">
        <f>countifs(Attendees!$D:$D,D$2,Attendees!$C:$C, $B347) </f>
        <v>0</v>
      </c>
      <c r="E347">
        <f t="shared" si="2"/>
        <v>0</v>
      </c>
    </row>
    <row r="348">
      <c r="A348" t="str">
        <f t="shared" si="3"/>
        <v/>
      </c>
      <c r="C348">
        <f>countifs(Attendees!$D:$D,C$2,Attendees!$C:$C, $B348) </f>
        <v>0</v>
      </c>
      <c r="D348">
        <f>countifs(Attendees!$D:$D,D$2,Attendees!$C:$C, $B348) </f>
        <v>0</v>
      </c>
      <c r="E348">
        <f t="shared" si="2"/>
        <v>0</v>
      </c>
    </row>
    <row r="349">
      <c r="A349" t="str">
        <f t="shared" si="3"/>
        <v/>
      </c>
      <c r="C349">
        <f>countifs(Attendees!$D:$D,C$2,Attendees!$C:$C, $B349) </f>
        <v>0</v>
      </c>
      <c r="D349">
        <f>countifs(Attendees!$D:$D,D$2,Attendees!$C:$C, $B349) </f>
        <v>0</v>
      </c>
      <c r="E349">
        <f t="shared" si="2"/>
        <v>0</v>
      </c>
    </row>
    <row r="350">
      <c r="A350" t="str">
        <f t="shared" si="3"/>
        <v/>
      </c>
      <c r="C350">
        <f>countifs(Attendees!$D:$D,C$2,Attendees!$C:$C, $B350) </f>
        <v>0</v>
      </c>
      <c r="D350">
        <f>countifs(Attendees!$D:$D,D$2,Attendees!$C:$C, $B350) </f>
        <v>0</v>
      </c>
      <c r="E350">
        <f t="shared" si="2"/>
        <v>0</v>
      </c>
    </row>
    <row r="351">
      <c r="A351" t="str">
        <f t="shared" si="3"/>
        <v/>
      </c>
      <c r="C351">
        <f>countifs(Attendees!$D:$D,C$2,Attendees!$C:$C, $B351) </f>
        <v>0</v>
      </c>
      <c r="D351">
        <f>countifs(Attendees!$D:$D,D$2,Attendees!$C:$C, $B351) </f>
        <v>0</v>
      </c>
      <c r="E351">
        <f t="shared" si="2"/>
        <v>0</v>
      </c>
    </row>
    <row r="352">
      <c r="A352" t="str">
        <f t="shared" si="3"/>
        <v/>
      </c>
      <c r="C352">
        <f>countifs(Attendees!$D:$D,C$2,Attendees!$C:$C, $B352) </f>
        <v>0</v>
      </c>
      <c r="D352">
        <f>countifs(Attendees!$D:$D,D$2,Attendees!$C:$C, $B352) </f>
        <v>0</v>
      </c>
      <c r="E352">
        <f t="shared" si="2"/>
        <v>0</v>
      </c>
    </row>
    <row r="353">
      <c r="A353" t="str">
        <f t="shared" si="3"/>
        <v/>
      </c>
      <c r="C353">
        <f>countifs(Attendees!$D:$D,C$2,Attendees!$C:$C, $B353) </f>
        <v>0</v>
      </c>
      <c r="D353">
        <f>countifs(Attendees!$D:$D,D$2,Attendees!$C:$C, $B353) </f>
        <v>0</v>
      </c>
      <c r="E353">
        <f t="shared" si="2"/>
        <v>0</v>
      </c>
    </row>
    <row r="354">
      <c r="A354" t="str">
        <f t="shared" si="3"/>
        <v/>
      </c>
      <c r="C354">
        <f>countifs(Attendees!$D:$D,C$2,Attendees!$C:$C, $B354) </f>
        <v>0</v>
      </c>
      <c r="D354">
        <f>countifs(Attendees!$D:$D,D$2,Attendees!$C:$C, $B354) </f>
        <v>0</v>
      </c>
      <c r="E354">
        <f t="shared" si="2"/>
        <v>0</v>
      </c>
    </row>
    <row r="355">
      <c r="A355" t="str">
        <f t="shared" si="3"/>
        <v/>
      </c>
      <c r="C355">
        <f>countifs(Attendees!$D:$D,C$2,Attendees!$C:$C, $B355) </f>
        <v>0</v>
      </c>
      <c r="D355">
        <f>countifs(Attendees!$D:$D,D$2,Attendees!$C:$C, $B355) </f>
        <v>0</v>
      </c>
      <c r="E355">
        <f t="shared" si="2"/>
        <v>0</v>
      </c>
    </row>
    <row r="356">
      <c r="A356" t="str">
        <f t="shared" si="3"/>
        <v/>
      </c>
      <c r="C356">
        <f>countifs(Attendees!$D:$D,C$2,Attendees!$C:$C, $B356) </f>
        <v>0</v>
      </c>
      <c r="D356">
        <f>countifs(Attendees!$D:$D,D$2,Attendees!$C:$C, $B356) </f>
        <v>0</v>
      </c>
      <c r="E356">
        <f t="shared" si="2"/>
        <v>0</v>
      </c>
    </row>
    <row r="357">
      <c r="A357" t="str">
        <f t="shared" si="3"/>
        <v/>
      </c>
      <c r="C357">
        <f>countifs(Attendees!$D:$D,C$2,Attendees!$C:$C, $B357) </f>
        <v>0</v>
      </c>
      <c r="D357">
        <f>countifs(Attendees!$D:$D,D$2,Attendees!$C:$C, $B357) </f>
        <v>0</v>
      </c>
      <c r="E357">
        <f t="shared" si="2"/>
        <v>0</v>
      </c>
    </row>
    <row r="358">
      <c r="A358" t="str">
        <f t="shared" si="3"/>
        <v/>
      </c>
      <c r="C358">
        <f>countifs(Attendees!$D:$D,C$2,Attendees!$C:$C, $B358) </f>
        <v>0</v>
      </c>
      <c r="D358">
        <f>countifs(Attendees!$D:$D,D$2,Attendees!$C:$C, $B358) </f>
        <v>0</v>
      </c>
      <c r="E358">
        <f t="shared" si="2"/>
        <v>0</v>
      </c>
    </row>
    <row r="359">
      <c r="A359" t="str">
        <f t="shared" si="3"/>
        <v/>
      </c>
      <c r="C359">
        <f>countifs(Attendees!$D:$D,C$2,Attendees!$C:$C, $B359) </f>
        <v>0</v>
      </c>
      <c r="D359">
        <f>countifs(Attendees!$D:$D,D$2,Attendees!$C:$C, $B359) </f>
        <v>0</v>
      </c>
      <c r="E359">
        <f t="shared" si="2"/>
        <v>0</v>
      </c>
    </row>
    <row r="360">
      <c r="A360" t="str">
        <f t="shared" si="3"/>
        <v/>
      </c>
      <c r="C360">
        <f>countifs(Attendees!$D:$D,C$2,Attendees!$C:$C, $B360) </f>
        <v>0</v>
      </c>
      <c r="D360">
        <f>countifs(Attendees!$D:$D,D$2,Attendees!$C:$C, $B360) </f>
        <v>0</v>
      </c>
      <c r="E360">
        <f t="shared" si="2"/>
        <v>0</v>
      </c>
    </row>
    <row r="361">
      <c r="A361" t="str">
        <f t="shared" si="3"/>
        <v/>
      </c>
      <c r="C361">
        <f>countifs(Attendees!$D:$D,C$2,Attendees!$C:$C, $B361) </f>
        <v>0</v>
      </c>
      <c r="D361">
        <f>countifs(Attendees!$D:$D,D$2,Attendees!$C:$C, $B361) </f>
        <v>0</v>
      </c>
      <c r="E361">
        <f t="shared" si="2"/>
        <v>0</v>
      </c>
    </row>
    <row r="362">
      <c r="A362" t="str">
        <f t="shared" si="3"/>
        <v/>
      </c>
      <c r="C362">
        <f>countifs(Attendees!$D:$D,C$2,Attendees!$C:$C, $B362) </f>
        <v>0</v>
      </c>
      <c r="D362">
        <f>countifs(Attendees!$D:$D,D$2,Attendees!$C:$C, $B362) </f>
        <v>0</v>
      </c>
      <c r="E362">
        <f t="shared" si="2"/>
        <v>0</v>
      </c>
    </row>
    <row r="363">
      <c r="A363" t="str">
        <f t="shared" si="3"/>
        <v/>
      </c>
      <c r="C363">
        <f>countifs(Attendees!$D:$D,C$2,Attendees!$C:$C, $B363) </f>
        <v>0</v>
      </c>
      <c r="D363">
        <f>countifs(Attendees!$D:$D,D$2,Attendees!$C:$C, $B363) </f>
        <v>0</v>
      </c>
      <c r="E363">
        <f t="shared" si="2"/>
        <v>0</v>
      </c>
    </row>
    <row r="364">
      <c r="A364" t="str">
        <f t="shared" si="3"/>
        <v/>
      </c>
      <c r="C364">
        <f>countifs(Attendees!$D:$D,C$2,Attendees!$C:$C, $B364) </f>
        <v>0</v>
      </c>
      <c r="D364">
        <f>countifs(Attendees!$D:$D,D$2,Attendees!$C:$C, $B364) </f>
        <v>0</v>
      </c>
      <c r="E364">
        <f t="shared" si="2"/>
        <v>0</v>
      </c>
    </row>
    <row r="365">
      <c r="A365" t="str">
        <f t="shared" si="3"/>
        <v/>
      </c>
      <c r="C365">
        <f>countifs(Attendees!$D:$D,C$2,Attendees!$C:$C, $B365) </f>
        <v>0</v>
      </c>
      <c r="D365">
        <f>countifs(Attendees!$D:$D,D$2,Attendees!$C:$C, $B365) </f>
        <v>0</v>
      </c>
      <c r="E365">
        <f t="shared" si="2"/>
        <v>0</v>
      </c>
    </row>
    <row r="366">
      <c r="A366" t="str">
        <f t="shared" si="3"/>
        <v/>
      </c>
      <c r="C366">
        <f>countifs(Attendees!$D:$D,C$2,Attendees!$C:$C, $B366) </f>
        <v>0</v>
      </c>
      <c r="D366">
        <f>countifs(Attendees!$D:$D,D$2,Attendees!$C:$C, $B366) </f>
        <v>0</v>
      </c>
      <c r="E366">
        <f t="shared" si="2"/>
        <v>0</v>
      </c>
    </row>
    <row r="367">
      <c r="A367" t="str">
        <f t="shared" si="3"/>
        <v/>
      </c>
      <c r="C367">
        <f>countifs(Attendees!$D:$D,C$2,Attendees!$C:$C, $B367) </f>
        <v>0</v>
      </c>
      <c r="D367">
        <f>countifs(Attendees!$D:$D,D$2,Attendees!$C:$C, $B367) </f>
        <v>0</v>
      </c>
      <c r="E367">
        <f t="shared" si="2"/>
        <v>0</v>
      </c>
    </row>
    <row r="368">
      <c r="A368" t="str">
        <f t="shared" si="3"/>
        <v/>
      </c>
      <c r="C368">
        <f>countifs(Attendees!$D:$D,C$2,Attendees!$C:$C, $B368) </f>
        <v>0</v>
      </c>
      <c r="D368">
        <f>countifs(Attendees!$D:$D,D$2,Attendees!$C:$C, $B368) </f>
        <v>0</v>
      </c>
      <c r="E368">
        <f t="shared" si="2"/>
        <v>0</v>
      </c>
    </row>
    <row r="369">
      <c r="A369" t="str">
        <f t="shared" si="3"/>
        <v/>
      </c>
      <c r="C369">
        <f>countifs(Attendees!$D:$D,C$2,Attendees!$C:$C, $B369) </f>
        <v>0</v>
      </c>
      <c r="D369">
        <f>countifs(Attendees!$D:$D,D$2,Attendees!$C:$C, $B369) </f>
        <v>0</v>
      </c>
      <c r="E369">
        <f t="shared" si="2"/>
        <v>0</v>
      </c>
    </row>
    <row r="370">
      <c r="A370" t="str">
        <f t="shared" si="3"/>
        <v/>
      </c>
      <c r="C370">
        <f>countifs(Attendees!$D:$D,C$2,Attendees!$C:$C, $B370) </f>
        <v>0</v>
      </c>
      <c r="D370">
        <f>countifs(Attendees!$D:$D,D$2,Attendees!$C:$C, $B370) </f>
        <v>0</v>
      </c>
      <c r="E370">
        <f t="shared" si="2"/>
        <v>0</v>
      </c>
    </row>
    <row r="371">
      <c r="A371" t="str">
        <f t="shared" si="3"/>
        <v/>
      </c>
      <c r="C371">
        <f>countifs(Attendees!$D:$D,C$2,Attendees!$C:$C, $B371) </f>
        <v>0</v>
      </c>
      <c r="D371">
        <f>countifs(Attendees!$D:$D,D$2,Attendees!$C:$C, $B371) </f>
        <v>0</v>
      </c>
      <c r="E371">
        <f t="shared" si="2"/>
        <v>0</v>
      </c>
    </row>
    <row r="372">
      <c r="A372" t="str">
        <f t="shared" si="3"/>
        <v/>
      </c>
      <c r="C372">
        <f>countifs(Attendees!$D:$D,C$2,Attendees!$C:$C, $B372) </f>
        <v>0</v>
      </c>
      <c r="D372">
        <f>countifs(Attendees!$D:$D,D$2,Attendees!$C:$C, $B372) </f>
        <v>0</v>
      </c>
      <c r="E372">
        <f t="shared" si="2"/>
        <v>0</v>
      </c>
    </row>
    <row r="373">
      <c r="A373" t="str">
        <f t="shared" si="3"/>
        <v/>
      </c>
      <c r="C373">
        <f>countifs(Attendees!$D:$D,C$2,Attendees!$C:$C, $B373) </f>
        <v>0</v>
      </c>
      <c r="D373">
        <f>countifs(Attendees!$D:$D,D$2,Attendees!$C:$C, $B373) </f>
        <v>0</v>
      </c>
      <c r="E373">
        <f t="shared" si="2"/>
        <v>0</v>
      </c>
    </row>
    <row r="374">
      <c r="A374" t="str">
        <f t="shared" si="3"/>
        <v/>
      </c>
      <c r="C374">
        <f>countifs(Attendees!$D:$D,C$2,Attendees!$C:$C, $B374) </f>
        <v>0</v>
      </c>
      <c r="D374">
        <f>countifs(Attendees!$D:$D,D$2,Attendees!$C:$C, $B374) </f>
        <v>0</v>
      </c>
      <c r="E374">
        <f t="shared" si="2"/>
        <v>0</v>
      </c>
    </row>
    <row r="375">
      <c r="A375" t="str">
        <f t="shared" si="3"/>
        <v/>
      </c>
      <c r="C375">
        <f>countifs(Attendees!$D:$D,C$2,Attendees!$C:$C, $B375) </f>
        <v>0</v>
      </c>
      <c r="D375">
        <f>countifs(Attendees!$D:$D,D$2,Attendees!$C:$C, $B375) </f>
        <v>0</v>
      </c>
      <c r="E375">
        <f t="shared" si="2"/>
        <v>0</v>
      </c>
    </row>
    <row r="376">
      <c r="A376" t="str">
        <f t="shared" si="3"/>
        <v/>
      </c>
      <c r="C376">
        <f>countifs(Attendees!$D:$D,C$2,Attendees!$C:$C, $B376) </f>
        <v>0</v>
      </c>
      <c r="D376">
        <f>countifs(Attendees!$D:$D,D$2,Attendees!$C:$C, $B376) </f>
        <v>0</v>
      </c>
      <c r="E376">
        <f t="shared" si="2"/>
        <v>0</v>
      </c>
    </row>
    <row r="377">
      <c r="A377" t="str">
        <f t="shared" si="3"/>
        <v/>
      </c>
      <c r="C377">
        <f>countifs(Attendees!$D:$D,C$2,Attendees!$C:$C, $B377) </f>
        <v>0</v>
      </c>
      <c r="D377">
        <f>countifs(Attendees!$D:$D,D$2,Attendees!$C:$C, $B377) </f>
        <v>0</v>
      </c>
      <c r="E377">
        <f t="shared" si="2"/>
        <v>0</v>
      </c>
    </row>
    <row r="378">
      <c r="A378" t="str">
        <f t="shared" si="3"/>
        <v/>
      </c>
      <c r="C378">
        <f>countifs(Attendees!$D:$D,C$2,Attendees!$C:$C, $B378) </f>
        <v>0</v>
      </c>
      <c r="D378">
        <f>countifs(Attendees!$D:$D,D$2,Attendees!$C:$C, $B378) </f>
        <v>0</v>
      </c>
      <c r="E378">
        <f t="shared" si="2"/>
        <v>0</v>
      </c>
    </row>
    <row r="379">
      <c r="A379" t="str">
        <f t="shared" si="3"/>
        <v/>
      </c>
      <c r="C379">
        <f>countifs(Attendees!$D:$D,C$2,Attendees!$C:$C, $B379) </f>
        <v>0</v>
      </c>
      <c r="D379">
        <f>countifs(Attendees!$D:$D,D$2,Attendees!$C:$C, $B379) </f>
        <v>0</v>
      </c>
      <c r="E379">
        <f t="shared" si="2"/>
        <v>0</v>
      </c>
    </row>
    <row r="380">
      <c r="A380" t="str">
        <f t="shared" si="3"/>
        <v/>
      </c>
      <c r="C380">
        <f>countifs(Attendees!$D:$D,C$2,Attendees!$C:$C, $B380) </f>
        <v>0</v>
      </c>
      <c r="D380">
        <f>countifs(Attendees!$D:$D,D$2,Attendees!$C:$C, $B380) </f>
        <v>0</v>
      </c>
      <c r="E380">
        <f t="shared" si="2"/>
        <v>0</v>
      </c>
    </row>
    <row r="381">
      <c r="A381" t="str">
        <f t="shared" si="3"/>
        <v/>
      </c>
      <c r="C381">
        <f>countifs(Attendees!$D:$D,C$2,Attendees!$C:$C, $B381) </f>
        <v>0</v>
      </c>
      <c r="D381">
        <f>countifs(Attendees!$D:$D,D$2,Attendees!$C:$C, $B381) </f>
        <v>0</v>
      </c>
      <c r="E381">
        <f t="shared" si="2"/>
        <v>0</v>
      </c>
    </row>
    <row r="382">
      <c r="A382" t="str">
        <f t="shared" si="3"/>
        <v/>
      </c>
      <c r="C382">
        <f>countifs(Attendees!$D:$D,C$2,Attendees!$C:$C, $B382) </f>
        <v>0</v>
      </c>
      <c r="D382">
        <f>countifs(Attendees!$D:$D,D$2,Attendees!$C:$C, $B382) </f>
        <v>0</v>
      </c>
      <c r="E382">
        <f t="shared" si="2"/>
        <v>0</v>
      </c>
    </row>
    <row r="383">
      <c r="A383" t="str">
        <f t="shared" si="3"/>
        <v/>
      </c>
      <c r="C383">
        <f>countifs(Attendees!$D:$D,C$2,Attendees!$C:$C, $B383) </f>
        <v>0</v>
      </c>
      <c r="D383">
        <f>countifs(Attendees!$D:$D,D$2,Attendees!$C:$C, $B383) </f>
        <v>0</v>
      </c>
      <c r="E383">
        <f t="shared" si="2"/>
        <v>0</v>
      </c>
    </row>
    <row r="384">
      <c r="A384" t="str">
        <f t="shared" si="3"/>
        <v/>
      </c>
      <c r="C384">
        <f>countifs(Attendees!$D:$D,C$2,Attendees!$C:$C, $B384) </f>
        <v>0</v>
      </c>
      <c r="D384">
        <f>countifs(Attendees!$D:$D,D$2,Attendees!$C:$C, $B384) </f>
        <v>0</v>
      </c>
      <c r="E384">
        <f t="shared" si="2"/>
        <v>0</v>
      </c>
    </row>
    <row r="385">
      <c r="A385" t="str">
        <f t="shared" si="3"/>
        <v/>
      </c>
      <c r="C385">
        <f>countifs(Attendees!$D:$D,C$2,Attendees!$C:$C, $B385) </f>
        <v>0</v>
      </c>
      <c r="D385">
        <f>countifs(Attendees!$D:$D,D$2,Attendees!$C:$C, $B385) </f>
        <v>0</v>
      </c>
      <c r="E385">
        <f t="shared" si="2"/>
        <v>0</v>
      </c>
    </row>
    <row r="386">
      <c r="A386" t="str">
        <f t="shared" si="3"/>
        <v/>
      </c>
      <c r="C386">
        <f>countifs(Attendees!$D:$D,C$2,Attendees!$C:$C, $B386) </f>
        <v>0</v>
      </c>
      <c r="D386">
        <f>countifs(Attendees!$D:$D,D$2,Attendees!$C:$C, $B386) </f>
        <v>0</v>
      </c>
      <c r="E386">
        <f t="shared" si="2"/>
        <v>0</v>
      </c>
    </row>
    <row r="387">
      <c r="A387" t="str">
        <f t="shared" si="3"/>
        <v/>
      </c>
      <c r="C387">
        <f>countifs(Attendees!$D:$D,C$2,Attendees!$C:$C, $B387) </f>
        <v>0</v>
      </c>
      <c r="D387">
        <f>countifs(Attendees!$D:$D,D$2,Attendees!$C:$C, $B387) </f>
        <v>0</v>
      </c>
      <c r="E387">
        <f t="shared" si="2"/>
        <v>0</v>
      </c>
    </row>
    <row r="388">
      <c r="A388" t="str">
        <f t="shared" si="3"/>
        <v/>
      </c>
      <c r="C388">
        <f>countifs(Attendees!$D:$D,C$2,Attendees!$C:$C, $B388) </f>
        <v>0</v>
      </c>
      <c r="D388">
        <f>countifs(Attendees!$D:$D,D$2,Attendees!$C:$C, $B388) </f>
        <v>0</v>
      </c>
      <c r="E388">
        <f t="shared" si="2"/>
        <v>0</v>
      </c>
    </row>
    <row r="389">
      <c r="A389" t="str">
        <f t="shared" si="3"/>
        <v/>
      </c>
      <c r="C389">
        <f>countifs(Attendees!$D:$D,C$2,Attendees!$C:$C, $B389) </f>
        <v>0</v>
      </c>
      <c r="D389">
        <f>countifs(Attendees!$D:$D,D$2,Attendees!$C:$C, $B389) </f>
        <v>0</v>
      </c>
      <c r="E389">
        <f t="shared" si="2"/>
        <v>0</v>
      </c>
    </row>
    <row r="390">
      <c r="A390" t="str">
        <f t="shared" si="3"/>
        <v/>
      </c>
      <c r="C390">
        <f>countifs(Attendees!$D:$D,C$2,Attendees!$C:$C, $B390) </f>
        <v>0</v>
      </c>
      <c r="D390">
        <f>countifs(Attendees!$D:$D,D$2,Attendees!$C:$C, $B390) </f>
        <v>0</v>
      </c>
      <c r="E390">
        <f t="shared" si="2"/>
        <v>0</v>
      </c>
    </row>
    <row r="391">
      <c r="A391" t="str">
        <f t="shared" si="3"/>
        <v/>
      </c>
      <c r="C391">
        <f>countifs(Attendees!$D:$D,C$2,Attendees!$C:$C, $B391) </f>
        <v>0</v>
      </c>
      <c r="D391">
        <f>countifs(Attendees!$D:$D,D$2,Attendees!$C:$C, $B391) </f>
        <v>0</v>
      </c>
      <c r="E391">
        <f t="shared" si="2"/>
        <v>0</v>
      </c>
    </row>
    <row r="392">
      <c r="A392" t="str">
        <f t="shared" si="3"/>
        <v/>
      </c>
      <c r="C392">
        <f>countifs(Attendees!$D:$D,C$2,Attendees!$C:$C, $B392) </f>
        <v>0</v>
      </c>
      <c r="D392">
        <f>countifs(Attendees!$D:$D,D$2,Attendees!$C:$C, $B392) </f>
        <v>0</v>
      </c>
      <c r="E392">
        <f t="shared" si="2"/>
        <v>0</v>
      </c>
    </row>
    <row r="393">
      <c r="A393" t="str">
        <f t="shared" si="3"/>
        <v/>
      </c>
      <c r="C393">
        <f>countifs(Attendees!$D:$D,C$2,Attendees!$C:$C, $B393) </f>
        <v>0</v>
      </c>
      <c r="D393">
        <f>countifs(Attendees!$D:$D,D$2,Attendees!$C:$C, $B393) </f>
        <v>0</v>
      </c>
      <c r="E393">
        <f t="shared" si="2"/>
        <v>0</v>
      </c>
    </row>
    <row r="394">
      <c r="A394" t="str">
        <f t="shared" si="3"/>
        <v/>
      </c>
      <c r="C394">
        <f>countifs(Attendees!$D:$D,C$2,Attendees!$C:$C, $B394) </f>
        <v>0</v>
      </c>
      <c r="D394">
        <f>countifs(Attendees!$D:$D,D$2,Attendees!$C:$C, $B394) </f>
        <v>0</v>
      </c>
      <c r="E394">
        <f t="shared" si="2"/>
        <v>0</v>
      </c>
    </row>
    <row r="395">
      <c r="A395" t="str">
        <f t="shared" si="3"/>
        <v/>
      </c>
      <c r="C395">
        <f>countifs(Attendees!$D:$D,C$2,Attendees!$C:$C, $B395) </f>
        <v>0</v>
      </c>
      <c r="D395">
        <f>countifs(Attendees!$D:$D,D$2,Attendees!$C:$C, $B395) </f>
        <v>0</v>
      </c>
      <c r="E395">
        <f t="shared" si="2"/>
        <v>0</v>
      </c>
    </row>
    <row r="396">
      <c r="A396" t="str">
        <f t="shared" si="3"/>
        <v/>
      </c>
      <c r="C396">
        <f>countifs(Attendees!$D:$D,C$2,Attendees!$C:$C, $B396) </f>
        <v>0</v>
      </c>
      <c r="D396">
        <f>countifs(Attendees!$D:$D,D$2,Attendees!$C:$C, $B396) </f>
        <v>0</v>
      </c>
      <c r="E396">
        <f t="shared" si="2"/>
        <v>0</v>
      </c>
    </row>
    <row r="397">
      <c r="A397" t="str">
        <f t="shared" si="3"/>
        <v/>
      </c>
      <c r="C397">
        <f>countifs(Attendees!$D:$D,C$2,Attendees!$C:$C, $B397) </f>
        <v>0</v>
      </c>
      <c r="D397">
        <f>countifs(Attendees!$D:$D,D$2,Attendees!$C:$C, $B397) </f>
        <v>0</v>
      </c>
      <c r="E397">
        <f t="shared" si="2"/>
        <v>0</v>
      </c>
    </row>
    <row r="398">
      <c r="A398" t="str">
        <f t="shared" si="3"/>
        <v/>
      </c>
      <c r="C398">
        <f>countifs(Attendees!$D:$D,C$2,Attendees!$C:$C, $B398) </f>
        <v>0</v>
      </c>
      <c r="D398">
        <f>countifs(Attendees!$D:$D,D$2,Attendees!$C:$C, $B398) </f>
        <v>0</v>
      </c>
      <c r="E398">
        <f t="shared" si="2"/>
        <v>0</v>
      </c>
    </row>
    <row r="399">
      <c r="A399" t="str">
        <f t="shared" si="3"/>
        <v/>
      </c>
      <c r="C399">
        <f>countifs(Attendees!$D:$D,C$2,Attendees!$C:$C, $B399) </f>
        <v>0</v>
      </c>
      <c r="D399">
        <f>countifs(Attendees!$D:$D,D$2,Attendees!$C:$C, $B399) </f>
        <v>0</v>
      </c>
      <c r="E399">
        <f t="shared" si="2"/>
        <v>0</v>
      </c>
    </row>
    <row r="400">
      <c r="A400" t="str">
        <f t="shared" si="3"/>
        <v/>
      </c>
      <c r="C400">
        <f>countifs(Attendees!$D:$D,C$2,Attendees!$C:$C, $B400) </f>
        <v>0</v>
      </c>
      <c r="D400">
        <f>countifs(Attendees!$D:$D,D$2,Attendees!$C:$C, $B400) </f>
        <v>0</v>
      </c>
      <c r="E400">
        <f t="shared" si="2"/>
        <v>0</v>
      </c>
    </row>
    <row r="401">
      <c r="A401" t="str">
        <f t="shared" si="3"/>
        <v/>
      </c>
      <c r="C401">
        <f>countifs(Attendees!$D:$D,C$2,Attendees!$C:$C, $B401) </f>
        <v>0</v>
      </c>
      <c r="D401">
        <f>countifs(Attendees!$D:$D,D$2,Attendees!$C:$C, $B401) </f>
        <v>0</v>
      </c>
      <c r="E401">
        <f t="shared" si="2"/>
        <v>0</v>
      </c>
    </row>
    <row r="402">
      <c r="A402" t="str">
        <f t="shared" si="3"/>
        <v/>
      </c>
      <c r="C402">
        <f>countifs(Attendees!$D:$D,C$2,Attendees!$C:$C, $B402) </f>
        <v>0</v>
      </c>
      <c r="D402">
        <f>countifs(Attendees!$D:$D,D$2,Attendees!$C:$C, $B402) </f>
        <v>0</v>
      </c>
      <c r="E402">
        <f t="shared" si="2"/>
        <v>0</v>
      </c>
    </row>
    <row r="403">
      <c r="A403" t="str">
        <f t="shared" si="3"/>
        <v/>
      </c>
      <c r="C403">
        <f>countifs(Attendees!$D:$D,C$2,Attendees!$C:$C, $B403) </f>
        <v>0</v>
      </c>
      <c r="D403">
        <f>countifs(Attendees!$D:$D,D$2,Attendees!$C:$C, $B403) </f>
        <v>0</v>
      </c>
      <c r="E403">
        <f t="shared" si="2"/>
        <v>0</v>
      </c>
    </row>
    <row r="404">
      <c r="A404" t="str">
        <f t="shared" si="3"/>
        <v/>
      </c>
      <c r="C404">
        <f>countifs(Attendees!$D:$D,C$2,Attendees!$C:$C, $B404) </f>
        <v>0</v>
      </c>
      <c r="D404">
        <f>countifs(Attendees!$D:$D,D$2,Attendees!$C:$C, $B404) </f>
        <v>0</v>
      </c>
      <c r="E404">
        <f t="shared" si="2"/>
        <v>0</v>
      </c>
    </row>
    <row r="405">
      <c r="A405" t="str">
        <f t="shared" si="3"/>
        <v/>
      </c>
      <c r="C405">
        <f>countifs(Attendees!$D:$D,C$2,Attendees!$C:$C, $B405) </f>
        <v>0</v>
      </c>
      <c r="D405">
        <f>countifs(Attendees!$D:$D,D$2,Attendees!$C:$C, $B405) </f>
        <v>0</v>
      </c>
      <c r="E405">
        <f t="shared" si="2"/>
        <v>0</v>
      </c>
    </row>
    <row r="406">
      <c r="A406" t="str">
        <f t="shared" si="3"/>
        <v/>
      </c>
      <c r="C406">
        <f>countifs(Attendees!$D:$D,C$2,Attendees!$C:$C, $B406) </f>
        <v>0</v>
      </c>
      <c r="D406">
        <f>countifs(Attendees!$D:$D,D$2,Attendees!$C:$C, $B406) </f>
        <v>0</v>
      </c>
      <c r="E406">
        <f t="shared" si="2"/>
        <v>0</v>
      </c>
    </row>
    <row r="407">
      <c r="A407" t="str">
        <f t="shared" si="3"/>
        <v/>
      </c>
      <c r="C407">
        <f>countifs(Attendees!$D:$D,C$2,Attendees!$C:$C, $B407) </f>
        <v>0</v>
      </c>
      <c r="D407">
        <f>countifs(Attendees!$D:$D,D$2,Attendees!$C:$C, $B407) </f>
        <v>0</v>
      </c>
      <c r="E407">
        <f t="shared" si="2"/>
        <v>0</v>
      </c>
    </row>
    <row r="408">
      <c r="A408" t="str">
        <f t="shared" si="3"/>
        <v/>
      </c>
      <c r="C408">
        <f>countifs(Attendees!$D:$D,C$2,Attendees!$C:$C, $B408) </f>
        <v>0</v>
      </c>
      <c r="D408">
        <f>countifs(Attendees!$D:$D,D$2,Attendees!$C:$C, $B408) </f>
        <v>0</v>
      </c>
      <c r="E408">
        <f t="shared" si="2"/>
        <v>0</v>
      </c>
    </row>
    <row r="409">
      <c r="A409" t="str">
        <f t="shared" si="3"/>
        <v/>
      </c>
      <c r="C409">
        <f>countifs(Attendees!$D:$D,C$2,Attendees!$C:$C, $B409) </f>
        <v>0</v>
      </c>
      <c r="D409">
        <f>countifs(Attendees!$D:$D,D$2,Attendees!$C:$C, $B409) </f>
        <v>0</v>
      </c>
      <c r="E409">
        <f t="shared" si="2"/>
        <v>0</v>
      </c>
    </row>
    <row r="410">
      <c r="A410" t="str">
        <f t="shared" si="3"/>
        <v/>
      </c>
      <c r="C410">
        <f>countifs(Attendees!$D:$D,C$2,Attendees!$C:$C, $B410) </f>
        <v>0</v>
      </c>
      <c r="D410">
        <f>countifs(Attendees!$D:$D,D$2,Attendees!$C:$C, $B410) </f>
        <v>0</v>
      </c>
      <c r="E410">
        <f t="shared" si="2"/>
        <v>0</v>
      </c>
    </row>
    <row r="411">
      <c r="A411" t="str">
        <f t="shared" si="3"/>
        <v/>
      </c>
      <c r="C411">
        <f>countifs(Attendees!$D:$D,C$2,Attendees!$C:$C, $B411) </f>
        <v>0</v>
      </c>
      <c r="D411">
        <f>countifs(Attendees!$D:$D,D$2,Attendees!$C:$C, $B411) </f>
        <v>0</v>
      </c>
      <c r="E411">
        <f t="shared" si="2"/>
        <v>0</v>
      </c>
    </row>
    <row r="412">
      <c r="A412" t="str">
        <f t="shared" si="3"/>
        <v/>
      </c>
      <c r="C412">
        <f>countifs(Attendees!$D:$D,C$2,Attendees!$C:$C, $B412) </f>
        <v>0</v>
      </c>
      <c r="D412">
        <f>countifs(Attendees!$D:$D,D$2,Attendees!$C:$C, $B412) </f>
        <v>0</v>
      </c>
      <c r="E412">
        <f t="shared" si="2"/>
        <v>0</v>
      </c>
    </row>
    <row r="413">
      <c r="A413" t="str">
        <f t="shared" si="3"/>
        <v/>
      </c>
      <c r="C413">
        <f>countifs(Attendees!$D:$D,C$2,Attendees!$C:$C, $B413) </f>
        <v>0</v>
      </c>
      <c r="D413">
        <f>countifs(Attendees!$D:$D,D$2,Attendees!$C:$C, $B413) </f>
        <v>0</v>
      </c>
      <c r="E413">
        <f t="shared" si="2"/>
        <v>0</v>
      </c>
    </row>
    <row r="414">
      <c r="A414" t="str">
        <f t="shared" si="3"/>
        <v/>
      </c>
      <c r="C414">
        <f>countifs(Attendees!$D:$D,C$2,Attendees!$C:$C, $B414) </f>
        <v>0</v>
      </c>
      <c r="D414">
        <f>countifs(Attendees!$D:$D,D$2,Attendees!$C:$C, $B414) </f>
        <v>0</v>
      </c>
      <c r="E414">
        <f t="shared" si="2"/>
        <v>0</v>
      </c>
    </row>
    <row r="415">
      <c r="A415" t="str">
        <f t="shared" si="3"/>
        <v/>
      </c>
      <c r="C415">
        <f>countifs(Attendees!$D:$D,C$2,Attendees!$C:$C, $B415) </f>
        <v>0</v>
      </c>
      <c r="D415">
        <f>countifs(Attendees!$D:$D,D$2,Attendees!$C:$C, $B415) </f>
        <v>0</v>
      </c>
      <c r="E415">
        <f t="shared" si="2"/>
        <v>0</v>
      </c>
    </row>
    <row r="416">
      <c r="A416" t="str">
        <f t="shared" si="3"/>
        <v/>
      </c>
      <c r="C416">
        <f>countifs(Attendees!$D:$D,C$2,Attendees!$C:$C, $B416) </f>
        <v>0</v>
      </c>
      <c r="D416">
        <f>countifs(Attendees!$D:$D,D$2,Attendees!$C:$C, $B416) </f>
        <v>0</v>
      </c>
      <c r="E416">
        <f t="shared" si="2"/>
        <v>0</v>
      </c>
    </row>
    <row r="417">
      <c r="A417" t="str">
        <f t="shared" si="3"/>
        <v/>
      </c>
      <c r="C417">
        <f>countifs(Attendees!$D:$D,C$2,Attendees!$C:$C, $B417) </f>
        <v>0</v>
      </c>
      <c r="D417">
        <f>countifs(Attendees!$D:$D,D$2,Attendees!$C:$C, $B417) </f>
        <v>0</v>
      </c>
      <c r="E417">
        <f t="shared" si="2"/>
        <v>0</v>
      </c>
    </row>
    <row r="418">
      <c r="A418" t="str">
        <f t="shared" si="3"/>
        <v/>
      </c>
      <c r="C418">
        <f>countifs(Attendees!$D:$D,C$2,Attendees!$C:$C, $B418) </f>
        <v>0</v>
      </c>
      <c r="D418">
        <f>countifs(Attendees!$D:$D,D$2,Attendees!$C:$C, $B418) </f>
        <v>0</v>
      </c>
      <c r="E418">
        <f t="shared" si="2"/>
        <v>0</v>
      </c>
    </row>
    <row r="419">
      <c r="A419" t="str">
        <f t="shared" si="3"/>
        <v/>
      </c>
      <c r="C419">
        <f>countifs(Attendees!$D:$D,C$2,Attendees!$C:$C, $B419) </f>
        <v>0</v>
      </c>
      <c r="D419">
        <f>countifs(Attendees!$D:$D,D$2,Attendees!$C:$C, $B419) </f>
        <v>0</v>
      </c>
      <c r="E419">
        <f t="shared" si="2"/>
        <v>0</v>
      </c>
    </row>
    <row r="420">
      <c r="A420" t="str">
        <f t="shared" si="3"/>
        <v/>
      </c>
      <c r="C420">
        <f>countifs(Attendees!$D:$D,C$2,Attendees!$C:$C, $B420) </f>
        <v>0</v>
      </c>
      <c r="D420">
        <f>countifs(Attendees!$D:$D,D$2,Attendees!$C:$C, $B420) </f>
        <v>0</v>
      </c>
      <c r="E420">
        <f t="shared" si="2"/>
        <v>0</v>
      </c>
    </row>
    <row r="421">
      <c r="A421" t="str">
        <f t="shared" si="3"/>
        <v/>
      </c>
      <c r="C421">
        <f>countifs(Attendees!$D:$D,C$2,Attendees!$C:$C, $B421) </f>
        <v>0</v>
      </c>
      <c r="D421">
        <f>countifs(Attendees!$D:$D,D$2,Attendees!$C:$C, $B421) </f>
        <v>0</v>
      </c>
      <c r="E421">
        <f t="shared" si="2"/>
        <v>0</v>
      </c>
    </row>
    <row r="422">
      <c r="A422" t="str">
        <f t="shared" si="3"/>
        <v/>
      </c>
      <c r="C422">
        <f>countifs(Attendees!$D:$D,C$2,Attendees!$C:$C, $B422) </f>
        <v>0</v>
      </c>
      <c r="D422">
        <f>countifs(Attendees!$D:$D,D$2,Attendees!$C:$C, $B422) </f>
        <v>0</v>
      </c>
      <c r="E422">
        <f t="shared" si="2"/>
        <v>0</v>
      </c>
    </row>
    <row r="423">
      <c r="A423" t="str">
        <f t="shared" si="3"/>
        <v/>
      </c>
      <c r="C423">
        <f>countifs(Attendees!$D:$D,C$2,Attendees!$C:$C, $B423) </f>
        <v>0</v>
      </c>
      <c r="D423">
        <f>countifs(Attendees!$D:$D,D$2,Attendees!$C:$C, $B423) </f>
        <v>0</v>
      </c>
      <c r="E423">
        <f t="shared" si="2"/>
        <v>0</v>
      </c>
    </row>
    <row r="424">
      <c r="A424" t="str">
        <f t="shared" si="3"/>
        <v/>
      </c>
      <c r="C424">
        <f>countifs(Attendees!$D:$D,C$2,Attendees!$C:$C, $B424) </f>
        <v>0</v>
      </c>
      <c r="D424">
        <f>countifs(Attendees!$D:$D,D$2,Attendees!$C:$C, $B424) </f>
        <v>0</v>
      </c>
      <c r="E424">
        <f t="shared" si="2"/>
        <v>0</v>
      </c>
    </row>
    <row r="425">
      <c r="A425" t="str">
        <f t="shared" si="3"/>
        <v/>
      </c>
      <c r="C425">
        <f>countifs(Attendees!$D:$D,C$2,Attendees!$C:$C, $B425) </f>
        <v>0</v>
      </c>
      <c r="D425">
        <f>countifs(Attendees!$D:$D,D$2,Attendees!$C:$C, $B425) </f>
        <v>0</v>
      </c>
      <c r="E425">
        <f t="shared" si="2"/>
        <v>0</v>
      </c>
    </row>
    <row r="426">
      <c r="A426" t="str">
        <f t="shared" si="3"/>
        <v/>
      </c>
      <c r="C426">
        <f>countifs(Attendees!$D:$D,C$2,Attendees!$C:$C, $B426) </f>
        <v>0</v>
      </c>
      <c r="D426">
        <f>countifs(Attendees!$D:$D,D$2,Attendees!$C:$C, $B426) </f>
        <v>0</v>
      </c>
      <c r="E426">
        <f t="shared" si="2"/>
        <v>0</v>
      </c>
    </row>
    <row r="427">
      <c r="A427" t="str">
        <f t="shared" si="3"/>
        <v/>
      </c>
      <c r="C427">
        <f>countifs(Attendees!$D:$D,C$2,Attendees!$C:$C, $B427) </f>
        <v>0</v>
      </c>
      <c r="D427">
        <f>countifs(Attendees!$D:$D,D$2,Attendees!$C:$C, $B427) </f>
        <v>0</v>
      </c>
      <c r="E427">
        <f t="shared" si="2"/>
        <v>0</v>
      </c>
    </row>
    <row r="428">
      <c r="A428" t="str">
        <f t="shared" si="3"/>
        <v/>
      </c>
      <c r="C428">
        <f>countifs(Attendees!$D:$D,C$2,Attendees!$C:$C, $B428) </f>
        <v>0</v>
      </c>
      <c r="D428">
        <f>countifs(Attendees!$D:$D,D$2,Attendees!$C:$C, $B428) </f>
        <v>0</v>
      </c>
      <c r="E428">
        <f t="shared" si="2"/>
        <v>0</v>
      </c>
    </row>
    <row r="429">
      <c r="A429" t="str">
        <f t="shared" si="3"/>
        <v/>
      </c>
      <c r="C429">
        <f>countifs(Attendees!$D:$D,C$2,Attendees!$C:$C, $B429) </f>
        <v>0</v>
      </c>
      <c r="D429">
        <f>countifs(Attendees!$D:$D,D$2,Attendees!$C:$C, $B429) </f>
        <v>0</v>
      </c>
      <c r="E429">
        <f t="shared" si="2"/>
        <v>0</v>
      </c>
    </row>
    <row r="430">
      <c r="A430" t="str">
        <f t="shared" si="3"/>
        <v/>
      </c>
      <c r="C430">
        <f>countifs(Attendees!$D:$D,C$2,Attendees!$C:$C, $B430) </f>
        <v>0</v>
      </c>
      <c r="D430">
        <f>countifs(Attendees!$D:$D,D$2,Attendees!$C:$C, $B430) </f>
        <v>0</v>
      </c>
      <c r="E430">
        <f t="shared" si="2"/>
        <v>0</v>
      </c>
    </row>
    <row r="431">
      <c r="A431" t="str">
        <f t="shared" si="3"/>
        <v/>
      </c>
      <c r="C431">
        <f>countifs(Attendees!$D:$D,C$2,Attendees!$C:$C, $B431) </f>
        <v>0</v>
      </c>
      <c r="D431">
        <f>countifs(Attendees!$D:$D,D$2,Attendees!$C:$C, $B431) </f>
        <v>0</v>
      </c>
      <c r="E431">
        <f t="shared" si="2"/>
        <v>0</v>
      </c>
    </row>
    <row r="432">
      <c r="A432" t="str">
        <f t="shared" si="3"/>
        <v/>
      </c>
      <c r="C432">
        <f>countifs(Attendees!$D:$D,C$2,Attendees!$C:$C, $B432) </f>
        <v>0</v>
      </c>
      <c r="D432">
        <f>countifs(Attendees!$D:$D,D$2,Attendees!$C:$C, $B432) </f>
        <v>0</v>
      </c>
      <c r="E432">
        <f t="shared" si="2"/>
        <v>0</v>
      </c>
    </row>
    <row r="433">
      <c r="A433" t="str">
        <f t="shared" si="3"/>
        <v/>
      </c>
      <c r="C433">
        <f>countifs(Attendees!$D:$D,C$2,Attendees!$C:$C, $B433) </f>
        <v>0</v>
      </c>
      <c r="D433">
        <f>countifs(Attendees!$D:$D,D$2,Attendees!$C:$C, $B433) </f>
        <v>0</v>
      </c>
      <c r="E433">
        <f t="shared" si="2"/>
        <v>0</v>
      </c>
    </row>
    <row r="434">
      <c r="A434" t="str">
        <f t="shared" si="3"/>
        <v/>
      </c>
      <c r="C434">
        <f>countifs(Attendees!$D:$D,C$2,Attendees!$C:$C, $B434) </f>
        <v>0</v>
      </c>
      <c r="D434">
        <f>countifs(Attendees!$D:$D,D$2,Attendees!$C:$C, $B434) </f>
        <v>0</v>
      </c>
      <c r="E434">
        <f t="shared" si="2"/>
        <v>0</v>
      </c>
    </row>
    <row r="435">
      <c r="A435" t="str">
        <f t="shared" si="3"/>
        <v/>
      </c>
      <c r="C435">
        <f>countifs(Attendees!$D:$D,C$2,Attendees!$C:$C, $B435) </f>
        <v>0</v>
      </c>
      <c r="D435">
        <f>countifs(Attendees!$D:$D,D$2,Attendees!$C:$C, $B435) </f>
        <v>0</v>
      </c>
      <c r="E435">
        <f t="shared" si="2"/>
        <v>0</v>
      </c>
    </row>
    <row r="436">
      <c r="A436" t="str">
        <f t="shared" si="3"/>
        <v/>
      </c>
      <c r="C436">
        <f>countifs(Attendees!$D:$D,C$2,Attendees!$C:$C, $B436) </f>
        <v>0</v>
      </c>
      <c r="D436">
        <f>countifs(Attendees!$D:$D,D$2,Attendees!$C:$C, $B436) </f>
        <v>0</v>
      </c>
      <c r="E436">
        <f t="shared" si="2"/>
        <v>0</v>
      </c>
    </row>
    <row r="437">
      <c r="A437" t="str">
        <f t="shared" si="3"/>
        <v/>
      </c>
      <c r="C437">
        <f>countifs(Attendees!$D:$D,C$2,Attendees!$C:$C, $B437) </f>
        <v>0</v>
      </c>
      <c r="D437">
        <f>countifs(Attendees!$D:$D,D$2,Attendees!$C:$C, $B437) </f>
        <v>0</v>
      </c>
      <c r="E437">
        <f t="shared" si="2"/>
        <v>0</v>
      </c>
    </row>
    <row r="438">
      <c r="A438" t="str">
        <f t="shared" si="3"/>
        <v/>
      </c>
      <c r="C438">
        <f>countifs(Attendees!$D:$D,C$2,Attendees!$C:$C, $B438) </f>
        <v>0</v>
      </c>
      <c r="D438">
        <f>countifs(Attendees!$D:$D,D$2,Attendees!$C:$C, $B438) </f>
        <v>0</v>
      </c>
      <c r="E438">
        <f t="shared" si="2"/>
        <v>0</v>
      </c>
    </row>
    <row r="439">
      <c r="A439" t="str">
        <f t="shared" si="3"/>
        <v/>
      </c>
      <c r="C439">
        <f>countifs(Attendees!$D:$D,C$2,Attendees!$C:$C, $B439) </f>
        <v>0</v>
      </c>
      <c r="D439">
        <f>countifs(Attendees!$D:$D,D$2,Attendees!$C:$C, $B439) </f>
        <v>0</v>
      </c>
      <c r="E439">
        <f t="shared" si="2"/>
        <v>0</v>
      </c>
    </row>
    <row r="440">
      <c r="A440" t="str">
        <f t="shared" si="3"/>
        <v/>
      </c>
      <c r="C440">
        <f>countifs(Attendees!$D:$D,C$2,Attendees!$C:$C, $B440) </f>
        <v>0</v>
      </c>
      <c r="D440">
        <f>countifs(Attendees!$D:$D,D$2,Attendees!$C:$C, $B440) </f>
        <v>0</v>
      </c>
      <c r="E440">
        <f t="shared" si="2"/>
        <v>0</v>
      </c>
    </row>
    <row r="441">
      <c r="A441" t="str">
        <f t="shared" si="3"/>
        <v/>
      </c>
      <c r="C441">
        <f>countifs(Attendees!$D:$D,C$2,Attendees!$C:$C, $B441) </f>
        <v>0</v>
      </c>
      <c r="D441">
        <f>countifs(Attendees!$D:$D,D$2,Attendees!$C:$C, $B441) </f>
        <v>0</v>
      </c>
      <c r="E441">
        <f t="shared" si="2"/>
        <v>0</v>
      </c>
    </row>
    <row r="442">
      <c r="A442" t="str">
        <f t="shared" si="3"/>
        <v/>
      </c>
      <c r="C442">
        <f>countifs(Attendees!$D:$D,C$2,Attendees!$C:$C, $B442) </f>
        <v>0</v>
      </c>
      <c r="D442">
        <f>countifs(Attendees!$D:$D,D$2,Attendees!$C:$C, $B442) </f>
        <v>0</v>
      </c>
      <c r="E442">
        <f t="shared" si="2"/>
        <v>0</v>
      </c>
    </row>
    <row r="443">
      <c r="A443" t="str">
        <f t="shared" si="3"/>
        <v/>
      </c>
      <c r="C443">
        <f>countifs(Attendees!$D:$D,C$2,Attendees!$C:$C, $B443) </f>
        <v>0</v>
      </c>
      <c r="D443">
        <f>countifs(Attendees!$D:$D,D$2,Attendees!$C:$C, $B443) </f>
        <v>0</v>
      </c>
      <c r="E443">
        <f t="shared" si="2"/>
        <v>0</v>
      </c>
    </row>
    <row r="444">
      <c r="A444" t="str">
        <f t="shared" si="3"/>
        <v/>
      </c>
      <c r="C444">
        <f>countifs(Attendees!$D:$D,C$2,Attendees!$C:$C, $B444) </f>
        <v>0</v>
      </c>
      <c r="D444">
        <f>countifs(Attendees!$D:$D,D$2,Attendees!$C:$C, $B444) </f>
        <v>0</v>
      </c>
      <c r="E444">
        <f t="shared" si="2"/>
        <v>0</v>
      </c>
    </row>
    <row r="445">
      <c r="A445" t="str">
        <f t="shared" si="3"/>
        <v/>
      </c>
      <c r="C445">
        <f>countifs(Attendees!$D:$D,C$2,Attendees!$C:$C, $B445) </f>
        <v>0</v>
      </c>
      <c r="D445">
        <f>countifs(Attendees!$D:$D,D$2,Attendees!$C:$C, $B445) </f>
        <v>0</v>
      </c>
      <c r="E445">
        <f t="shared" si="2"/>
        <v>0</v>
      </c>
    </row>
    <row r="446">
      <c r="A446" t="str">
        <f t="shared" si="3"/>
        <v/>
      </c>
      <c r="C446">
        <f>countifs(Attendees!$D:$D,C$2,Attendees!$C:$C, $B446) </f>
        <v>0</v>
      </c>
      <c r="D446">
        <f>countifs(Attendees!$D:$D,D$2,Attendees!$C:$C, $B446) </f>
        <v>0</v>
      </c>
      <c r="E446">
        <f t="shared" si="2"/>
        <v>0</v>
      </c>
    </row>
    <row r="447">
      <c r="A447" t="str">
        <f t="shared" si="3"/>
        <v/>
      </c>
      <c r="C447">
        <f>countifs(Attendees!$D:$D,C$2,Attendees!$C:$C, $B447) </f>
        <v>0</v>
      </c>
      <c r="D447">
        <f>countifs(Attendees!$D:$D,D$2,Attendees!$C:$C, $B447) </f>
        <v>0</v>
      </c>
      <c r="E447">
        <f t="shared" si="2"/>
        <v>0</v>
      </c>
    </row>
    <row r="448">
      <c r="A448" t="str">
        <f t="shared" si="3"/>
        <v/>
      </c>
      <c r="C448">
        <f>countifs(Attendees!$D:$D,C$2,Attendees!$C:$C, $B448) </f>
        <v>0</v>
      </c>
      <c r="D448">
        <f>countifs(Attendees!$D:$D,D$2,Attendees!$C:$C, $B448) </f>
        <v>0</v>
      </c>
      <c r="E448">
        <f t="shared" si="2"/>
        <v>0</v>
      </c>
    </row>
    <row r="449">
      <c r="A449" t="str">
        <f t="shared" si="3"/>
        <v/>
      </c>
      <c r="C449">
        <f>countifs(Attendees!$D:$D,C$2,Attendees!$C:$C, $B449) </f>
        <v>0</v>
      </c>
      <c r="D449">
        <f>countifs(Attendees!$D:$D,D$2,Attendees!$C:$C, $B449) </f>
        <v>0</v>
      </c>
      <c r="E449">
        <f t="shared" si="2"/>
        <v>0</v>
      </c>
    </row>
    <row r="450">
      <c r="A450" t="str">
        <f t="shared" si="3"/>
        <v/>
      </c>
      <c r="C450">
        <f>countifs(Attendees!$D:$D,C$2,Attendees!$C:$C, $B450) </f>
        <v>0</v>
      </c>
      <c r="D450">
        <f>countifs(Attendees!$D:$D,D$2,Attendees!$C:$C, $B450) </f>
        <v>0</v>
      </c>
      <c r="E450">
        <f t="shared" si="2"/>
        <v>0</v>
      </c>
    </row>
    <row r="451">
      <c r="A451" t="str">
        <f t="shared" si="3"/>
        <v/>
      </c>
      <c r="C451">
        <f>countifs(Attendees!$D:$D,C$2,Attendees!$C:$C, $B451) </f>
        <v>0</v>
      </c>
      <c r="D451">
        <f>countifs(Attendees!$D:$D,D$2,Attendees!$C:$C, $B451) </f>
        <v>0</v>
      </c>
      <c r="E451">
        <f t="shared" si="2"/>
        <v>0</v>
      </c>
    </row>
    <row r="452">
      <c r="A452" t="str">
        <f t="shared" si="3"/>
        <v/>
      </c>
      <c r="C452">
        <f>countifs(Attendees!$D:$D,C$2,Attendees!$C:$C, $B452) </f>
        <v>0</v>
      </c>
      <c r="D452">
        <f>countifs(Attendees!$D:$D,D$2,Attendees!$C:$C, $B452) </f>
        <v>0</v>
      </c>
      <c r="E452">
        <f t="shared" si="2"/>
        <v>0</v>
      </c>
    </row>
    <row r="453">
      <c r="A453" t="str">
        <f t="shared" si="3"/>
        <v/>
      </c>
      <c r="C453">
        <f>countifs(Attendees!$D:$D,C$2,Attendees!$C:$C, $B453) </f>
        <v>0</v>
      </c>
      <c r="D453">
        <f>countifs(Attendees!$D:$D,D$2,Attendees!$C:$C, $B453) </f>
        <v>0</v>
      </c>
      <c r="E453">
        <f t="shared" si="2"/>
        <v>0</v>
      </c>
    </row>
    <row r="454">
      <c r="A454" t="str">
        <f t="shared" si="3"/>
        <v/>
      </c>
      <c r="C454">
        <f>countifs(Attendees!$D:$D,C$2,Attendees!$C:$C, $B454) </f>
        <v>0</v>
      </c>
      <c r="D454">
        <f>countifs(Attendees!$D:$D,D$2,Attendees!$C:$C, $B454) </f>
        <v>0</v>
      </c>
      <c r="E454">
        <f t="shared" si="2"/>
        <v>0</v>
      </c>
    </row>
    <row r="455">
      <c r="A455" t="str">
        <f t="shared" si="3"/>
        <v/>
      </c>
      <c r="C455">
        <f>countifs(Attendees!$D:$D,C$2,Attendees!$C:$C, $B455) </f>
        <v>0</v>
      </c>
      <c r="D455">
        <f>countifs(Attendees!$D:$D,D$2,Attendees!$C:$C, $B455) </f>
        <v>0</v>
      </c>
      <c r="E455">
        <f t="shared" si="2"/>
        <v>0</v>
      </c>
    </row>
    <row r="456">
      <c r="A456" t="str">
        <f t="shared" si="3"/>
        <v/>
      </c>
      <c r="C456">
        <f>countifs(Attendees!$D:$D,C$2,Attendees!$C:$C, $B456) </f>
        <v>0</v>
      </c>
      <c r="D456">
        <f>countifs(Attendees!$D:$D,D$2,Attendees!$C:$C, $B456) </f>
        <v>0</v>
      </c>
      <c r="E456">
        <f t="shared" si="2"/>
        <v>0</v>
      </c>
    </row>
    <row r="457">
      <c r="A457" t="str">
        <f t="shared" si="3"/>
        <v/>
      </c>
      <c r="C457">
        <f>countifs(Attendees!$D:$D,C$2,Attendees!$C:$C, $B457) </f>
        <v>0</v>
      </c>
      <c r="D457">
        <f>countifs(Attendees!$D:$D,D$2,Attendees!$C:$C, $B457) </f>
        <v>0</v>
      </c>
      <c r="E457">
        <f t="shared" si="2"/>
        <v>0</v>
      </c>
    </row>
    <row r="458">
      <c r="A458" t="str">
        <f t="shared" si="3"/>
        <v/>
      </c>
      <c r="C458">
        <f>countifs(Attendees!$D:$D,C$2,Attendees!$C:$C, $B458) </f>
        <v>0</v>
      </c>
      <c r="D458">
        <f>countifs(Attendees!$D:$D,D$2,Attendees!$C:$C, $B458) </f>
        <v>0</v>
      </c>
      <c r="E458">
        <f t="shared" si="2"/>
        <v>0</v>
      </c>
    </row>
    <row r="459">
      <c r="A459" t="str">
        <f t="shared" si="3"/>
        <v/>
      </c>
      <c r="C459">
        <f>countifs(Attendees!$D:$D,C$2,Attendees!$C:$C, $B459) </f>
        <v>0</v>
      </c>
      <c r="D459">
        <f>countifs(Attendees!$D:$D,D$2,Attendees!$C:$C, $B459) </f>
        <v>0</v>
      </c>
      <c r="E459">
        <f t="shared" si="2"/>
        <v>0</v>
      </c>
    </row>
    <row r="460">
      <c r="A460" t="str">
        <f t="shared" si="3"/>
        <v/>
      </c>
      <c r="C460">
        <f>countifs(Attendees!$D:$D,C$2,Attendees!$C:$C, $B460) </f>
        <v>0</v>
      </c>
      <c r="D460">
        <f>countifs(Attendees!$D:$D,D$2,Attendees!$C:$C, $B460) </f>
        <v>0</v>
      </c>
      <c r="E460">
        <f t="shared" si="2"/>
        <v>0</v>
      </c>
    </row>
    <row r="461">
      <c r="A461" t="str">
        <f t="shared" si="3"/>
        <v/>
      </c>
      <c r="C461">
        <f>countifs(Attendees!$D:$D,C$2,Attendees!$C:$C, $B461) </f>
        <v>0</v>
      </c>
      <c r="D461">
        <f>countifs(Attendees!$D:$D,D$2,Attendees!$C:$C, $B461) </f>
        <v>0</v>
      </c>
      <c r="E461">
        <f t="shared" si="2"/>
        <v>0</v>
      </c>
    </row>
    <row r="462">
      <c r="A462" t="str">
        <f t="shared" si="3"/>
        <v/>
      </c>
      <c r="C462">
        <f>countifs(Attendees!$D:$D,C$2,Attendees!$C:$C, $B462) </f>
        <v>0</v>
      </c>
      <c r="D462">
        <f>countifs(Attendees!$D:$D,D$2,Attendees!$C:$C, $B462) </f>
        <v>0</v>
      </c>
      <c r="E462">
        <f t="shared" si="2"/>
        <v>0</v>
      </c>
    </row>
    <row r="463">
      <c r="A463" t="str">
        <f t="shared" si="3"/>
        <v/>
      </c>
      <c r="C463">
        <f>countifs(Attendees!$D:$D,C$2,Attendees!$C:$C, $B463) </f>
        <v>0</v>
      </c>
      <c r="D463">
        <f>countifs(Attendees!$D:$D,D$2,Attendees!$C:$C, $B463) </f>
        <v>0</v>
      </c>
      <c r="E463">
        <f t="shared" si="2"/>
        <v>0</v>
      </c>
    </row>
    <row r="464">
      <c r="A464" t="str">
        <f t="shared" si="3"/>
        <v/>
      </c>
      <c r="C464">
        <f>countifs(Attendees!$D:$D,C$2,Attendees!$C:$C, $B464) </f>
        <v>0</v>
      </c>
      <c r="D464">
        <f>countifs(Attendees!$D:$D,D$2,Attendees!$C:$C, $B464) </f>
        <v>0</v>
      </c>
      <c r="E464">
        <f t="shared" si="2"/>
        <v>0</v>
      </c>
    </row>
    <row r="465">
      <c r="A465" t="str">
        <f t="shared" si="3"/>
        <v/>
      </c>
      <c r="C465">
        <f>countifs(Attendees!$D:$D,C$2,Attendees!$C:$C, $B465) </f>
        <v>0</v>
      </c>
      <c r="D465">
        <f>countifs(Attendees!$D:$D,D$2,Attendees!$C:$C, $B465) </f>
        <v>0</v>
      </c>
      <c r="E465">
        <f t="shared" si="2"/>
        <v>0</v>
      </c>
    </row>
    <row r="466">
      <c r="A466" t="str">
        <f t="shared" si="3"/>
        <v/>
      </c>
      <c r="C466">
        <f>countifs(Attendees!$D:$D,C$2,Attendees!$C:$C, $B466) </f>
        <v>0</v>
      </c>
      <c r="D466">
        <f>countifs(Attendees!$D:$D,D$2,Attendees!$C:$C, $B466) </f>
        <v>0</v>
      </c>
      <c r="E466">
        <f t="shared" si="2"/>
        <v>0</v>
      </c>
    </row>
    <row r="467">
      <c r="A467" t="str">
        <f t="shared" si="3"/>
        <v/>
      </c>
      <c r="C467">
        <f>countifs(Attendees!$D:$D,C$2,Attendees!$C:$C, $B467) </f>
        <v>0</v>
      </c>
      <c r="D467">
        <f>countifs(Attendees!$D:$D,D$2,Attendees!$C:$C, $B467) </f>
        <v>0</v>
      </c>
      <c r="E467">
        <f t="shared" si="2"/>
        <v>0</v>
      </c>
    </row>
    <row r="468">
      <c r="A468" t="str">
        <f t="shared" si="3"/>
        <v/>
      </c>
      <c r="C468">
        <f>countifs(Attendees!$D:$D,C$2,Attendees!$C:$C, $B468) </f>
        <v>0</v>
      </c>
      <c r="D468">
        <f>countifs(Attendees!$D:$D,D$2,Attendees!$C:$C, $B468) </f>
        <v>0</v>
      </c>
      <c r="E468">
        <f t="shared" si="2"/>
        <v>0</v>
      </c>
    </row>
    <row r="469">
      <c r="A469" t="str">
        <f t="shared" si="3"/>
        <v/>
      </c>
      <c r="C469">
        <f>countifs(Attendees!$D:$D,C$2,Attendees!$C:$C, $B469) </f>
        <v>0</v>
      </c>
      <c r="D469">
        <f>countifs(Attendees!$D:$D,D$2,Attendees!$C:$C, $B469) </f>
        <v>0</v>
      </c>
      <c r="E469">
        <f t="shared" si="2"/>
        <v>0</v>
      </c>
    </row>
    <row r="470">
      <c r="A470" t="str">
        <f t="shared" si="3"/>
        <v/>
      </c>
      <c r="C470">
        <f>countifs(Attendees!$D:$D,C$2,Attendees!$C:$C, $B470) </f>
        <v>0</v>
      </c>
      <c r="D470">
        <f>countifs(Attendees!$D:$D,D$2,Attendees!$C:$C, $B470) </f>
        <v>0</v>
      </c>
      <c r="E470">
        <f t="shared" si="2"/>
        <v>0</v>
      </c>
    </row>
    <row r="471">
      <c r="A471" t="str">
        <f t="shared" si="3"/>
        <v/>
      </c>
      <c r="C471">
        <f>countifs(Attendees!$D:$D,C$2,Attendees!$C:$C, $B471) </f>
        <v>0</v>
      </c>
      <c r="D471">
        <f>countifs(Attendees!$D:$D,D$2,Attendees!$C:$C, $B471) </f>
        <v>0</v>
      </c>
      <c r="E471">
        <f t="shared" si="2"/>
        <v>0</v>
      </c>
    </row>
    <row r="472">
      <c r="A472" t="str">
        <f t="shared" si="3"/>
        <v/>
      </c>
      <c r="C472">
        <f>countifs(Attendees!$D:$D,C$2,Attendees!$C:$C, $B472) </f>
        <v>0</v>
      </c>
      <c r="D472">
        <f>countifs(Attendees!$D:$D,D$2,Attendees!$C:$C, $B472) </f>
        <v>0</v>
      </c>
      <c r="E472">
        <f t="shared" si="2"/>
        <v>0</v>
      </c>
    </row>
    <row r="473">
      <c r="A473" t="str">
        <f t="shared" si="3"/>
        <v/>
      </c>
      <c r="C473">
        <f>countifs(Attendees!$D:$D,C$2,Attendees!$C:$C, $B473) </f>
        <v>0</v>
      </c>
      <c r="D473">
        <f>countifs(Attendees!$D:$D,D$2,Attendees!$C:$C, $B473) </f>
        <v>0</v>
      </c>
      <c r="E473">
        <f t="shared" si="2"/>
        <v>0</v>
      </c>
    </row>
    <row r="474">
      <c r="A474" t="str">
        <f t="shared" si="3"/>
        <v/>
      </c>
      <c r="C474">
        <f>countifs(Attendees!$D:$D,C$2,Attendees!$C:$C, $B474) </f>
        <v>0</v>
      </c>
      <c r="D474">
        <f>countifs(Attendees!$D:$D,D$2,Attendees!$C:$C, $B474) </f>
        <v>0</v>
      </c>
      <c r="E474">
        <f t="shared" si="2"/>
        <v>0</v>
      </c>
    </row>
    <row r="475">
      <c r="A475" t="str">
        <f t="shared" si="3"/>
        <v/>
      </c>
      <c r="C475">
        <f>countifs(Attendees!$D:$D,C$2,Attendees!$C:$C, $B475) </f>
        <v>0</v>
      </c>
      <c r="D475">
        <f>countifs(Attendees!$D:$D,D$2,Attendees!$C:$C, $B475) </f>
        <v>0</v>
      </c>
      <c r="E475">
        <f t="shared" si="2"/>
        <v>0</v>
      </c>
    </row>
    <row r="476">
      <c r="A476" t="str">
        <f t="shared" si="3"/>
        <v/>
      </c>
      <c r="C476">
        <f>countifs(Attendees!$D:$D,C$2,Attendees!$C:$C, $B476) </f>
        <v>0</v>
      </c>
      <c r="D476">
        <f>countifs(Attendees!$D:$D,D$2,Attendees!$C:$C, $B476) </f>
        <v>0</v>
      </c>
      <c r="E476">
        <f t="shared" si="2"/>
        <v>0</v>
      </c>
    </row>
    <row r="477">
      <c r="A477" t="str">
        <f t="shared" si="3"/>
        <v/>
      </c>
      <c r="C477">
        <f>countifs(Attendees!$D:$D,C$2,Attendees!$C:$C, $B477) </f>
        <v>0</v>
      </c>
      <c r="D477">
        <f>countifs(Attendees!$D:$D,D$2,Attendees!$C:$C, $B477) </f>
        <v>0</v>
      </c>
      <c r="E477">
        <f t="shared" si="2"/>
        <v>0</v>
      </c>
    </row>
    <row r="478">
      <c r="A478" t="str">
        <f t="shared" si="3"/>
        <v/>
      </c>
      <c r="C478">
        <f>countifs(Attendees!$D:$D,C$2,Attendees!$C:$C, $B478) </f>
        <v>0</v>
      </c>
      <c r="D478">
        <f>countifs(Attendees!$D:$D,D$2,Attendees!$C:$C, $B478) </f>
        <v>0</v>
      </c>
      <c r="E478">
        <f t="shared" si="2"/>
        <v>0</v>
      </c>
    </row>
    <row r="479">
      <c r="A479" t="str">
        <f t="shared" si="3"/>
        <v/>
      </c>
      <c r="C479">
        <f>countifs(Attendees!$D:$D,C$2,Attendees!$C:$C, $B479) </f>
        <v>0</v>
      </c>
      <c r="D479">
        <f>countifs(Attendees!$D:$D,D$2,Attendees!$C:$C, $B479) </f>
        <v>0</v>
      </c>
      <c r="E479">
        <f t="shared" si="2"/>
        <v>0</v>
      </c>
    </row>
    <row r="480">
      <c r="A480" t="str">
        <f t="shared" si="3"/>
        <v/>
      </c>
      <c r="C480">
        <f>countifs(Attendees!$D:$D,C$2,Attendees!$C:$C, $B480) </f>
        <v>0</v>
      </c>
      <c r="D480">
        <f>countifs(Attendees!$D:$D,D$2,Attendees!$C:$C, $B480) </f>
        <v>0</v>
      </c>
      <c r="E480">
        <f t="shared" si="2"/>
        <v>0</v>
      </c>
    </row>
    <row r="481">
      <c r="A481" t="str">
        <f t="shared" si="3"/>
        <v/>
      </c>
      <c r="C481">
        <f>countifs(Attendees!$D:$D,C$2,Attendees!$C:$C, $B481) </f>
        <v>0</v>
      </c>
      <c r="D481">
        <f>countifs(Attendees!$D:$D,D$2,Attendees!$C:$C, $B481) </f>
        <v>0</v>
      </c>
      <c r="E481">
        <f t="shared" si="2"/>
        <v>0</v>
      </c>
    </row>
    <row r="482">
      <c r="A482" t="str">
        <f t="shared" si="3"/>
        <v/>
      </c>
      <c r="C482">
        <f>countifs(Attendees!$D:$D,C$2,Attendees!$C:$C, $B482) </f>
        <v>0</v>
      </c>
      <c r="D482">
        <f>countifs(Attendees!$D:$D,D$2,Attendees!$C:$C, $B482) </f>
        <v>0</v>
      </c>
      <c r="E482">
        <f t="shared" si="2"/>
        <v>0</v>
      </c>
    </row>
    <row r="483">
      <c r="A483" t="str">
        <f t="shared" si="3"/>
        <v/>
      </c>
      <c r="C483">
        <f>countifs(Attendees!$D:$D,C$2,Attendees!$C:$C, $B483) </f>
        <v>0</v>
      </c>
      <c r="D483">
        <f>countifs(Attendees!$D:$D,D$2,Attendees!$C:$C, $B483) </f>
        <v>0</v>
      </c>
      <c r="E483">
        <f t="shared" si="2"/>
        <v>0</v>
      </c>
    </row>
    <row r="484">
      <c r="A484" t="str">
        <f t="shared" si="3"/>
        <v/>
      </c>
      <c r="C484">
        <f>countifs(Attendees!$D:$D,C$2,Attendees!$C:$C, $B484) </f>
        <v>0</v>
      </c>
      <c r="D484">
        <f>countifs(Attendees!$D:$D,D$2,Attendees!$C:$C, $B484) </f>
        <v>0</v>
      </c>
      <c r="E484">
        <f t="shared" si="2"/>
        <v>0</v>
      </c>
    </row>
    <row r="485">
      <c r="A485" t="str">
        <f t="shared" si="3"/>
        <v/>
      </c>
      <c r="C485">
        <f>countifs(Attendees!$D:$D,C$2,Attendees!$C:$C, $B485) </f>
        <v>0</v>
      </c>
      <c r="D485">
        <f>countifs(Attendees!$D:$D,D$2,Attendees!$C:$C, $B485) </f>
        <v>0</v>
      </c>
      <c r="E485">
        <f t="shared" si="2"/>
        <v>0</v>
      </c>
    </row>
    <row r="486">
      <c r="A486" t="str">
        <f t="shared" si="3"/>
        <v/>
      </c>
      <c r="C486">
        <f>countifs(Attendees!$D:$D,C$2,Attendees!$C:$C, $B486) </f>
        <v>0</v>
      </c>
      <c r="D486">
        <f>countifs(Attendees!$D:$D,D$2,Attendees!$C:$C, $B486) </f>
        <v>0</v>
      </c>
      <c r="E486">
        <f t="shared" si="2"/>
        <v>0</v>
      </c>
    </row>
    <row r="487">
      <c r="A487" t="str">
        <f t="shared" si="3"/>
        <v/>
      </c>
      <c r="C487">
        <f>countifs(Attendees!$D:$D,C$2,Attendees!$C:$C, $B487) </f>
        <v>0</v>
      </c>
      <c r="D487">
        <f>countifs(Attendees!$D:$D,D$2,Attendees!$C:$C, $B487) </f>
        <v>0</v>
      </c>
      <c r="E487">
        <f t="shared" si="2"/>
        <v>0</v>
      </c>
    </row>
    <row r="488">
      <c r="A488" t="str">
        <f t="shared" si="3"/>
        <v/>
      </c>
      <c r="C488">
        <f>countifs(Attendees!$D:$D,C$2,Attendees!$C:$C, $B488) </f>
        <v>0</v>
      </c>
      <c r="D488">
        <f>countifs(Attendees!$D:$D,D$2,Attendees!$C:$C, $B488) </f>
        <v>0</v>
      </c>
      <c r="E488">
        <f t="shared" si="2"/>
        <v>0</v>
      </c>
    </row>
    <row r="489">
      <c r="A489" t="str">
        <f t="shared" si="3"/>
        <v/>
      </c>
      <c r="C489">
        <f>countifs(Attendees!$D:$D,C$2,Attendees!$C:$C, $B489) </f>
        <v>0</v>
      </c>
      <c r="D489">
        <f>countifs(Attendees!$D:$D,D$2,Attendees!$C:$C, $B489) </f>
        <v>0</v>
      </c>
      <c r="E489">
        <f t="shared" si="2"/>
        <v>0</v>
      </c>
    </row>
    <row r="490">
      <c r="A490" t="str">
        <f t="shared" si="3"/>
        <v/>
      </c>
      <c r="C490">
        <f>countifs(Attendees!$D:$D,C$2,Attendees!$C:$C, $B490) </f>
        <v>0</v>
      </c>
      <c r="D490">
        <f>countifs(Attendees!$D:$D,D$2,Attendees!$C:$C, $B490) </f>
        <v>0</v>
      </c>
      <c r="E490">
        <f t="shared" si="2"/>
        <v>0</v>
      </c>
    </row>
    <row r="491">
      <c r="A491" t="str">
        <f t="shared" si="3"/>
        <v/>
      </c>
      <c r="C491">
        <f>countifs(Attendees!$D:$D,C$2,Attendees!$C:$C, $B491) </f>
        <v>0</v>
      </c>
      <c r="D491">
        <f>countifs(Attendees!$D:$D,D$2,Attendees!$C:$C, $B491) </f>
        <v>0</v>
      </c>
      <c r="E491">
        <f t="shared" si="2"/>
        <v>0</v>
      </c>
    </row>
    <row r="492">
      <c r="A492" t="str">
        <f t="shared" si="3"/>
        <v/>
      </c>
      <c r="C492">
        <f>countifs(Attendees!$D:$D,C$2,Attendees!$C:$C, $B492) </f>
        <v>0</v>
      </c>
      <c r="D492">
        <f>countifs(Attendees!$D:$D,D$2,Attendees!$C:$C, $B492) </f>
        <v>0</v>
      </c>
      <c r="E492">
        <f t="shared" si="2"/>
        <v>0</v>
      </c>
    </row>
    <row r="493">
      <c r="A493" t="str">
        <f t="shared" si="3"/>
        <v/>
      </c>
      <c r="C493">
        <f>countifs(Attendees!$D:$D,C$2,Attendees!$C:$C, $B493) </f>
        <v>0</v>
      </c>
      <c r="D493">
        <f>countifs(Attendees!$D:$D,D$2,Attendees!$C:$C, $B493) </f>
        <v>0</v>
      </c>
      <c r="E493">
        <f t="shared" si="2"/>
        <v>0</v>
      </c>
    </row>
    <row r="494">
      <c r="A494" t="str">
        <f t="shared" si="3"/>
        <v/>
      </c>
      <c r="C494">
        <f>countifs(Attendees!$D:$D,C$2,Attendees!$C:$C, $B494) </f>
        <v>0</v>
      </c>
      <c r="D494">
        <f>countifs(Attendees!$D:$D,D$2,Attendees!$C:$C, $B494) </f>
        <v>0</v>
      </c>
      <c r="E494">
        <f t="shared" si="2"/>
        <v>0</v>
      </c>
    </row>
    <row r="495">
      <c r="A495" t="str">
        <f t="shared" si="3"/>
        <v/>
      </c>
      <c r="C495">
        <f>countifs(Attendees!$D:$D,C$2,Attendees!$C:$C, $B495) </f>
        <v>0</v>
      </c>
      <c r="D495">
        <f>countifs(Attendees!$D:$D,D$2,Attendees!$C:$C, $B495) </f>
        <v>0</v>
      </c>
      <c r="E495">
        <f t="shared" si="2"/>
        <v>0</v>
      </c>
    </row>
    <row r="496">
      <c r="A496" t="str">
        <f t="shared" si="3"/>
        <v/>
      </c>
      <c r="C496">
        <f>countifs(Attendees!$D:$D,C$2,Attendees!$C:$C, $B496) </f>
        <v>0</v>
      </c>
      <c r="D496">
        <f>countifs(Attendees!$D:$D,D$2,Attendees!$C:$C, $B496) </f>
        <v>0</v>
      </c>
      <c r="E496">
        <f t="shared" si="2"/>
        <v>0</v>
      </c>
    </row>
    <row r="497">
      <c r="A497" t="str">
        <f t="shared" si="3"/>
        <v/>
      </c>
      <c r="C497">
        <f>countifs(Attendees!$D:$D,C$2,Attendees!$C:$C, $B497) </f>
        <v>0</v>
      </c>
      <c r="D497">
        <f>countifs(Attendees!$D:$D,D$2,Attendees!$C:$C, $B497) </f>
        <v>0</v>
      </c>
      <c r="E497">
        <f t="shared" si="2"/>
        <v>0</v>
      </c>
    </row>
    <row r="498">
      <c r="A498" t="str">
        <f t="shared" si="3"/>
        <v/>
      </c>
      <c r="C498">
        <f>countifs(Attendees!$D:$D,C$2,Attendees!$C:$C, $B498) </f>
        <v>0</v>
      </c>
      <c r="D498">
        <f>countifs(Attendees!$D:$D,D$2,Attendees!$C:$C, $B498) </f>
        <v>0</v>
      </c>
      <c r="E498">
        <f t="shared" si="2"/>
        <v>0</v>
      </c>
    </row>
    <row r="499">
      <c r="A499" t="str">
        <f t="shared" si="3"/>
        <v/>
      </c>
      <c r="C499">
        <f>countifs(Attendees!$D:$D,C$2,Attendees!$C:$C, $B499) </f>
        <v>0</v>
      </c>
      <c r="D499">
        <f>countifs(Attendees!$D:$D,D$2,Attendees!$C:$C, $B499) </f>
        <v>0</v>
      </c>
      <c r="E499">
        <f t="shared" si="2"/>
        <v>0</v>
      </c>
    </row>
    <row r="500">
      <c r="A500" t="str">
        <f t="shared" si="3"/>
        <v/>
      </c>
      <c r="C500">
        <f>countifs(Attendees!$D:$D,C$2,Attendees!$C:$C, $B500) </f>
        <v>0</v>
      </c>
      <c r="D500">
        <f>countifs(Attendees!$D:$D,D$2,Attendees!$C:$C, $B500) </f>
        <v>0</v>
      </c>
      <c r="E500">
        <f t="shared" si="2"/>
        <v>0</v>
      </c>
    </row>
    <row r="501">
      <c r="A501" t="str">
        <f t="shared" si="3"/>
        <v/>
      </c>
      <c r="C501">
        <f>countifs(Attendees!$D:$D,C$2,Attendees!$C:$C, $B501) </f>
        <v>0</v>
      </c>
      <c r="D501">
        <f>countifs(Attendees!$D:$D,D$2,Attendees!$C:$C, $B501) </f>
        <v>0</v>
      </c>
      <c r="E501">
        <f t="shared" si="2"/>
        <v>0</v>
      </c>
    </row>
    <row r="502">
      <c r="A502" t="str">
        <f t="shared" si="3"/>
        <v/>
      </c>
      <c r="C502">
        <f>countifs(Attendees!$D:$D,C$2,Attendees!$C:$C, $B502) </f>
        <v>0</v>
      </c>
      <c r="D502">
        <f>countifs(Attendees!$D:$D,D$2,Attendees!$C:$C, $B502) </f>
        <v>0</v>
      </c>
      <c r="E502">
        <f t="shared" si="2"/>
        <v>0</v>
      </c>
    </row>
    <row r="503">
      <c r="A503" t="str">
        <f t="shared" si="3"/>
        <v/>
      </c>
      <c r="C503">
        <f>countifs(Attendees!$D:$D,C$2,Attendees!$C:$C, $B503) </f>
        <v>0</v>
      </c>
      <c r="D503">
        <f>countifs(Attendees!$D:$D,D$2,Attendees!$C:$C, $B503) </f>
        <v>0</v>
      </c>
      <c r="E503">
        <f t="shared" si="2"/>
        <v>0</v>
      </c>
    </row>
    <row r="504">
      <c r="A504" t="str">
        <f t="shared" si="3"/>
        <v/>
      </c>
      <c r="C504">
        <f>countifs(Attendees!$D:$D,C$2,Attendees!$C:$C, $B504) </f>
        <v>0</v>
      </c>
      <c r="D504">
        <f>countifs(Attendees!$D:$D,D$2,Attendees!$C:$C, $B504) </f>
        <v>0</v>
      </c>
      <c r="E504">
        <f t="shared" si="2"/>
        <v>0</v>
      </c>
    </row>
    <row r="505">
      <c r="A505" t="str">
        <f t="shared" si="3"/>
        <v/>
      </c>
      <c r="C505">
        <f>countifs(Attendees!$D:$D,C$2,Attendees!$C:$C, $B505) </f>
        <v>0</v>
      </c>
      <c r="D505">
        <f>countifs(Attendees!$D:$D,D$2,Attendees!$C:$C, $B505) </f>
        <v>0</v>
      </c>
      <c r="E505">
        <f t="shared" si="2"/>
        <v>0</v>
      </c>
    </row>
    <row r="506">
      <c r="A506" t="str">
        <f t="shared" si="3"/>
        <v/>
      </c>
      <c r="C506">
        <f>countifs(Attendees!$D:$D,C$2,Attendees!$C:$C, $B506) </f>
        <v>0</v>
      </c>
      <c r="D506">
        <f>countifs(Attendees!$D:$D,D$2,Attendees!$C:$C, $B506) </f>
        <v>0</v>
      </c>
      <c r="E506">
        <f t="shared" si="2"/>
        <v>0</v>
      </c>
    </row>
    <row r="507">
      <c r="A507" t="str">
        <f t="shared" si="3"/>
        <v/>
      </c>
      <c r="C507">
        <f>countifs(Attendees!$D:$D,C$2,Attendees!$C:$C, $B507) </f>
        <v>0</v>
      </c>
      <c r="D507">
        <f>countifs(Attendees!$D:$D,D$2,Attendees!$C:$C, $B507) </f>
        <v>0</v>
      </c>
      <c r="E507">
        <f t="shared" si="2"/>
        <v>0</v>
      </c>
    </row>
    <row r="508">
      <c r="A508" t="str">
        <f t="shared" si="3"/>
        <v/>
      </c>
      <c r="C508">
        <f>countifs(Attendees!$D:$D,C$2,Attendees!$C:$C, $B508) </f>
        <v>0</v>
      </c>
      <c r="D508">
        <f>countifs(Attendees!$D:$D,D$2,Attendees!$C:$C, $B508) </f>
        <v>0</v>
      </c>
      <c r="E508">
        <f t="shared" si="2"/>
        <v>0</v>
      </c>
    </row>
    <row r="509">
      <c r="A509" t="str">
        <f t="shared" si="3"/>
        <v/>
      </c>
      <c r="C509">
        <f>countifs(Attendees!$D:$D,C$2,Attendees!$C:$C, $B509) </f>
        <v>0</v>
      </c>
      <c r="D509">
        <f>countifs(Attendees!$D:$D,D$2,Attendees!$C:$C, $B509) </f>
        <v>0</v>
      </c>
      <c r="E509">
        <f t="shared" si="2"/>
        <v>0</v>
      </c>
    </row>
    <row r="510">
      <c r="A510" t="str">
        <f t="shared" si="3"/>
        <v/>
      </c>
      <c r="C510">
        <f>countifs(Attendees!$D:$D,C$2,Attendees!$C:$C, $B510) </f>
        <v>0</v>
      </c>
      <c r="D510">
        <f>countifs(Attendees!$D:$D,D$2,Attendees!$C:$C, $B510) </f>
        <v>0</v>
      </c>
      <c r="E510">
        <f t="shared" si="2"/>
        <v>0</v>
      </c>
    </row>
    <row r="511">
      <c r="A511" t="str">
        <f t="shared" si="3"/>
        <v/>
      </c>
      <c r="C511">
        <f>countifs(Attendees!$D:$D,C$2,Attendees!$C:$C, $B511) </f>
        <v>0</v>
      </c>
      <c r="D511">
        <f>countifs(Attendees!$D:$D,D$2,Attendees!$C:$C, $B511) </f>
        <v>0</v>
      </c>
      <c r="E511">
        <f t="shared" si="2"/>
        <v>0</v>
      </c>
    </row>
    <row r="512">
      <c r="A512" t="str">
        <f t="shared" si="3"/>
        <v/>
      </c>
      <c r="C512">
        <f>countifs(Attendees!$D:$D,C$2,Attendees!$C:$C, $B512) </f>
        <v>0</v>
      </c>
      <c r="D512">
        <f>countifs(Attendees!$D:$D,D$2,Attendees!$C:$C, $B512) </f>
        <v>0</v>
      </c>
      <c r="E512">
        <f t="shared" si="2"/>
        <v>0</v>
      </c>
    </row>
    <row r="513">
      <c r="A513" t="str">
        <f t="shared" si="3"/>
        <v/>
      </c>
      <c r="C513">
        <f>countifs(Attendees!$D:$D,C$2,Attendees!$C:$C, $B513) </f>
        <v>0</v>
      </c>
      <c r="D513">
        <f>countifs(Attendees!$D:$D,D$2,Attendees!$C:$C, $B513) </f>
        <v>0</v>
      </c>
      <c r="E513">
        <f t="shared" si="2"/>
        <v>0</v>
      </c>
    </row>
    <row r="514">
      <c r="A514" t="str">
        <f t="shared" si="3"/>
        <v/>
      </c>
      <c r="C514">
        <f>countifs(Attendees!$D:$D,C$2,Attendees!$C:$C, $B514) </f>
        <v>0</v>
      </c>
      <c r="D514">
        <f>countifs(Attendees!$D:$D,D$2,Attendees!$C:$C, $B514) </f>
        <v>0</v>
      </c>
      <c r="E514">
        <f t="shared" si="2"/>
        <v>0</v>
      </c>
    </row>
    <row r="515">
      <c r="A515" t="str">
        <f t="shared" si="3"/>
        <v/>
      </c>
      <c r="C515">
        <f>countifs(Attendees!$D:$D,C$2,Attendees!$C:$C, $B515) </f>
        <v>0</v>
      </c>
      <c r="D515">
        <f>countifs(Attendees!$D:$D,D$2,Attendees!$C:$C, $B515) </f>
        <v>0</v>
      </c>
      <c r="E515">
        <f t="shared" si="2"/>
        <v>0</v>
      </c>
    </row>
    <row r="516">
      <c r="A516" t="str">
        <f t="shared" si="3"/>
        <v/>
      </c>
      <c r="C516">
        <f>countifs(Attendees!$D:$D,C$2,Attendees!$C:$C, $B516) </f>
        <v>0</v>
      </c>
      <c r="D516">
        <f>countifs(Attendees!$D:$D,D$2,Attendees!$C:$C, $B516) </f>
        <v>0</v>
      </c>
      <c r="E516">
        <f t="shared" si="2"/>
        <v>0</v>
      </c>
    </row>
    <row r="517">
      <c r="A517" t="str">
        <f t="shared" si="3"/>
        <v/>
      </c>
      <c r="C517">
        <f>countifs(Attendees!$D:$D,C$2,Attendees!$C:$C, $B517) </f>
        <v>0</v>
      </c>
      <c r="D517">
        <f>countifs(Attendees!$D:$D,D$2,Attendees!$C:$C, $B517) </f>
        <v>0</v>
      </c>
      <c r="E517">
        <f t="shared" si="2"/>
        <v>0</v>
      </c>
    </row>
    <row r="518">
      <c r="A518" t="str">
        <f t="shared" si="3"/>
        <v/>
      </c>
      <c r="C518">
        <f>countifs(Attendees!$D:$D,C$2,Attendees!$C:$C, $B518) </f>
        <v>0</v>
      </c>
      <c r="D518">
        <f>countifs(Attendees!$D:$D,D$2,Attendees!$C:$C, $B518) </f>
        <v>0</v>
      </c>
      <c r="E518">
        <f t="shared" si="2"/>
        <v>0</v>
      </c>
    </row>
    <row r="519">
      <c r="A519" t="str">
        <f t="shared" si="3"/>
        <v/>
      </c>
      <c r="C519">
        <f>countifs(Attendees!$D:$D,C$2,Attendees!$C:$C, $B519) </f>
        <v>0</v>
      </c>
      <c r="D519">
        <f>countifs(Attendees!$D:$D,D$2,Attendees!$C:$C, $B519) </f>
        <v>0</v>
      </c>
      <c r="E519">
        <f t="shared" si="2"/>
        <v>0</v>
      </c>
    </row>
    <row r="520">
      <c r="A520" t="str">
        <f t="shared" si="3"/>
        <v/>
      </c>
      <c r="C520">
        <f>countifs(Attendees!$D:$D,C$2,Attendees!$C:$C, $B520) </f>
        <v>0</v>
      </c>
      <c r="D520">
        <f>countifs(Attendees!$D:$D,D$2,Attendees!$C:$C, $B520) </f>
        <v>0</v>
      </c>
      <c r="E520">
        <f t="shared" si="2"/>
        <v>0</v>
      </c>
    </row>
    <row r="521">
      <c r="A521" t="str">
        <f t="shared" si="3"/>
        <v/>
      </c>
      <c r="C521">
        <f>countifs(Attendees!$D:$D,C$2,Attendees!$C:$C, $B521) </f>
        <v>0</v>
      </c>
      <c r="D521">
        <f>countifs(Attendees!$D:$D,D$2,Attendees!$C:$C, $B521) </f>
        <v>0</v>
      </c>
      <c r="E521">
        <f t="shared" si="2"/>
        <v>0</v>
      </c>
    </row>
    <row r="522">
      <c r="A522" t="str">
        <f t="shared" si="3"/>
        <v/>
      </c>
      <c r="C522">
        <f>countifs(Attendees!$D:$D,C$2,Attendees!$C:$C, $B522) </f>
        <v>0</v>
      </c>
      <c r="D522">
        <f>countifs(Attendees!$D:$D,D$2,Attendees!$C:$C, $B522) </f>
        <v>0</v>
      </c>
      <c r="E522">
        <f t="shared" si="2"/>
        <v>0</v>
      </c>
    </row>
    <row r="523">
      <c r="A523" t="str">
        <f t="shared" si="3"/>
        <v/>
      </c>
      <c r="C523">
        <f>countifs(Attendees!$D:$D,C$2,Attendees!$C:$C, $B523) </f>
        <v>0</v>
      </c>
      <c r="D523">
        <f>countifs(Attendees!$D:$D,D$2,Attendees!$C:$C, $B523) </f>
        <v>0</v>
      </c>
      <c r="E523">
        <f t="shared" si="2"/>
        <v>0</v>
      </c>
    </row>
    <row r="524">
      <c r="A524" t="str">
        <f t="shared" si="3"/>
        <v/>
      </c>
      <c r="C524">
        <f>countifs(Attendees!$D:$D,C$2,Attendees!$C:$C, $B524) </f>
        <v>0</v>
      </c>
      <c r="D524">
        <f>countifs(Attendees!$D:$D,D$2,Attendees!$C:$C, $B524) </f>
        <v>0</v>
      </c>
      <c r="E524">
        <f t="shared" si="2"/>
        <v>0</v>
      </c>
    </row>
    <row r="525">
      <c r="A525" t="str">
        <f t="shared" si="3"/>
        <v/>
      </c>
      <c r="C525">
        <f>countifs(Attendees!$D:$D,C$2,Attendees!$C:$C, $B525) </f>
        <v>0</v>
      </c>
      <c r="D525">
        <f>countifs(Attendees!$D:$D,D$2,Attendees!$C:$C, $B525) </f>
        <v>0</v>
      </c>
      <c r="E525">
        <f t="shared" si="2"/>
        <v>0</v>
      </c>
    </row>
    <row r="526">
      <c r="A526" t="str">
        <f t="shared" si="3"/>
        <v/>
      </c>
      <c r="C526">
        <f>countifs(Attendees!$D:$D,C$2,Attendees!$C:$C, $B526) </f>
        <v>0</v>
      </c>
      <c r="D526">
        <f>countifs(Attendees!$D:$D,D$2,Attendees!$C:$C, $B526) </f>
        <v>0</v>
      </c>
      <c r="E526">
        <f t="shared" si="2"/>
        <v>0</v>
      </c>
    </row>
    <row r="527">
      <c r="A527" t="str">
        <f t="shared" si="3"/>
        <v/>
      </c>
      <c r="C527">
        <f>countifs(Attendees!$D:$D,C$2,Attendees!$C:$C, $B527) </f>
        <v>0</v>
      </c>
      <c r="D527">
        <f>countifs(Attendees!$D:$D,D$2,Attendees!$C:$C, $B527) </f>
        <v>0</v>
      </c>
      <c r="E527">
        <f t="shared" si="2"/>
        <v>0</v>
      </c>
    </row>
    <row r="528">
      <c r="A528" t="str">
        <f t="shared" si="3"/>
        <v/>
      </c>
      <c r="C528">
        <f>countifs(Attendees!$D:$D,C$2,Attendees!$C:$C, $B528) </f>
        <v>0</v>
      </c>
      <c r="D528">
        <f>countifs(Attendees!$D:$D,D$2,Attendees!$C:$C, $B528) </f>
        <v>0</v>
      </c>
      <c r="E528">
        <f t="shared" si="2"/>
        <v>0</v>
      </c>
    </row>
    <row r="529">
      <c r="A529" t="str">
        <f t="shared" si="3"/>
        <v/>
      </c>
      <c r="C529">
        <f>countifs(Attendees!$D:$D,C$2,Attendees!$C:$C, $B529) </f>
        <v>0</v>
      </c>
      <c r="D529">
        <f>countifs(Attendees!$D:$D,D$2,Attendees!$C:$C, $B529) </f>
        <v>0</v>
      </c>
      <c r="E529">
        <f t="shared" si="2"/>
        <v>0</v>
      </c>
    </row>
    <row r="530">
      <c r="A530" t="str">
        <f t="shared" si="3"/>
        <v/>
      </c>
      <c r="C530">
        <f>countifs(Attendees!$D:$D,C$2,Attendees!$C:$C, $B530) </f>
        <v>0</v>
      </c>
      <c r="D530">
        <f>countifs(Attendees!$D:$D,D$2,Attendees!$C:$C, $B530) </f>
        <v>0</v>
      </c>
      <c r="E530">
        <f t="shared" si="2"/>
        <v>0</v>
      </c>
    </row>
    <row r="531">
      <c r="A531" t="str">
        <f t="shared" si="3"/>
        <v/>
      </c>
      <c r="C531">
        <f>countifs(Attendees!$D:$D,C$2,Attendees!$C:$C, $B531) </f>
        <v>0</v>
      </c>
      <c r="D531">
        <f>countifs(Attendees!$D:$D,D$2,Attendees!$C:$C, $B531) </f>
        <v>0</v>
      </c>
      <c r="E531">
        <f t="shared" si="2"/>
        <v>0</v>
      </c>
    </row>
    <row r="532">
      <c r="A532" t="str">
        <f t="shared" si="3"/>
        <v/>
      </c>
      <c r="C532">
        <f>countifs(Attendees!$D:$D,C$2,Attendees!$C:$C, $B532) </f>
        <v>0</v>
      </c>
      <c r="D532">
        <f>countifs(Attendees!$D:$D,D$2,Attendees!$C:$C, $B532) </f>
        <v>0</v>
      </c>
      <c r="E532">
        <f t="shared" si="2"/>
        <v>0</v>
      </c>
    </row>
    <row r="533">
      <c r="A533" t="str">
        <f t="shared" si="3"/>
        <v/>
      </c>
      <c r="C533">
        <f>countifs(Attendees!$D:$D,C$2,Attendees!$C:$C, $B533) </f>
        <v>0</v>
      </c>
      <c r="D533">
        <f>countifs(Attendees!$D:$D,D$2,Attendees!$C:$C, $B533) </f>
        <v>0</v>
      </c>
      <c r="E533">
        <f t="shared" si="2"/>
        <v>0</v>
      </c>
    </row>
    <row r="534">
      <c r="A534" t="str">
        <f t="shared" si="3"/>
        <v/>
      </c>
      <c r="C534">
        <f>countifs(Attendees!$D:$D,C$2,Attendees!$C:$C, $B534) </f>
        <v>0</v>
      </c>
      <c r="D534">
        <f>countifs(Attendees!$D:$D,D$2,Attendees!$C:$C, $B534) </f>
        <v>0</v>
      </c>
      <c r="E534">
        <f t="shared" si="2"/>
        <v>0</v>
      </c>
    </row>
    <row r="535">
      <c r="A535" t="str">
        <f t="shared" si="3"/>
        <v/>
      </c>
      <c r="C535">
        <f>countifs(Attendees!$D:$D,C$2,Attendees!$C:$C, $B535) </f>
        <v>0</v>
      </c>
      <c r="D535">
        <f>countifs(Attendees!$D:$D,D$2,Attendees!$C:$C, $B535) </f>
        <v>0</v>
      </c>
      <c r="E535">
        <f t="shared" si="2"/>
        <v>0</v>
      </c>
    </row>
    <row r="536">
      <c r="A536" t="str">
        <f t="shared" si="3"/>
        <v/>
      </c>
      <c r="C536">
        <f>countifs(Attendees!$D:$D,C$2,Attendees!$C:$C, $B536) </f>
        <v>0</v>
      </c>
      <c r="D536">
        <f>countifs(Attendees!$D:$D,D$2,Attendees!$C:$C, $B536) </f>
        <v>0</v>
      </c>
      <c r="E536">
        <f t="shared" si="2"/>
        <v>0</v>
      </c>
    </row>
    <row r="537">
      <c r="A537" t="str">
        <f t="shared" si="3"/>
        <v/>
      </c>
      <c r="C537">
        <f>countifs(Attendees!$D:$D,C$2,Attendees!$C:$C, $B537) </f>
        <v>0</v>
      </c>
      <c r="D537">
        <f>countifs(Attendees!$D:$D,D$2,Attendees!$C:$C, $B537) </f>
        <v>0</v>
      </c>
      <c r="E537">
        <f t="shared" si="2"/>
        <v>0</v>
      </c>
    </row>
    <row r="538">
      <c r="A538" t="str">
        <f t="shared" si="3"/>
        <v/>
      </c>
      <c r="C538">
        <f>countifs(Attendees!$D:$D,C$2,Attendees!$C:$C, $B538) </f>
        <v>0</v>
      </c>
      <c r="D538">
        <f>countifs(Attendees!$D:$D,D$2,Attendees!$C:$C, $B538) </f>
        <v>0</v>
      </c>
      <c r="E538">
        <f t="shared" si="2"/>
        <v>0</v>
      </c>
    </row>
    <row r="539">
      <c r="A539" t="str">
        <f t="shared" si="3"/>
        <v/>
      </c>
      <c r="C539">
        <f>countifs(Attendees!$D:$D,C$2,Attendees!$C:$C, $B539) </f>
        <v>0</v>
      </c>
      <c r="D539">
        <f>countifs(Attendees!$D:$D,D$2,Attendees!$C:$C, $B539) </f>
        <v>0</v>
      </c>
      <c r="E539">
        <f t="shared" si="2"/>
        <v>0</v>
      </c>
    </row>
    <row r="540">
      <c r="A540" t="str">
        <f t="shared" si="3"/>
        <v/>
      </c>
      <c r="C540">
        <f>countifs(Attendees!$D:$D,C$2,Attendees!$C:$C, $B540) </f>
        <v>0</v>
      </c>
      <c r="D540">
        <f>countifs(Attendees!$D:$D,D$2,Attendees!$C:$C, $B540) </f>
        <v>0</v>
      </c>
      <c r="E540">
        <f t="shared" si="2"/>
        <v>0</v>
      </c>
    </row>
    <row r="541">
      <c r="A541" t="str">
        <f t="shared" si="3"/>
        <v/>
      </c>
      <c r="C541">
        <f>countifs(Attendees!$D:$D,C$2,Attendees!$C:$C, $B541) </f>
        <v>0</v>
      </c>
      <c r="D541">
        <f>countifs(Attendees!$D:$D,D$2,Attendees!$C:$C, $B541) </f>
        <v>0</v>
      </c>
      <c r="E541">
        <f t="shared" si="2"/>
        <v>0</v>
      </c>
    </row>
    <row r="542">
      <c r="A542" t="str">
        <f t="shared" si="3"/>
        <v/>
      </c>
      <c r="C542">
        <f>countifs(Attendees!$D:$D,C$2,Attendees!$C:$C, $B542) </f>
        <v>0</v>
      </c>
      <c r="D542">
        <f>countifs(Attendees!$D:$D,D$2,Attendees!$C:$C, $B542) </f>
        <v>0</v>
      </c>
      <c r="E542">
        <f t="shared" si="2"/>
        <v>0</v>
      </c>
    </row>
    <row r="543">
      <c r="A543" t="str">
        <f t="shared" si="3"/>
        <v/>
      </c>
      <c r="C543">
        <f>countifs(Attendees!$D:$D,C$2,Attendees!$C:$C, $B543) </f>
        <v>0</v>
      </c>
      <c r="D543">
        <f>countifs(Attendees!$D:$D,D$2,Attendees!$C:$C, $B543) </f>
        <v>0</v>
      </c>
      <c r="E543">
        <f t="shared" si="2"/>
        <v>0</v>
      </c>
    </row>
    <row r="544">
      <c r="A544" t="str">
        <f t="shared" si="3"/>
        <v/>
      </c>
      <c r="C544">
        <f>countifs(Attendees!$D:$D,C$2,Attendees!$C:$C, $B544) </f>
        <v>0</v>
      </c>
      <c r="D544">
        <f>countifs(Attendees!$D:$D,D$2,Attendees!$C:$C, $B544) </f>
        <v>0</v>
      </c>
      <c r="E544">
        <f t="shared" si="2"/>
        <v>0</v>
      </c>
    </row>
    <row r="545">
      <c r="A545" t="str">
        <f t="shared" si="3"/>
        <v/>
      </c>
      <c r="C545">
        <f>countifs(Attendees!$D:$D,C$2,Attendees!$C:$C, $B545) </f>
        <v>0</v>
      </c>
      <c r="D545">
        <f>countifs(Attendees!$D:$D,D$2,Attendees!$C:$C, $B545) </f>
        <v>0</v>
      </c>
      <c r="E545">
        <f t="shared" si="2"/>
        <v>0</v>
      </c>
    </row>
    <row r="546">
      <c r="A546" t="str">
        <f t="shared" si="3"/>
        <v/>
      </c>
      <c r="C546">
        <f>countifs(Attendees!$D:$D,C$2,Attendees!$C:$C, $B546) </f>
        <v>0</v>
      </c>
      <c r="D546">
        <f>countifs(Attendees!$D:$D,D$2,Attendees!$C:$C, $B546) </f>
        <v>0</v>
      </c>
      <c r="E546">
        <f t="shared" si="2"/>
        <v>0</v>
      </c>
    </row>
    <row r="547">
      <c r="A547" t="str">
        <f t="shared" si="3"/>
        <v/>
      </c>
      <c r="C547">
        <f>countifs(Attendees!$D:$D,C$2,Attendees!$C:$C, $B547) </f>
        <v>0</v>
      </c>
      <c r="D547">
        <f>countifs(Attendees!$D:$D,D$2,Attendees!$C:$C, $B547) </f>
        <v>0</v>
      </c>
      <c r="E547">
        <f t="shared" si="2"/>
        <v>0</v>
      </c>
    </row>
    <row r="548">
      <c r="A548" t="str">
        <f t="shared" si="3"/>
        <v/>
      </c>
      <c r="C548">
        <f>countifs(Attendees!$D:$D,C$2,Attendees!$C:$C, $B548) </f>
        <v>0</v>
      </c>
      <c r="D548">
        <f>countifs(Attendees!$D:$D,D$2,Attendees!$C:$C, $B548) </f>
        <v>0</v>
      </c>
      <c r="E548">
        <f t="shared" si="2"/>
        <v>0</v>
      </c>
    </row>
    <row r="549">
      <c r="A549" t="str">
        <f t="shared" si="3"/>
        <v/>
      </c>
      <c r="C549">
        <f>countifs(Attendees!$D:$D,C$2,Attendees!$C:$C, $B549) </f>
        <v>0</v>
      </c>
      <c r="D549">
        <f>countifs(Attendees!$D:$D,D$2,Attendees!$C:$C, $B549) </f>
        <v>0</v>
      </c>
      <c r="E549">
        <f t="shared" si="2"/>
        <v>0</v>
      </c>
    </row>
    <row r="550">
      <c r="A550" t="str">
        <f t="shared" si="3"/>
        <v/>
      </c>
      <c r="C550">
        <f>countifs(Attendees!$D:$D,C$2,Attendees!$C:$C, $B550) </f>
        <v>0</v>
      </c>
      <c r="D550">
        <f>countifs(Attendees!$D:$D,D$2,Attendees!$C:$C, $B550) </f>
        <v>0</v>
      </c>
      <c r="E550">
        <f t="shared" si="2"/>
        <v>0</v>
      </c>
    </row>
    <row r="551">
      <c r="A551" t="str">
        <f t="shared" si="3"/>
        <v/>
      </c>
      <c r="C551">
        <f>countifs(Attendees!$D:$D,C$2,Attendees!$C:$C, $B551) </f>
        <v>0</v>
      </c>
      <c r="D551">
        <f>countifs(Attendees!$D:$D,D$2,Attendees!$C:$C, $B551) </f>
        <v>0</v>
      </c>
      <c r="E551">
        <f t="shared" si="2"/>
        <v>0</v>
      </c>
    </row>
    <row r="552">
      <c r="A552" t="str">
        <f t="shared" si="3"/>
        <v/>
      </c>
      <c r="C552">
        <f>countifs(Attendees!$D:$D,C$2,Attendees!$C:$C, $B552) </f>
        <v>0</v>
      </c>
      <c r="D552">
        <f>countifs(Attendees!$D:$D,D$2,Attendees!$C:$C, $B552) </f>
        <v>0</v>
      </c>
      <c r="E552">
        <f t="shared" si="2"/>
        <v>0</v>
      </c>
    </row>
  </sheetData>
  <autoFilter ref="$A$2:$E$55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  <col customWidth="1" min="3" max="3" width="23.0"/>
    <col customWidth="1" min="5" max="5" width="21.86"/>
    <col customWidth="1" min="7" max="8" width="10.71"/>
  </cols>
  <sheetData>
    <row r="2">
      <c r="G2" s="1" t="s">
        <v>478</v>
      </c>
      <c r="H2" s="1" t="s">
        <v>807</v>
      </c>
    </row>
    <row r="3">
      <c r="B3" s="205" t="s">
        <v>808</v>
      </c>
      <c r="C3" s="205" t="s">
        <v>23</v>
      </c>
      <c r="D3" s="1"/>
      <c r="E3" s="1" t="s">
        <v>24</v>
      </c>
      <c r="G3" s="1" t="s">
        <v>12</v>
      </c>
      <c r="H3" s="1">
        <v>2300.0</v>
      </c>
    </row>
    <row r="4">
      <c r="B4" s="15" t="s">
        <v>127</v>
      </c>
      <c r="C4" s="206" t="s">
        <v>117</v>
      </c>
      <c r="D4" s="1"/>
      <c r="E4" s="1" t="s">
        <v>27</v>
      </c>
      <c r="G4" s="1" t="s">
        <v>18</v>
      </c>
      <c r="H4" s="1">
        <v>1200.0</v>
      </c>
    </row>
    <row r="5">
      <c r="B5" s="179" t="s">
        <v>777</v>
      </c>
      <c r="C5" s="179" t="s">
        <v>117</v>
      </c>
      <c r="D5" s="1"/>
      <c r="E5" s="1" t="s">
        <v>13</v>
      </c>
      <c r="G5" s="1" t="s">
        <v>805</v>
      </c>
      <c r="H5" s="1">
        <v>0.0</v>
      </c>
    </row>
    <row r="6">
      <c r="B6" s="179" t="s">
        <v>779</v>
      </c>
      <c r="C6" s="179" t="s">
        <v>776</v>
      </c>
      <c r="D6" s="1"/>
      <c r="E6" s="1" t="s">
        <v>82</v>
      </c>
    </row>
    <row r="7">
      <c r="B7" s="179" t="s">
        <v>782</v>
      </c>
      <c r="C7" s="179" t="s">
        <v>778</v>
      </c>
      <c r="E7" s="1"/>
    </row>
    <row r="8">
      <c r="B8" s="179" t="s">
        <v>784</v>
      </c>
      <c r="C8" s="179" t="s">
        <v>780</v>
      </c>
      <c r="E8" s="207"/>
      <c r="F8" s="207"/>
    </row>
    <row r="9">
      <c r="B9" s="179" t="s">
        <v>786</v>
      </c>
      <c r="C9" s="179" t="s">
        <v>783</v>
      </c>
      <c r="E9" s="208"/>
      <c r="F9" s="208"/>
    </row>
    <row r="10">
      <c r="B10" s="179" t="s">
        <v>788</v>
      </c>
      <c r="C10" s="179" t="s">
        <v>785</v>
      </c>
      <c r="E10" s="208"/>
      <c r="F10" s="208"/>
    </row>
    <row r="11">
      <c r="B11" s="179" t="s">
        <v>790</v>
      </c>
      <c r="C11" s="179" t="s">
        <v>787</v>
      </c>
      <c r="E11" s="208"/>
      <c r="F11" s="208"/>
    </row>
    <row r="12">
      <c r="B12" s="179" t="s">
        <v>792</v>
      </c>
      <c r="C12" s="179" t="s">
        <v>789</v>
      </c>
      <c r="E12" s="208"/>
      <c r="F12" s="208"/>
    </row>
    <row r="13">
      <c r="B13" s="179" t="s">
        <v>794</v>
      </c>
      <c r="C13" s="179" t="s">
        <v>791</v>
      </c>
      <c r="E13" s="208"/>
      <c r="F13" s="208"/>
    </row>
    <row r="14">
      <c r="B14" s="179" t="s">
        <v>143</v>
      </c>
      <c r="C14" s="179" t="s">
        <v>793</v>
      </c>
      <c r="E14" s="208"/>
      <c r="F14" s="208"/>
    </row>
    <row r="15">
      <c r="B15" s="179" t="s">
        <v>39</v>
      </c>
      <c r="C15" s="179" t="s">
        <v>41</v>
      </c>
      <c r="E15" s="208"/>
      <c r="F15" s="208"/>
    </row>
    <row r="16">
      <c r="B16" s="179" t="s">
        <v>156</v>
      </c>
      <c r="C16" s="179" t="s">
        <v>795</v>
      </c>
      <c r="E16" s="208"/>
      <c r="F16" s="208"/>
    </row>
    <row r="17">
      <c r="B17" s="179" t="s">
        <v>62</v>
      </c>
      <c r="C17" s="179" t="s">
        <v>795</v>
      </c>
      <c r="E17" s="208"/>
      <c r="F17" s="208"/>
    </row>
    <row r="18">
      <c r="B18" s="179" t="s">
        <v>801</v>
      </c>
      <c r="C18" s="179" t="s">
        <v>223</v>
      </c>
      <c r="E18" s="208"/>
      <c r="F18" s="208"/>
    </row>
    <row r="19">
      <c r="B19" s="179" t="s">
        <v>35</v>
      </c>
      <c r="C19" s="179" t="s">
        <v>796</v>
      </c>
      <c r="E19" s="208"/>
      <c r="F19" s="208"/>
    </row>
    <row r="20">
      <c r="B20" s="179" t="s">
        <v>14</v>
      </c>
      <c r="C20" s="179" t="s">
        <v>797</v>
      </c>
      <c r="E20" s="208"/>
      <c r="F20" s="208"/>
    </row>
    <row r="21">
      <c r="B21" s="179" t="s">
        <v>452</v>
      </c>
      <c r="C21" s="179" t="s">
        <v>802</v>
      </c>
      <c r="E21" s="208"/>
      <c r="F21" s="208"/>
    </row>
    <row r="22">
      <c r="B22" s="179"/>
      <c r="C22" s="179"/>
      <c r="E22" s="208"/>
      <c r="F22" s="208"/>
    </row>
    <row r="23">
      <c r="B23" s="179"/>
      <c r="C23" s="179"/>
      <c r="E23" s="208"/>
      <c r="F23" s="208"/>
    </row>
    <row r="24">
      <c r="B24" s="179"/>
      <c r="C24" s="179"/>
      <c r="E24" s="208"/>
      <c r="F24" s="208"/>
    </row>
    <row r="25">
      <c r="B25" s="208"/>
      <c r="C25" s="208"/>
      <c r="E25" s="208"/>
      <c r="F25" s="208"/>
    </row>
    <row r="26">
      <c r="B26" s="210"/>
      <c r="C26" s="211"/>
      <c r="E26" s="208"/>
      <c r="F26" s="208"/>
    </row>
    <row r="27">
      <c r="B27" s="210"/>
      <c r="C27" s="211"/>
      <c r="E27" s="208"/>
      <c r="F27" s="208"/>
    </row>
    <row r="28">
      <c r="B28" s="212"/>
      <c r="C28" s="213"/>
      <c r="E28" s="208"/>
      <c r="F28" s="208"/>
    </row>
    <row r="29">
      <c r="B29" s="214"/>
      <c r="C29" s="1"/>
      <c r="E29" s="208"/>
      <c r="F29" s="208"/>
    </row>
    <row r="30">
      <c r="E30" s="210"/>
      <c r="F30" s="210"/>
    </row>
    <row r="31">
      <c r="E31" s="210"/>
      <c r="F31" s="210"/>
    </row>
    <row r="32">
      <c r="E32" s="213"/>
      <c r="F32" s="213"/>
    </row>
    <row r="33">
      <c r="E33" s="6"/>
      <c r="F33" s="6"/>
    </row>
  </sheetData>
  <autoFilter ref="$B$3:$C$29"/>
  <conditionalFormatting sqref="B4">
    <cfRule type="expression" dxfId="9" priority="1">
      <formula>$F4="Performer"</formula>
    </cfRule>
  </conditionalFormatting>
  <conditionalFormatting sqref="B4">
    <cfRule type="expression" dxfId="10" priority="2">
      <formula>$F4="Relative"</formula>
    </cfRule>
  </conditionalFormatting>
  <conditionalFormatting sqref="B4">
    <cfRule type="expression" dxfId="11" priority="3">
      <formula>$F4="Coordinator"</formula>
    </cfRule>
  </conditionalFormatting>
  <conditionalFormatting sqref="B4">
    <cfRule type="expression" dxfId="12" priority="4">
      <formula>$F4="Performer / Coordinator"</formula>
    </cfRule>
  </conditionalFormatting>
  <dataValidations>
    <dataValidation type="list" allowBlank="1" sqref="B4">
      <formula1>Settings!$B$4:$B$30</formula1>
    </dataValidation>
  </dataValidations>
  <drawing r:id="rId1"/>
</worksheet>
</file>