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<sst xmlns="http://schemas.openxmlformats.org/spreadsheetml/2006/main" count="75" uniqueCount="47">
  <si>
    <t>Transactions</t>
  </si>
  <si>
    <t>Budget</t>
  </si>
  <si>
    <t>Date</t>
  </si>
  <si>
    <t>Inflow</t>
  </si>
  <si>
    <t>Outflow</t>
  </si>
  <si>
    <t>Category</t>
  </si>
  <si>
    <t>Remark</t>
  </si>
  <si>
    <t>Subcategory</t>
  </si>
  <si>
    <t>Expected</t>
  </si>
  <si>
    <t>Actual</t>
  </si>
  <si>
    <t>On Track?</t>
  </si>
  <si>
    <t>Opeing Bal</t>
  </si>
  <si>
    <t>Investment and savings</t>
  </si>
  <si>
    <t>MF</t>
  </si>
  <si>
    <t>Expenses: Transport</t>
  </si>
  <si>
    <t>FD</t>
  </si>
  <si>
    <t>Expenses: Household</t>
  </si>
  <si>
    <t>SS Shop</t>
  </si>
  <si>
    <t>Gym</t>
  </si>
  <si>
    <t>Expenses: Personal</t>
  </si>
  <si>
    <t>Comb</t>
  </si>
  <si>
    <t>Books</t>
  </si>
  <si>
    <t>Vomar</t>
  </si>
  <si>
    <t>Expenses</t>
  </si>
  <si>
    <t>Household</t>
  </si>
  <si>
    <t>Cafe Noir</t>
  </si>
  <si>
    <t>Rent</t>
  </si>
  <si>
    <t>Transport</t>
  </si>
  <si>
    <t>Expenses: Missed to budget</t>
  </si>
  <si>
    <t>Printouts</t>
  </si>
  <si>
    <t>Vacation</t>
  </si>
  <si>
    <t>Jumbo</t>
  </si>
  <si>
    <t>Health insurance</t>
  </si>
  <si>
    <t>Doner</t>
  </si>
  <si>
    <t>Personal</t>
  </si>
  <si>
    <t>Expenses: Rent</t>
  </si>
  <si>
    <t>Missed to budget</t>
  </si>
  <si>
    <t>Cycle Lock</t>
  </si>
  <si>
    <t xml:space="preserve"> </t>
  </si>
  <si>
    <t>Expense sum per category</t>
  </si>
  <si>
    <t>Investment and savings: MF</t>
  </si>
  <si>
    <t>Investment and savings: FD</t>
  </si>
  <si>
    <t>Investment and savings: Gym</t>
  </si>
  <si>
    <t>Investment and savings: Books</t>
  </si>
  <si>
    <t>Expenses: Vacation</t>
  </si>
  <si>
    <t>Expenses: Health insurance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</si>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</sst>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vertical="bottom"/>
    </xf>
    <xf borderId="2" fillId="3" fontId="2" numFmtId="4" xfId="0" applyAlignment="1" applyBorder="1" applyFont="1" applyNumberFormat="1">
      <alignment vertical="bottom"/>
    </xf>
    <xf borderId="2" fillId="3" fontId="2" numFmtId="49" xfId="0" applyAlignment="1" applyBorder="1" applyFont="1" applyNumberFormat="1">
      <alignment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4" fillId="2" fontId="1" numFmtId="4" xfId="0" applyAlignment="1" applyBorder="1" applyFont="1" applyNumberFormat="1">
      <alignment horizontal="center" vertical="bottom"/>
    </xf>
    <xf borderId="4" fillId="2" fontId="1" numFmtId="49" xfId="0" applyAlignment="1" applyBorder="1" applyFont="1" applyNumberFormat="1">
      <alignment horizontal="center" vertical="bottom"/>
    </xf>
    <xf borderId="0" fillId="4" fontId="1" numFmtId="0" xfId="0" applyAlignment="1" applyFont="1">
      <alignment horizontal="center" vertical="bottom"/>
    </xf>
    <xf borderId="3" fillId="2" fontId="2" numFmtId="0" xfId="0" applyAlignment="1" applyBorder="1" applyFont="1">
      <alignment vertical="bottom"/>
    </xf>
    <xf borderId="4" fillId="2" fontId="3" numFmtId="0" xfId="0" applyAlignment="1" applyBorder="1" applyFont="1">
      <alignment readingOrder="0" vertical="bottom"/>
    </xf>
    <xf borderId="4" fillId="2" fontId="2" numFmtId="4" xfId="0" applyAlignment="1" applyBorder="1" applyFont="1" applyNumberFormat="1">
      <alignment vertical="bottom"/>
    </xf>
    <xf borderId="4" fillId="2" fontId="2" numFmtId="49" xfId="0" applyAlignment="1" applyBorder="1" applyFont="1" applyNumberFormat="1">
      <alignment vertical="bottom"/>
    </xf>
    <xf borderId="0" fillId="4" fontId="3" numFmtId="0" xfId="0" applyAlignment="1" applyFont="1">
      <alignment horizontal="right" readingOrder="0" vertical="bottom"/>
    </xf>
    <xf borderId="0" fillId="4" fontId="2" numFmtId="0" xfId="0" applyAlignment="1" applyFont="1">
      <alignment horizontal="right" vertical="bottom"/>
    </xf>
    <xf borderId="4" fillId="2" fontId="2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3" fontId="2" numFmtId="0" xfId="0" applyFont="1"/>
    <xf borderId="0" fillId="0" fontId="2" numFmtId="49" xfId="0" applyAlignment="1" applyFont="1" applyNumberFormat="1">
      <alignment vertical="bottom"/>
    </xf>
    <xf borderId="0" fillId="5" fontId="1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5" fontId="2" numFmtId="4" xfId="0" applyAlignment="1" applyFont="1" applyNumberFormat="1">
      <alignment vertical="bottom"/>
    </xf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horizontal="right" vertical="bottom"/>
    </xf>
    <xf borderId="0" fillId="3" fontId="2" numFmtId="4" xfId="0" applyAlignment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5" fontId="1" numFmtId="0" xfId="0" applyAlignment="1" applyFont="1">
      <alignment horizontal="right"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6.57"/>
    <col customWidth="1" min="3" max="3" width="8.0"/>
    <col customWidth="1" min="4" max="4" width="24.43"/>
    <col customWidth="1" min="5" max="5" width="10.29"/>
    <col customWidth="1" min="6" max="6" width="5.43"/>
    <col customWidth="1" min="7" max="7" width="24.71"/>
    <col customWidth="1" min="8" max="8" width="24.14"/>
    <col customWidth="1" min="9" max="9" width="25.57"/>
    <col customWidth="1" min="10" max="10" width="26.86"/>
    <col customWidth="1" min="11" max="11" width="19.14"/>
    <col customWidth="1" min="12" max="12" width="14.29"/>
    <col customWidth="1" min="13" max="13" width="18.14"/>
    <col customWidth="1" min="14" max="14" width="17.43"/>
    <col customWidth="1" min="15" max="15" width="24.29"/>
    <col customWidth="1" min="16" max="16" width="17.71"/>
    <col customWidth="1" min="17" max="17" width="24.43"/>
  </cols>
  <sheetData>
    <row r="1">
      <c r="A1" s="1" t="s">
        <v>0</v>
      </c>
      <c r="B1" s="2"/>
      <c r="C1" s="3"/>
      <c r="D1" s="4"/>
      <c r="E1" s="2"/>
      <c r="F1" s="5"/>
      <c r="G1" s="6" t="s">
        <v>1</v>
      </c>
      <c r="H1" s="7"/>
      <c r="I1" s="7"/>
      <c r="J1" s="7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2</v>
      </c>
      <c r="B2" s="10" t="s">
        <v>3</v>
      </c>
      <c r="C2" s="11" t="s">
        <v>4</v>
      </c>
      <c r="D2" s="12" t="s">
        <v>5</v>
      </c>
      <c r="E2" s="10" t="s">
        <v>6</v>
      </c>
      <c r="F2" s="5"/>
      <c r="G2" s="6" t="s">
        <v>5</v>
      </c>
      <c r="H2" s="13" t="s">
        <v>7</v>
      </c>
      <c r="I2" s="13" t="s">
        <v>8</v>
      </c>
      <c r="J2" s="13" t="s">
        <v>9</v>
      </c>
      <c r="K2" s="13" t="s">
        <v>10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4"/>
      <c r="B3" s="15">
        <v>3000.0</v>
      </c>
      <c r="C3" s="16"/>
      <c r="D3" s="17"/>
      <c r="E3" s="15" t="s">
        <v>11</v>
      </c>
      <c r="F3" s="5"/>
      <c r="G3" s="7" t="s">
        <v>12</v>
      </c>
      <c r="H3" s="7" t="s">
        <v>13</v>
      </c>
      <c r="I3" s="18">
        <v>800.0</v>
      </c>
      <c r="J3" s="19">
        <f>hlookup(CONCATENATE(G3, ": ", H3), G23:Q45, 23, false)</f>
        <v>0</v>
      </c>
      <c r="K3" s="7" t="str">
        <f t="shared" ref="K3:K13" si="1">IF(I3-J3 &gt;= 0, "YES", CONCAT("Nope || Diff: ", I3-J3))</f>
        <v>YES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4"/>
      <c r="B4" s="20"/>
      <c r="C4" s="16">
        <v>20.0</v>
      </c>
      <c r="D4" s="17" t="s">
        <v>14</v>
      </c>
      <c r="E4" s="20"/>
      <c r="F4" s="5"/>
      <c r="G4" s="7" t="s">
        <v>12</v>
      </c>
      <c r="H4" s="7" t="s">
        <v>15</v>
      </c>
      <c r="I4" s="19">
        <v>700.0</v>
      </c>
      <c r="J4" s="19">
        <f>hlookup(CONCATENATE(G4, ": ", H4), G23:Q45, 23, false)</f>
        <v>0</v>
      </c>
      <c r="K4" s="7" t="str">
        <f t="shared" si="1"/>
        <v>YES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4"/>
      <c r="B5" s="20"/>
      <c r="C5" s="16">
        <v>3.05</v>
      </c>
      <c r="D5" s="17" t="s">
        <v>16</v>
      </c>
      <c r="E5" s="20" t="s">
        <v>17</v>
      </c>
      <c r="F5" s="5"/>
      <c r="G5" s="7" t="s">
        <v>12</v>
      </c>
      <c r="H5" s="7" t="s">
        <v>18</v>
      </c>
      <c r="I5" s="19">
        <v>65.0</v>
      </c>
      <c r="J5" s="19">
        <f>hlookup(CONCATENATE(G5, ": ", H5), G23:Q45, 23, false)</f>
        <v>0</v>
      </c>
      <c r="K5" s="7" t="str">
        <f t="shared" si="1"/>
        <v>YES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4"/>
      <c r="B6" s="20"/>
      <c r="C6" s="16">
        <v>3.99</v>
      </c>
      <c r="D6" s="17" t="s">
        <v>19</v>
      </c>
      <c r="E6" s="20" t="s">
        <v>20</v>
      </c>
      <c r="F6" s="5"/>
      <c r="G6" s="7" t="s">
        <v>12</v>
      </c>
      <c r="H6" s="7" t="s">
        <v>21</v>
      </c>
      <c r="I6" s="19">
        <v>5.0</v>
      </c>
      <c r="J6" s="19">
        <f>hlookup(CONCATENATE(G6, ": ", H6), G23:Q45, 23, false)</f>
        <v>0</v>
      </c>
      <c r="K6" s="7" t="str">
        <f t="shared" si="1"/>
        <v>YES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4"/>
      <c r="B7" s="20"/>
      <c r="C7" s="16">
        <v>3.7</v>
      </c>
      <c r="D7" s="17" t="s">
        <v>16</v>
      </c>
      <c r="E7" s="20" t="s">
        <v>22</v>
      </c>
      <c r="F7" s="5"/>
      <c r="G7" s="7" t="s">
        <v>23</v>
      </c>
      <c r="H7" s="7" t="s">
        <v>24</v>
      </c>
      <c r="I7" s="19">
        <v>100.0</v>
      </c>
      <c r="J7" s="19">
        <f>hlookup(CONCATENATE(G7, ": ", H7), G23:Q45, 23, false)</f>
        <v>45.27</v>
      </c>
      <c r="K7" s="7" t="str">
        <f t="shared" si="1"/>
        <v>YES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4"/>
      <c r="B8" s="20"/>
      <c r="C8" s="16">
        <v>4.5</v>
      </c>
      <c r="D8" s="17" t="s">
        <v>19</v>
      </c>
      <c r="E8" s="20" t="s">
        <v>25</v>
      </c>
      <c r="F8" s="5"/>
      <c r="G8" s="7" t="s">
        <v>23</v>
      </c>
      <c r="H8" s="7" t="s">
        <v>26</v>
      </c>
      <c r="I8" s="19">
        <v>700.0</v>
      </c>
      <c r="J8" s="19">
        <f>hlookup(CONCATENATE(G8, ": ", H8), G23:Q45, 23, false)</f>
        <v>700</v>
      </c>
      <c r="K8" s="7" t="str">
        <f t="shared" si="1"/>
        <v>YES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4"/>
      <c r="B9" s="20"/>
      <c r="C9" s="16">
        <v>10.0</v>
      </c>
      <c r="D9" s="17" t="s">
        <v>14</v>
      </c>
      <c r="E9" s="20"/>
      <c r="F9" s="5"/>
      <c r="G9" s="7" t="s">
        <v>23</v>
      </c>
      <c r="H9" s="7" t="s">
        <v>27</v>
      </c>
      <c r="I9" s="19">
        <v>120.0</v>
      </c>
      <c r="J9" s="19">
        <f>hlookup(CONCATENATE(G9, ": ", H9), G23:Q45, 23, false)</f>
        <v>50</v>
      </c>
      <c r="K9" s="7" t="str">
        <f t="shared" si="1"/>
        <v>YES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4"/>
      <c r="B10" s="20"/>
      <c r="C10" s="16">
        <v>2.0</v>
      </c>
      <c r="D10" s="17" t="s">
        <v>28</v>
      </c>
      <c r="E10" s="20" t="s">
        <v>29</v>
      </c>
      <c r="F10" s="5"/>
      <c r="G10" s="21" t="s">
        <v>23</v>
      </c>
      <c r="H10" s="21" t="s">
        <v>30</v>
      </c>
      <c r="I10" s="22">
        <v>100.0</v>
      </c>
      <c r="J10" s="19">
        <f>hlookup(CONCATENATE(G10, ": ", H10), G23:Q45, 23, false)</f>
        <v>0</v>
      </c>
      <c r="K10" s="7" t="str">
        <f t="shared" si="1"/>
        <v>YES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4"/>
      <c r="B11" s="20"/>
      <c r="C11" s="16">
        <v>12.33</v>
      </c>
      <c r="D11" s="17" t="s">
        <v>16</v>
      </c>
      <c r="E11" s="20" t="s">
        <v>31</v>
      </c>
      <c r="F11" s="5"/>
      <c r="G11" s="21" t="s">
        <v>23</v>
      </c>
      <c r="H11" s="21" t="s">
        <v>32</v>
      </c>
      <c r="I11" s="22">
        <v>120.0</v>
      </c>
      <c r="J11" s="19">
        <f>hlookup(CONCATENATE(G11, ": ", H11), G23:Q45, 23, false)</f>
        <v>0</v>
      </c>
      <c r="K11" s="7" t="str">
        <f t="shared" si="1"/>
        <v>YES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4"/>
      <c r="B12" s="20"/>
      <c r="C12" s="16">
        <v>3.5</v>
      </c>
      <c r="D12" s="17" t="s">
        <v>16</v>
      </c>
      <c r="E12" s="20" t="s">
        <v>33</v>
      </c>
      <c r="F12" s="5"/>
      <c r="G12" s="21" t="s">
        <v>23</v>
      </c>
      <c r="H12" s="21" t="s">
        <v>34</v>
      </c>
      <c r="I12" s="22">
        <v>50.0</v>
      </c>
      <c r="J12" s="19">
        <f>hlookup(CONCATENATE(G12, ": ", H12), G23:Q45, 23, false)</f>
        <v>13.28</v>
      </c>
      <c r="K12" s="7" t="str">
        <f t="shared" si="1"/>
        <v>YES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4"/>
      <c r="B13" s="20"/>
      <c r="C13" s="16">
        <v>700.0</v>
      </c>
      <c r="D13" s="17" t="s">
        <v>35</v>
      </c>
      <c r="E13" s="20"/>
      <c r="F13" s="5"/>
      <c r="G13" s="21" t="s">
        <v>23</v>
      </c>
      <c r="H13" s="21" t="s">
        <v>36</v>
      </c>
      <c r="I13" s="19">
        <f>B3-SUM(I3:I12)</f>
        <v>240</v>
      </c>
      <c r="J13" s="19">
        <f>hlookup(CONCATENATE(G13, ": ", H13), G23:Q45, 23, false)</f>
        <v>2</v>
      </c>
      <c r="K13" s="7" t="str">
        <f t="shared" si="1"/>
        <v>YES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4"/>
      <c r="B14" s="20"/>
      <c r="C14" s="16">
        <v>20.0</v>
      </c>
      <c r="D14" s="17" t="s">
        <v>14</v>
      </c>
      <c r="E14" s="20"/>
      <c r="F14" s="5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4"/>
      <c r="B15" s="20"/>
      <c r="C15" s="16">
        <v>8.32</v>
      </c>
      <c r="D15" s="17" t="s">
        <v>16</v>
      </c>
      <c r="E15" s="20" t="s">
        <v>31</v>
      </c>
      <c r="F15" s="5"/>
      <c r="G15" s="7"/>
      <c r="H15" s="7"/>
      <c r="I15" s="7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4"/>
      <c r="B16" s="20"/>
      <c r="C16" s="16">
        <v>4.79</v>
      </c>
      <c r="D16" s="17" t="s">
        <v>19</v>
      </c>
      <c r="E16" s="20" t="s">
        <v>37</v>
      </c>
      <c r="F16" s="5"/>
      <c r="G16" s="7"/>
      <c r="H16" s="7"/>
      <c r="I16" s="7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4"/>
      <c r="B17" s="20"/>
      <c r="C17" s="16">
        <v>7.63</v>
      </c>
      <c r="D17" s="17" t="s">
        <v>16</v>
      </c>
      <c r="E17" s="20" t="s">
        <v>17</v>
      </c>
      <c r="F17" s="5"/>
      <c r="G17" s="7"/>
      <c r="H17" s="7"/>
      <c r="I17" s="7"/>
      <c r="J17" s="7" t="s">
        <v>38</v>
      </c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4"/>
      <c r="B18" s="20"/>
      <c r="C18" s="16">
        <v>6.74</v>
      </c>
      <c r="D18" s="17" t="s">
        <v>16</v>
      </c>
      <c r="E18" s="20" t="s">
        <v>31</v>
      </c>
      <c r="F18" s="5"/>
      <c r="G18" s="7"/>
      <c r="H18" s="7"/>
      <c r="I18" s="7"/>
      <c r="J18" s="7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4"/>
      <c r="B19" s="20"/>
      <c r="C19" s="16"/>
      <c r="D19" s="17"/>
      <c r="E19" s="20"/>
      <c r="F19" s="5"/>
      <c r="G19" s="23"/>
      <c r="H19" s="23"/>
      <c r="I19" s="23"/>
      <c r="J19" s="23"/>
      <c r="K19" s="23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4"/>
      <c r="B20" s="20"/>
      <c r="C20" s="16"/>
      <c r="D20" s="17"/>
      <c r="E20" s="20"/>
      <c r="F20" s="5"/>
      <c r="G20" s="5"/>
      <c r="H20" s="5"/>
      <c r="I20" s="5"/>
      <c r="J20" s="5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4"/>
      <c r="B21" s="20"/>
      <c r="C21" s="16"/>
      <c r="D21" s="17"/>
      <c r="E21" s="20"/>
      <c r="F21" s="5"/>
      <c r="G21" s="5"/>
      <c r="H21" s="5"/>
      <c r="I21" s="5"/>
      <c r="J21" s="5"/>
      <c r="K21" s="5"/>
      <c r="L21" s="8"/>
      <c r="M21" s="8"/>
      <c r="N21" s="24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4"/>
      <c r="B22" s="20"/>
      <c r="C22" s="16"/>
      <c r="D22" s="17"/>
      <c r="E22" s="20"/>
      <c r="F22" s="5"/>
      <c r="G22" s="25" t="s">
        <v>39</v>
      </c>
      <c r="H22" s="26"/>
      <c r="I22" s="27"/>
      <c r="J22" s="28"/>
      <c r="K22" s="26"/>
      <c r="L22" s="26"/>
      <c r="M22" s="26"/>
      <c r="N22" s="26"/>
      <c r="O22" s="26"/>
      <c r="P22" s="26"/>
      <c r="Q22" s="26"/>
      <c r="R22" s="8"/>
      <c r="S22" s="8"/>
      <c r="T22" s="8"/>
      <c r="U22" s="8"/>
      <c r="V22" s="8"/>
      <c r="W22" s="8"/>
      <c r="X22" s="8"/>
      <c r="Y22" s="8"/>
    </row>
    <row r="23">
      <c r="A23" s="14"/>
      <c r="B23" s="20"/>
      <c r="C23" s="16"/>
      <c r="D23" s="17"/>
      <c r="E23" s="20"/>
      <c r="F23" s="5"/>
      <c r="G23" s="26" t="s">
        <v>40</v>
      </c>
      <c r="H23" s="26" t="s">
        <v>41</v>
      </c>
      <c r="I23" s="26" t="s">
        <v>42</v>
      </c>
      <c r="J23" s="26" t="s">
        <v>43</v>
      </c>
      <c r="K23" s="26" t="s">
        <v>16</v>
      </c>
      <c r="L23" s="26" t="s">
        <v>35</v>
      </c>
      <c r="M23" s="26" t="s">
        <v>14</v>
      </c>
      <c r="N23" s="26" t="s">
        <v>44</v>
      </c>
      <c r="O23" s="26" t="s">
        <v>45</v>
      </c>
      <c r="P23" s="26" t="s">
        <v>19</v>
      </c>
      <c r="Q23" s="26" t="s">
        <v>28</v>
      </c>
      <c r="R23" s="8"/>
      <c r="S23" s="8"/>
      <c r="T23" s="8"/>
      <c r="U23" s="8"/>
      <c r="V23" s="8"/>
      <c r="W23" s="8"/>
      <c r="X23" s="8"/>
      <c r="Y23" s="8"/>
    </row>
    <row r="24">
      <c r="A24" s="14"/>
      <c r="B24" s="20"/>
      <c r="C24" s="16"/>
      <c r="D24" s="17"/>
      <c r="E24" s="20"/>
      <c r="F24" s="5"/>
      <c r="G24" s="29">
        <f t="array" ref="G24">IFERROR(INDEX(C4:C100, SMALL(IF("Investment and savings: MF"=D4:D100, ROW(D4:D100)-ROW(D4)+1), 1)), 0)</f>
        <v>0</v>
      </c>
      <c r="H24" s="29">
        <f t="array" ref="H24">IFERROR(INDEX(C4:C100, SMALL(IF("Investment and savings: FD"=D4:D100, ROW(D4:D100)-ROW(D4)+1), 1)), 0)</f>
        <v>0</v>
      </c>
      <c r="I24" s="29">
        <f t="array" ref="I24">IFERROR(INDEX(C4:C100, SMALL(IF("Investment and savings: Gym"=D4:D100, ROW(D4:D100)-ROW(D4)+1), 1)), 0)</f>
        <v>0</v>
      </c>
      <c r="J24" s="29">
        <f t="array" ref="J24">IFERROR(INDEX(C4:C100, SMALL(IF("Investment and savings: Books"=D4:D100, ROW(D4:D100)-ROW(D4)+1), 1)), 0)</f>
        <v>0</v>
      </c>
      <c r="K24" s="29">
        <f t="array" ref="K24">IFERROR(INDEX(C4:C100, SMALL(IF("Expenses: Household"=D4:D100, ROW(D4:D100)-ROW(D4)+1), 1)), 0)</f>
        <v>3.05</v>
      </c>
      <c r="L24" s="29">
        <f t="array" ref="L24">IFERROR(INDEX(C4:C100, SMALL(IF("Expenses: Rent"=D4:D100, ROW(D4:D100)-ROW(D4)+1), 1)), 0)</f>
        <v>700</v>
      </c>
      <c r="M24" s="29">
        <f t="array" ref="M24">IFERROR(INDEX(C4:C100, SMALL(IF("Expenses: Transport"=D4:D100, ROW(D4:D100)-ROW(D4)+1), 1)), 0)</f>
        <v>20</v>
      </c>
      <c r="N24" s="29">
        <f t="array" ref="N24">IFERROR(INDEX(C4:C100, SMALL(IF("Expenses: Vacation"=D4:D100, ROW(D4:D100)-ROW(D4)+1), 1)), 0)</f>
        <v>0</v>
      </c>
      <c r="O24" s="29">
        <f t="array" ref="O24">IFERROR(INDEX(C4:C100, SMALL(IF("Expenses: Health Insurance"=D4:D100, ROW(D4:D100)-ROW(D4)+1), 1)), 0)</f>
        <v>0</v>
      </c>
      <c r="P24" s="29">
        <f t="array" ref="P24">IFERROR(INDEX(C4:C100, SMALL(IF("Expenses: Personal"=D4:D100, ROW(D4:D100)-ROW(D4)+1), 1)), 0)</f>
        <v>3.99</v>
      </c>
      <c r="Q24" s="29">
        <f t="array" ref="Q24">IFERROR(INDEX(C4:C100, SMALL(IF("Expenses: Missed to budget"=D4:D100, ROW(D4:D100)-ROW(D4)+1), 1)), 0)</f>
        <v>2</v>
      </c>
      <c r="R24" s="8"/>
      <c r="S24" s="8"/>
      <c r="T24" s="8"/>
      <c r="U24" s="8"/>
      <c r="V24" s="8"/>
      <c r="W24" s="8"/>
      <c r="X24" s="8"/>
      <c r="Y24" s="8"/>
    </row>
    <row r="25">
      <c r="A25" s="14"/>
      <c r="B25" s="20"/>
      <c r="C25" s="20"/>
      <c r="D25" s="20"/>
      <c r="E25" s="20"/>
      <c r="F25" s="5"/>
      <c r="G25" s="29">
        <f t="array" ref="G25">IFERROR(INDEX(C4:C100, SMALL(IF("Investment and savings: MF"=D4:D100, ROW(D4:D100)-ROW(D4)+1), 2)), 0)</f>
        <v>0</v>
      </c>
      <c r="H25" s="29">
        <f t="array" ref="H25">IFERROR(INDEX(C4:C100, SMALL(IF("Investment and savings: FD"=D4:D100, ROW(D4:D100)-ROW(D4)+1), 2)), 0)</f>
        <v>0</v>
      </c>
      <c r="I25" s="29">
        <f t="array" ref="I25">IFERROR(INDEX(C4:C100, SMALL(IF("Investment and savings: Gym"=D4:D100, ROW(D4:D100)-ROW(D4)+1), 2)), 0)</f>
        <v>0</v>
      </c>
      <c r="J25" s="29">
        <f t="array" ref="J25">IFERROR(INDEX(C4:C100, SMALL(IF("Investment and savings: Books"=D4:D100, ROW(D4:D100)-ROW(D4)+1), 2)), 0)</f>
        <v>0</v>
      </c>
      <c r="K25" s="29">
        <f t="array" ref="K25">IFERROR(INDEX(C4:C100, SMALL(IF("Expenses: Household"=D4:D100, ROW(D4:D100)-ROW(D4)+1), 2)), 0)</f>
        <v>3.7</v>
      </c>
      <c r="L25" s="29">
        <f t="array" ref="L25">IFERROR(INDEX(C4:C100, SMALL(IF("Expenses: Rent"=D4:D100, ROW(D4:D100)-ROW(D4)+1), 2)), 0)</f>
        <v>0</v>
      </c>
      <c r="M25" s="29">
        <f t="array" ref="M25">IFERROR(INDEX(C4:C100, SMALL(IF("Expenses: Transport"=D4:D100, ROW(D4:D100)-ROW(D4)+1), 2)), 0)</f>
        <v>10</v>
      </c>
      <c r="N25" s="29">
        <f t="array" ref="N25">IFERROR(INDEX(C4:C100, SMALL(IF("Expenses: Vacation"=D4:D100, ROW(D4:D100)-ROW(D4)+1), 2)), 0)</f>
        <v>0</v>
      </c>
      <c r="O25" s="29">
        <f t="array" ref="O25">IFERROR(INDEX(C4:C100, SMALL(IF("Expenses: Health Insurance"=D4:D100, ROW(D4:D100)-ROW(D4)+1), 2)), 0)</f>
        <v>0</v>
      </c>
      <c r="P25" s="29">
        <f t="array" ref="P25">IFERROR(INDEX(C4:C100, SMALL(IF("Expenses: Personal"=D4:D100, ROW(D4:D100)-ROW(D4)+1), 2)), 0)</f>
        <v>4.5</v>
      </c>
      <c r="Q25" s="29">
        <f t="array" ref="Q25">IFERROR(INDEX(C4:C100, SMALL(IF("Expenses: Missed to budget"=D4:D100, ROW(D4:D100)-ROW(D4)+1), 2)), 0)</f>
        <v>0</v>
      </c>
      <c r="R25" s="8"/>
      <c r="S25" s="8"/>
      <c r="T25" s="8"/>
      <c r="U25" s="8"/>
      <c r="V25" s="8"/>
      <c r="W25" s="8"/>
      <c r="X25" s="8"/>
      <c r="Y25" s="8"/>
    </row>
    <row r="26">
      <c r="A26" s="14"/>
      <c r="B26" s="20"/>
      <c r="C26" s="20"/>
      <c r="D26" s="20"/>
      <c r="E26" s="20"/>
      <c r="F26" s="5"/>
      <c r="G26" s="29">
        <f t="array" ref="G26">IFERROR(INDEX(C4:C100, SMALL(IF("Investment and savings: MF"=D4:D100, ROW(D4:D100)-ROW(D4)+1), 3)), 0)</f>
        <v>0</v>
      </c>
      <c r="H26" s="29">
        <f t="array" ref="H26">IFERROR(INDEX(C4:C100, SMALL(IF("Investment and savings: FD"=D4:D100, ROW(D4:D100)-ROW(D4)+1), 3)), 0)</f>
        <v>0</v>
      </c>
      <c r="I26" s="29">
        <f t="array" ref="I26">IFERROR(INDEX(C4:C100, SMALL(IF("Investment and savings: Gym"=D4:D100, ROW(D4:D100)-ROW(D4)+1), 3)), 0)</f>
        <v>0</v>
      </c>
      <c r="J26" s="29">
        <f t="array" ref="J26">IFERROR(INDEX(C4:C100, SMALL(IF("Investment and savings: Books"=D4:D100, ROW(D4:D100)-ROW(D4)+1), 3)), 0)</f>
        <v>0</v>
      </c>
      <c r="K26" s="29">
        <f t="array" ref="K26">IFERROR(INDEX(C4:C100, SMALL(IF("Expenses: Household"=D4:D100, ROW(D4:D100)-ROW(D4)+1), 3)), 0)</f>
        <v>12.33</v>
      </c>
      <c r="L26" s="29">
        <f t="array" ref="L26">IFERROR(INDEX(C4:C100, SMALL(IF("Expenses: Rent"=D4:D100, ROW(D4:D100)-ROW(D4)+1), 3)), 0)</f>
        <v>0</v>
      </c>
      <c r="M26" s="29">
        <f t="array" ref="M26">IFERROR(INDEX(C4:C100, SMALL(IF("Expenses: Transport"=D4:D100, ROW(D4:D100)-ROW(D4)+1), 3)), 0)</f>
        <v>20</v>
      </c>
      <c r="N26" s="29">
        <f t="array" ref="N26">IFERROR(INDEX(C4:C100, SMALL(IF("Expenses: Vacation"=D4:D100, ROW(D4:D100)-ROW(D4)+1), 3)), 0)</f>
        <v>0</v>
      </c>
      <c r="O26" s="29">
        <f t="array" ref="O26">IFERROR(INDEX(C4:C100, SMALL(IF("Expenses: Health Insurance"=D4:D100, ROW(D4:D100)-ROW(D4)+1), 3)), 0)</f>
        <v>0</v>
      </c>
      <c r="P26" s="29">
        <f t="array" ref="P26">IFERROR(INDEX(C4:C100, SMALL(IF("Expenses: Personal"=D4:D100, ROW(D4:D100)-ROW(D4)+1), 3)), 0)</f>
        <v>4.79</v>
      </c>
      <c r="Q26" s="29">
        <f t="array" ref="Q26">IFERROR(INDEX(C4:C100, SMALL(IF("Expenses: Missed to budget"=D4:D100, ROW(D4:D100)-ROW(D4)+1), 3)), 0)</f>
        <v>0</v>
      </c>
      <c r="R26" s="8"/>
      <c r="S26" s="8"/>
      <c r="T26" s="8"/>
      <c r="U26" s="8"/>
      <c r="V26" s="8"/>
      <c r="W26" s="8"/>
      <c r="X26" s="8"/>
      <c r="Y26" s="8"/>
    </row>
    <row r="27">
      <c r="A27" s="14"/>
      <c r="B27" s="20"/>
      <c r="C27" s="20"/>
      <c r="D27" s="20"/>
      <c r="E27" s="20"/>
      <c r="F27" s="5"/>
      <c r="G27" s="29">
        <f t="array" ref="G27">IFERROR(INDEX(C4:C100, SMALL(IF("Investment and savings: MF"=D4:D100, ROW(D4:D100)-ROW(D4)+1), 4)), 0)</f>
        <v>0</v>
      </c>
      <c r="H27" s="29">
        <f t="array" ref="H27">IFERROR(INDEX(C4:C100, SMALL(IF("Investment and savings: FD"=D4:D100, ROW(D4:D100)-ROW(D4)+1), 4)), 0)</f>
        <v>0</v>
      </c>
      <c r="I27" s="29">
        <f t="array" ref="I27">IFERROR(INDEX(C4:C100, SMALL(IF("Investment and savings: Gym"=D4:D100, ROW(D4:D100)-ROW(D4)+1), 4)), 0)</f>
        <v>0</v>
      </c>
      <c r="J27" s="29">
        <f t="array" ref="J27">IFERROR(INDEX(C4:C100, SMALL(IF("Investment and savings: Books"=D4:D100, ROW(D4:D100)-ROW(D4)+1), 4)), 0)</f>
        <v>0</v>
      </c>
      <c r="K27" s="29">
        <f t="array" ref="K27">IFERROR(INDEX(C4:C100, SMALL(IF("Expenses: Household"=D4:D100, ROW(D4:D100)-ROW(D4)+1), 4)), 0)</f>
        <v>3.5</v>
      </c>
      <c r="L27" s="29">
        <f t="array" ref="L27">IFERROR(INDEX(C4:C100, SMALL(IF("Expenses: Rent"=D4:D100, ROW(D4:D100)-ROW(D4)+1), 4)), 0)</f>
        <v>0</v>
      </c>
      <c r="M27" s="29">
        <f t="array" ref="M27">IFERROR(INDEX(C4:C100, SMALL(IF("Expenses: Transport"=D4:D100, ROW(D4:D100)-ROW(D4)+1), 4)), 0)</f>
        <v>0</v>
      </c>
      <c r="N27" s="29">
        <f t="array" ref="N27">IFERROR(INDEX(C4:C100, SMALL(IF("Expenses: Vacation"=D4:D100, ROW(D4:D100)-ROW(D4)+1), 4)), 0)</f>
        <v>0</v>
      </c>
      <c r="O27" s="29">
        <f t="array" ref="O27">IFERROR(INDEX(C4:C100, SMALL(IF("Expenses: Health Insurance"=D4:D100, ROW(D4:D100)-ROW(D4)+1), 4)), 0)</f>
        <v>0</v>
      </c>
      <c r="P27" s="29">
        <f t="array" ref="P27">IFERROR(INDEX(C4:C100, SMALL(IF("Expenses: Personal"=D4:D100, ROW(D4:D100)-ROW(D4)+1), 4)), 0)</f>
        <v>0</v>
      </c>
      <c r="Q27" s="29">
        <f t="array" ref="Q27">IFERROR(INDEX(C4:C100, SMALL(IF("Expenses: Missed to budget"=D4:D100, ROW(D4:D100)-ROW(D4)+1), 4)), 0)</f>
        <v>0</v>
      </c>
      <c r="R27" s="8"/>
      <c r="S27" s="8"/>
      <c r="T27" s="8"/>
      <c r="U27" s="8"/>
      <c r="V27" s="8"/>
      <c r="W27" s="8"/>
      <c r="X27" s="8"/>
      <c r="Y27" s="8"/>
    </row>
    <row r="28">
      <c r="A28" s="5"/>
      <c r="B28" s="5"/>
      <c r="C28" s="5"/>
      <c r="D28" s="5"/>
      <c r="E28" s="5"/>
      <c r="F28" s="5"/>
      <c r="G28" s="29">
        <f t="array" ref="G28">IFERROR(INDEX(C4:C100, SMALL(IF("Investment and savings: MF"=D4:D100, ROW(D4:D100)-ROW(D4)+1), 5)), 0)</f>
        <v>0</v>
      </c>
      <c r="H28" s="29">
        <f t="array" ref="H28">IFERROR(INDEX(C4:C100, SMALL(IF("Investment and savings: FD"=D4:D100, ROW(D4:D100)-ROW(D4)+1), 5)), 0)</f>
        <v>0</v>
      </c>
      <c r="I28" s="29">
        <f t="array" ref="I28">IFERROR(INDEX(C4:C100, SMALL(IF("Investment and savings: Gym"=D4:D100, ROW(D4:D100)-ROW(D4)+1), 5)), 0)</f>
        <v>0</v>
      </c>
      <c r="J28" s="29">
        <f t="array" ref="J28">IFERROR(INDEX(C4:C100, SMALL(IF("Investment and savings: Books"=D4:D100, ROW(D4:D100)-ROW(D4)+1), 5)), 0)</f>
        <v>0</v>
      </c>
      <c r="K28" s="29">
        <f t="array" ref="K28">IFERROR(INDEX(C4:C100, SMALL(IF("Expenses: Household"=D4:D100, ROW(D4:D100)-ROW(D4)+1), 5)), 0)</f>
        <v>8.32</v>
      </c>
      <c r="L28" s="29">
        <f t="array" ref="L28">IFERROR(INDEX(C4:C100, SMALL(IF("Expenses: Rent"=D4:D100, ROW(D4:D100)-ROW(D4)+1), 5)), 0)</f>
        <v>0</v>
      </c>
      <c r="M28" s="29">
        <f t="array" ref="M28">IFERROR(INDEX(C4:C100, SMALL(IF("Expenses: Transport"=D4:D100, ROW(D4:D100)-ROW(D4)+1), 5)), 0)</f>
        <v>0</v>
      </c>
      <c r="N28" s="29">
        <f t="array" ref="N28">IFERROR(INDEX(C4:C100, SMALL(IF("Expenses: Vacation"=D4:D100, ROW(D4:D100)-ROW(D4)+1), 5)), 0)</f>
        <v>0</v>
      </c>
      <c r="O28" s="29">
        <f t="array" ref="O28">IFERROR(INDEX(C4:C100, SMALL(IF("Expenses: Health Insurance"=D4:D100, ROW(D4:D100)-ROW(D4)+1), 5)), 0)</f>
        <v>0</v>
      </c>
      <c r="P28" s="29">
        <f t="array" ref="P28">IFERROR(INDEX(C4:C100, SMALL(IF("Expenses: Personal"=D4:D100, ROW(D4:D100)-ROW(D4)+1), 5)), 0)</f>
        <v>0</v>
      </c>
      <c r="Q28" s="29">
        <f t="array" ref="Q28">IFERROR(INDEX(C4:C100, SMALL(IF("Expenses: Missed to budget"=D4:D100, ROW(D4:D100)-ROW(D4)+1), 5)), 0)</f>
        <v>0</v>
      </c>
      <c r="R28" s="8"/>
      <c r="S28" s="8"/>
      <c r="T28" s="8"/>
      <c r="U28" s="8"/>
      <c r="V28" s="8"/>
      <c r="W28" s="8"/>
      <c r="X28" s="8"/>
      <c r="Y28" s="8"/>
    </row>
    <row r="29">
      <c r="A29" s="5"/>
      <c r="B29" s="5"/>
      <c r="C29" s="5"/>
      <c r="D29" s="5"/>
      <c r="E29" s="5"/>
      <c r="F29" s="5"/>
      <c r="G29" s="29">
        <f t="array" ref="G29">IFERROR(INDEX(C4:C100, SMALL(IF("Investment and savings: MF"=D4:D100, ROW(D4:D100)-ROW(D4)+1), 6)), 0)</f>
        <v>0</v>
      </c>
      <c r="H29" s="29">
        <f t="array" ref="H29">IFERROR(INDEX(C4:C100, SMALL(IF("Investment and savings: FD"=D4:D100, ROW(D4:D100)-ROW(D4)+1), 6)), 0)</f>
        <v>0</v>
      </c>
      <c r="I29" s="29">
        <f t="array" ref="I29">IFERROR(INDEX(C4:C100, SMALL(IF("Investment and savings: Gym"=D4:D100, ROW(D4:D100)-ROW(D4)+1), 6)), 0)</f>
        <v>0</v>
      </c>
      <c r="J29" s="29">
        <f t="array" ref="J29">IFERROR(INDEX(C4:C100, SMALL(IF("Investment and savings: Books"=D4:D100, ROW(D4:D100)-ROW(D4)+1), 6)), 0)</f>
        <v>0</v>
      </c>
      <c r="K29" s="29">
        <f t="array" ref="K29">IFERROR(INDEX(C4:C100, SMALL(IF("Expenses: Household"=D4:D100, ROW(D4:D100)-ROW(D4)+1), 6)), 0)</f>
        <v>7.63</v>
      </c>
      <c r="L29" s="29">
        <f t="array" ref="L29">IFERROR(INDEX(C4:C100, SMALL(IF("Expenses: Rent"=D4:D100, ROW(D4:D100)-ROW(D4)+1), 6)), 0)</f>
        <v>0</v>
      </c>
      <c r="M29" s="29">
        <f t="array" ref="M29">IFERROR(INDEX(C4:C100, SMALL(IF("Expenses: Transport"=D4:D100, ROW(D4:D100)-ROW(D4)+1), 6)), 0)</f>
        <v>0</v>
      </c>
      <c r="N29" s="29">
        <f t="array" ref="N29">IFERROR(INDEX(C4:C100, SMALL(IF("Expenses: Vacation"=D4:D100, ROW(D4:D100)-ROW(D4)+1), 6)), 0)</f>
        <v>0</v>
      </c>
      <c r="O29" s="29">
        <f t="array" ref="O29">IFERROR(INDEX(C4:C100, SMALL(IF("Expenses: Health Insurance"=D4:D100, ROW(D4:D100)-ROW(D4)+1), 6)), 0)</f>
        <v>0</v>
      </c>
      <c r="P29" s="29">
        <f t="array" ref="P29">IFERROR(INDEX(C4:C100, SMALL(IF("Expenses: Personal"=D4:D100, ROW(D4:D100)-ROW(D4)+1), 6)), 0)</f>
        <v>0</v>
      </c>
      <c r="Q29" s="29">
        <f t="array" ref="Q29">IFERROR(INDEX(C4:C100, SMALL(IF("Expenses: Missed to budget"=D4:D100, ROW(D4:D100)-ROW(D4)+1), 6)), 0)</f>
        <v>0</v>
      </c>
      <c r="R29" s="8"/>
      <c r="S29" s="8"/>
      <c r="T29" s="8"/>
      <c r="U29" s="8"/>
      <c r="V29" s="8"/>
      <c r="W29" s="8"/>
      <c r="X29" s="8"/>
      <c r="Y29" s="8"/>
    </row>
    <row r="30">
      <c r="A30" s="5"/>
      <c r="B30" s="5"/>
      <c r="C30" s="5"/>
      <c r="D30" s="5"/>
      <c r="E30" s="5"/>
      <c r="F30" s="5"/>
      <c r="G30" s="29">
        <f t="array" ref="G30">IFERROR(INDEX(C4:C100, SMALL(IF("Investment and savings: MF"=D4:D100, ROW(D4:D100)-ROW(D4)+1), 7)), 0)</f>
        <v>0</v>
      </c>
      <c r="H30" s="29">
        <f t="array" ref="H30">IFERROR(INDEX(C4:C100, SMALL(IF("Investment and savings: FD"=D4:D100, ROW(D4:D100)-ROW(D4)+1), 7)), 0)</f>
        <v>0</v>
      </c>
      <c r="I30" s="29">
        <f t="array" ref="I30">IFERROR(INDEX(C4:C100, SMALL(IF("Investment and savings: Gym"=D4:D100, ROW(D4:D100)-ROW(D4)+1), 7)), 0)</f>
        <v>0</v>
      </c>
      <c r="J30" s="29">
        <f t="array" ref="J30">IFERROR(INDEX(C4:C100, SMALL(IF("Investment and savings: Books"=D4:D100, ROW(D4:D100)-ROW(D4)+1), 7)), 0)</f>
        <v>0</v>
      </c>
      <c r="K30" s="29">
        <f t="array" ref="K30">IFERROR(INDEX(C4:C100, SMALL(IF("Expenses: Household"=D4:D100, ROW(D4:D100)-ROW(D4)+1), 7)), 0)</f>
        <v>6.74</v>
      </c>
      <c r="L30" s="29">
        <f t="array" ref="L30">IFERROR(INDEX(C4:C100, SMALL(IF("Expenses: Rent"=D4:D100, ROW(D4:D100)-ROW(D4)+1), 7)), 0)</f>
        <v>0</v>
      </c>
      <c r="M30" s="29">
        <f t="array" ref="M30">IFERROR(INDEX(C4:C100, SMALL(IF("Expenses: Transport"=D4:D100, ROW(D4:D100)-ROW(D4)+1), 7)), 0)</f>
        <v>0</v>
      </c>
      <c r="N30" s="29">
        <f t="array" ref="N30">IFERROR(INDEX(C4:C100, SMALL(IF("Expenses: Vacation"=D4:D100, ROW(D4:D100)-ROW(D4)+1), 7)), 0)</f>
        <v>0</v>
      </c>
      <c r="O30" s="29">
        <f t="array" ref="O30">IFERROR(INDEX(C4:C100, SMALL(IF("Expenses: Health Insurance"=D4:D100, ROW(D4:D100)-ROW(D4)+1), 7)), 0)</f>
        <v>0</v>
      </c>
      <c r="P30" s="29">
        <f t="array" ref="P30">IFERROR(INDEX(C4:C100, SMALL(IF("Expenses: Personal"=D4:D100, ROW(D4:D100)-ROW(D4)+1), 7)), 0)</f>
        <v>0</v>
      </c>
      <c r="Q30" s="29">
        <f t="array" ref="Q30">IFERROR(INDEX(C4:C100, SMALL(IF("Expenses: Missed to budget"=D4:D100, ROW(D4:D100)-ROW(D4)+1), 7)), 0)</f>
        <v>0</v>
      </c>
      <c r="R30" s="8"/>
      <c r="S30" s="8"/>
      <c r="T30" s="8"/>
      <c r="U30" s="8"/>
      <c r="V30" s="8"/>
      <c r="W30" s="8"/>
      <c r="X30" s="8"/>
      <c r="Y30" s="8"/>
    </row>
    <row r="31">
      <c r="A31" s="5"/>
      <c r="B31" s="5"/>
      <c r="C31" s="5"/>
      <c r="D31" s="5"/>
      <c r="E31" s="5"/>
      <c r="F31" s="5"/>
      <c r="G31" s="29">
        <f t="array" ref="G31">IFERROR(INDEX(C4:C100, SMALL(IF("Investment and savings: MF"=D4:D100, ROW(D4:D100)-ROW(D4)+1), 8)), 0)</f>
        <v>0</v>
      </c>
      <c r="H31" s="29">
        <f t="array" ref="H31">IFERROR(INDEX(C4:C100, SMALL(IF("Investment and savings: FD"=D4:D100, ROW(D4:D100)-ROW(D4)+1), 8)), 0)</f>
        <v>0</v>
      </c>
      <c r="I31" s="29">
        <f t="array" ref="I31">IFERROR(INDEX(C4:C100, SMALL(IF("Investment and savings: Gym"=D4:D100, ROW(D4:D100)-ROW(D4)+1), 8)), 0)</f>
        <v>0</v>
      </c>
      <c r="J31" s="29">
        <f t="array" ref="J31">IFERROR(INDEX(C4:C100, SMALL(IF("Investment and savings: Books"=D4:D100, ROW(D4:D100)-ROW(D4)+1), 8)), 0)</f>
        <v>0</v>
      </c>
      <c r="K31" s="29">
        <f t="array" ref="K31">IFERROR(INDEX(C4:C100, SMALL(IF("Expenses: Household"=D4:D100, ROW(D4:D100)-ROW(D4)+1), 8)), 0)</f>
        <v>0</v>
      </c>
      <c r="L31" s="29">
        <f t="array" ref="L31">IFERROR(INDEX(C4:C100, SMALL(IF("Expenses: Rent"=D4:D100, ROW(D4:D100)-ROW(D4)+1), 8)), 0)</f>
        <v>0</v>
      </c>
      <c r="M31" s="29">
        <f t="array" ref="M31">IFERROR(INDEX(C4:C100, SMALL(IF("Expenses: Transport"=D4:D100, ROW(D4:D100)-ROW(D4)+1), 8)), 0)</f>
        <v>0</v>
      </c>
      <c r="N31" s="29">
        <f t="array" ref="N31">IFERROR(INDEX(C4:C100, SMALL(IF("Expenses: Vacation"=D4:D100, ROW(D4:D100)-ROW(D4)+1), 8)), 0)</f>
        <v>0</v>
      </c>
      <c r="O31" s="29">
        <f t="array" ref="O31">IFERROR(INDEX(C4:C100, SMALL(IF("Expenses: Health Insurance"=D4:D100, ROW(D4:D100)-ROW(D4)+1), 8)), 0)</f>
        <v>0</v>
      </c>
      <c r="P31" s="29">
        <f t="array" ref="P31">IFERROR(INDEX(C4:C100, SMALL(IF("Expenses: Personal"=D4:D100, ROW(D4:D100)-ROW(D4)+1), 8)), 0)</f>
        <v>0</v>
      </c>
      <c r="Q31" s="29">
        <f t="array" ref="Q31">IFERROR(INDEX(C4:C100, SMALL(IF("Expenses: Missed to budget"=D4:D100, ROW(D4:D100)-ROW(D4)+1), 8)), 0)</f>
        <v>0</v>
      </c>
      <c r="R31" s="8"/>
      <c r="S31" s="8"/>
      <c r="T31" s="8"/>
      <c r="U31" s="8"/>
      <c r="V31" s="8"/>
      <c r="W31" s="8"/>
      <c r="X31" s="8"/>
      <c r="Y31" s="8"/>
    </row>
    <row r="32">
      <c r="A32" s="5"/>
      <c r="B32" s="5"/>
      <c r="C32" s="5"/>
      <c r="D32" s="5"/>
      <c r="E32" s="5"/>
      <c r="F32" s="5"/>
      <c r="G32" s="29">
        <f t="array" ref="G32">IFERROR(INDEX(C4:C100, SMALL(IF("Investment and savings: MF"=D4:D100, ROW(D4:D100)-ROW(D4)+1), 9)), 0)</f>
        <v>0</v>
      </c>
      <c r="H32" s="29">
        <f t="array" ref="H32">IFERROR(INDEX(C4:C100, SMALL(IF("Investment and savings: FD"=D4:D100, ROW(D4:D100)-ROW(D4)+1), 9)), 0)</f>
        <v>0</v>
      </c>
      <c r="I32" s="29">
        <f t="array" ref="I32">IFERROR(INDEX(C4:C100, SMALL(IF("Investment and savings: Gym"=D4:D100, ROW(D4:D100)-ROW(D4)+1), 9)), 0)</f>
        <v>0</v>
      </c>
      <c r="J32" s="29">
        <f t="array" ref="J32">IFERROR(INDEX(C4:C100, SMALL(IF("Investment and savings: Books"=D4:D100, ROW(D4:D100)-ROW(D4)+1), 9)), 0)</f>
        <v>0</v>
      </c>
      <c r="K32" s="29">
        <f t="array" ref="K32">IFERROR(INDEX(C4:C100, SMALL(IF("Expenses: Household"=D4:D100, ROW(D4:D100)-ROW(D4)+1), 9)), 0)</f>
        <v>0</v>
      </c>
      <c r="L32" s="29">
        <f t="array" ref="L32">IFERROR(INDEX(C4:C100, SMALL(IF("Expenses: Rent"=D4:D100, ROW(D4:D100)-ROW(D4)+1), 9)), 0)</f>
        <v>0</v>
      </c>
      <c r="M32" s="29">
        <f t="array" ref="M32">IFERROR(INDEX(C4:C100, SMALL(IF("Expenses: Transport"=D4:D100, ROW(D4:D100)-ROW(D4)+1), 9)), 0)</f>
        <v>0</v>
      </c>
      <c r="N32" s="29">
        <f t="array" ref="N32">IFERROR(INDEX(C4:C100, SMALL(IF("Expenses: Vacation"=D4:D100, ROW(D4:D100)-ROW(D4)+1), 9)), 0)</f>
        <v>0</v>
      </c>
      <c r="O32" s="29">
        <f t="array" ref="O32">IFERROR(INDEX(C4:C100, SMALL(IF("Expenses: Health Insurance"=D4:D100, ROW(D4:D100)-ROW(D4)+1), 9)), 0)</f>
        <v>0</v>
      </c>
      <c r="P32" s="29">
        <f t="array" ref="P32">IFERROR(INDEX(C4:C100, SMALL(IF("Expenses: Personal"=D4:D100, ROW(D4:D100)-ROW(D4)+1), 9)), 0)</f>
        <v>0</v>
      </c>
      <c r="Q32" s="29">
        <f t="array" ref="Q32">IFERROR(INDEX(C4:C100, SMALL(IF("Expenses: Missed to budget"=D4:D100, ROW(D4:D100)-ROW(D4)+1), 9)), 0)</f>
        <v>0</v>
      </c>
      <c r="R32" s="8"/>
      <c r="S32" s="8"/>
      <c r="T32" s="8"/>
      <c r="U32" s="8"/>
      <c r="V32" s="8"/>
      <c r="W32" s="8"/>
      <c r="X32" s="8"/>
      <c r="Y32" s="8"/>
    </row>
    <row r="33">
      <c r="A33" s="5"/>
      <c r="B33" s="5"/>
      <c r="C33" s="5"/>
      <c r="D33" s="5"/>
      <c r="E33" s="5"/>
      <c r="F33" s="5"/>
      <c r="G33" s="29">
        <f t="array" ref="G33">IFERROR(INDEX(C4:C100, SMALL(IF("Investment and savings: MF"=D4:D100, ROW(D4:D100)-ROW(D4)+1), 10)), 0)</f>
        <v>0</v>
      </c>
      <c r="H33" s="29">
        <f t="array" ref="H33">IFERROR(INDEX(C4:C100, SMALL(IF("Investment and savings: FD"=D4:D100, ROW(D4:D100)-ROW(D4)+1), 10)), 0)</f>
        <v>0</v>
      </c>
      <c r="I33" s="29">
        <f t="array" ref="I33">IFERROR(INDEX(C4:C100, SMALL(IF("Investment and savings: Gym"=D4:D100, ROW(D4:D100)-ROW(D4)+1), 10)), 0)</f>
        <v>0</v>
      </c>
      <c r="J33" s="29">
        <f t="array" ref="J33">IFERROR(INDEX(C4:C100, SMALL(IF("Investment and savings: Books"=D4:D100, ROW(D4:D100)-ROW(D4)+1), 10)), 0)</f>
        <v>0</v>
      </c>
      <c r="K33" s="29">
        <f t="array" ref="K33">IFERROR(INDEX(C4:C100, SMALL(IF("Expenses: Household"=D4:D100, ROW(D4:D100)-ROW(D4)+1), 10)), 0)</f>
        <v>0</v>
      </c>
      <c r="L33" s="29">
        <f t="array" ref="L33">IFERROR(INDEX(C4:C100, SMALL(IF("Expenses: Rent"=D4:D100, ROW(D4:D100)-ROW(D4)+1), 10)), 0)</f>
        <v>0</v>
      </c>
      <c r="M33" s="29">
        <f t="array" ref="M33">IFERROR(INDEX(C4:C100, SMALL(IF("Expenses: Transport"=D4:D100, ROW(D4:D100)-ROW(D4)+1), 10)), 0)</f>
        <v>0</v>
      </c>
      <c r="N33" s="29">
        <f t="array" ref="N33">IFERROR(INDEX(C4:C100, SMALL(IF("Expenses: Vacation"=D4:D100, ROW(D4:D100)-ROW(D4)+1), 10)), 0)</f>
        <v>0</v>
      </c>
      <c r="O33" s="29">
        <f t="array" ref="O33">IFERROR(INDEX(C4:C100, SMALL(IF("Expenses: Health Insurance"=D4:D100, ROW(D4:D100)-ROW(D4)+1), 10)), 0)</f>
        <v>0</v>
      </c>
      <c r="P33" s="29">
        <f t="array" ref="P33">IFERROR(INDEX(C4:C100, SMALL(IF("Expenses: Personal"=D4:D100, ROW(D4:D100)-ROW(D4)+1), 10)), 0)</f>
        <v>0</v>
      </c>
      <c r="Q33" s="29">
        <f t="array" ref="Q33">IFERROR(INDEX(C4:C100, SMALL(IF("Expenses: Missed to budget"=D4:D100, ROW(D4:D100)-ROW(D4)+1), 10)), 0)</f>
        <v>0</v>
      </c>
      <c r="R33" s="8"/>
      <c r="S33" s="8"/>
      <c r="T33" s="8"/>
      <c r="U33" s="8"/>
      <c r="V33" s="8"/>
      <c r="W33" s="8"/>
      <c r="X33" s="8"/>
      <c r="Y33" s="8"/>
    </row>
    <row r="34">
      <c r="A34" s="5"/>
      <c r="B34" s="5"/>
      <c r="C34" s="5"/>
      <c r="D34" s="5"/>
      <c r="E34" s="5"/>
      <c r="F34" s="5"/>
      <c r="G34" s="29">
        <f t="array" ref="G34">IFERROR(INDEX(C4:C100, SMALL(IF("Investment and savings: MF"=D4:D100, ROW(D4:D100)-ROW(D4)+1), 11)), 0)</f>
        <v>0</v>
      </c>
      <c r="H34" s="29">
        <f t="array" ref="H34">IFERROR(INDEX(C4:C100, SMALL(IF("Investment and savings: FD"=D4:D100, ROW(D4:D100)-ROW(D4)+1), 11)), 0)</f>
        <v>0</v>
      </c>
      <c r="I34" s="29">
        <f t="array" ref="I34">IFERROR(INDEX(C4:C100, SMALL(IF("Investment and savings: Gym"=D4:D100, ROW(D4:D100)-ROW(D4)+1), 11)), 0)</f>
        <v>0</v>
      </c>
      <c r="J34" s="29">
        <f t="array" ref="J34">IFERROR(INDEX(C4:C100, SMALL(IF("Investment and savings: Books"=D4:D100, ROW(D4:D100)-ROW(D4)+1), 11)), 0)</f>
        <v>0</v>
      </c>
      <c r="K34" s="29">
        <f t="array" ref="K34">IFERROR(INDEX(C4:C100, SMALL(IF("Expenses: Household"=D4:D100, ROW(D4:D100)-ROW(D4)+1), 11)), 0)</f>
        <v>0</v>
      </c>
      <c r="L34" s="29">
        <f t="array" ref="L34">IFERROR(INDEX(C4:C100, SMALL(IF("Expenses: Rent"=D4:D100, ROW(D4:D100)-ROW(D4)+1), 11)), 0)</f>
        <v>0</v>
      </c>
      <c r="M34" s="29">
        <f t="array" ref="M34">IFERROR(INDEX(C4:C100, SMALL(IF("Expenses: Transport"=D4:D100, ROW(D4:D100)-ROW(D4)+1), 11)), 0)</f>
        <v>0</v>
      </c>
      <c r="N34" s="29">
        <f t="array" ref="N34">IFERROR(INDEX(C4:C100, SMALL(IF("Expenses: Vacation"=D4:D100, ROW(D4:D100)-ROW(D4)+1), 11)), 0)</f>
        <v>0</v>
      </c>
      <c r="O34" s="29">
        <f t="array" ref="O34">IFERROR(INDEX(C4:C100, SMALL(IF("Expenses: Health Insurance"=D4:D100, ROW(D4:D100)-ROW(D4)+1), 11)), 0)</f>
        <v>0</v>
      </c>
      <c r="P34" s="29">
        <f t="array" ref="P34">IFERROR(INDEX(C4:C100, SMALL(IF("Expenses: Personal"=D4:D100, ROW(D4:D100)-ROW(D4)+1), 11)), 0)</f>
        <v>0</v>
      </c>
      <c r="Q34" s="29">
        <f t="array" ref="Q34">IFERROR(INDEX(C4:C100, SMALL(IF("Expenses: Missed to budget"=D4:D100, ROW(D4:D100)-ROW(D4)+1), 11)), 0)</f>
        <v>0</v>
      </c>
      <c r="R34" s="8"/>
      <c r="S34" s="8"/>
      <c r="T34" s="8"/>
      <c r="U34" s="8"/>
      <c r="V34" s="8"/>
      <c r="W34" s="8"/>
      <c r="X34" s="8"/>
      <c r="Y34" s="8"/>
    </row>
    <row r="35">
      <c r="A35" s="5"/>
      <c r="B35" s="5"/>
      <c r="C35" s="5"/>
      <c r="D35" s="5"/>
      <c r="E35" s="5"/>
      <c r="F35" s="5"/>
      <c r="G35" s="29">
        <f t="array" ref="G35">IFERROR(INDEX(C4:C100, SMALL(IF("Investment and savings: MF"=D4:D100, ROW(D4:D100)-ROW(D4)+1), 12)), 0)</f>
        <v>0</v>
      </c>
      <c r="H35" s="29">
        <f t="array" ref="H35">IFERROR(INDEX(C4:C100, SMALL(IF("Investment and savings: FD"=D4:D100, ROW(D4:D100)-ROW(D4)+1), 12)), 0)</f>
        <v>0</v>
      </c>
      <c r="I35" s="29">
        <f t="array" ref="I35">IFERROR(INDEX(C4:C100, SMALL(IF("Investment and savings: Gym"=D4:D100, ROW(D4:D100)-ROW(D4)+1), 12)), 0)</f>
        <v>0</v>
      </c>
      <c r="J35" s="29">
        <f t="array" ref="J35">IFERROR(INDEX(C4:C100, SMALL(IF("Investment and savings: Books"=D4:D100, ROW(D4:D100)-ROW(D4)+1), 12)), 0)</f>
        <v>0</v>
      </c>
      <c r="K35" s="29">
        <f t="array" ref="K35">IFERROR(INDEX(C4:C100, SMALL(IF("Expenses: Household"=D4:D100, ROW(D4:D100)-ROW(D4)+1), 12)), 0)</f>
        <v>0</v>
      </c>
      <c r="L35" s="29">
        <f t="array" ref="L35">IFERROR(INDEX(C4:C100, SMALL(IF("Expenses: Rent"=D4:D100, ROW(D4:D100)-ROW(D4)+1), 12)), 0)</f>
        <v>0</v>
      </c>
      <c r="M35" s="29">
        <f t="array" ref="M35">IFERROR(INDEX(C4:C100, SMALL(IF("Expenses: Transport"=D4:D100, ROW(D4:D100)-ROW(D4)+1), 12)), 0)</f>
        <v>0</v>
      </c>
      <c r="N35" s="29">
        <f t="array" ref="N35">IFERROR(INDEX(C4:C100, SMALL(IF("Expenses: Vacation"=D4:D100, ROW(D4:D100)-ROW(D4)+1), 12)), 0)</f>
        <v>0</v>
      </c>
      <c r="O35" s="29">
        <f t="array" ref="O35">IFERROR(INDEX(C4:C100, SMALL(IF("Expenses: Health Insurance"=D4:D100, ROW(D4:D100)-ROW(D4)+1), 12)), 0)</f>
        <v>0</v>
      </c>
      <c r="P35" s="29">
        <f t="array" ref="P35">IFERROR(INDEX(C4:C100, SMALL(IF("Expenses: Personal"=D4:D100, ROW(D4:D100)-ROW(D4)+1), 12)), 0)</f>
        <v>0</v>
      </c>
      <c r="Q35" s="29">
        <f t="array" ref="Q35">IFERROR(INDEX(C4:C100, SMALL(IF("Expenses: Missed to budget"=D4:D100, ROW(D4:D100)-ROW(D4)+1), 12)), 0)</f>
        <v>0</v>
      </c>
      <c r="R35" s="8"/>
      <c r="S35" s="8"/>
      <c r="T35" s="8"/>
      <c r="U35" s="8"/>
      <c r="V35" s="8"/>
      <c r="W35" s="8"/>
      <c r="X35" s="8"/>
      <c r="Y35" s="8"/>
    </row>
    <row r="36">
      <c r="A36" s="5"/>
      <c r="B36" s="5"/>
      <c r="C36" s="5"/>
      <c r="D36" s="5"/>
      <c r="E36" s="5"/>
      <c r="F36" s="5"/>
      <c r="G36" s="29">
        <f t="array" ref="G36">IFERROR(INDEX(C4:C100, SMALL(IF("Investment and savings: MF"=D4:D100, ROW(D4:D100)-ROW(D4)+1), 13)), 0)</f>
        <v>0</v>
      </c>
      <c r="H36" s="29">
        <f t="array" ref="H36">IFERROR(INDEX(C4:C100, SMALL(IF("Investment and savings: FD"=D4:D100, ROW(D4:D100)-ROW(D4)+1), 13)), 0)</f>
        <v>0</v>
      </c>
      <c r="I36" s="29">
        <f t="array" ref="I36">IFERROR(INDEX(C4:C100, SMALL(IF("Investment and savings: Gym"=D4:D100, ROW(D4:D100)-ROW(D4)+1), 13)), 0)</f>
        <v>0</v>
      </c>
      <c r="J36" s="29">
        <f t="array" ref="J36">IFERROR(INDEX(C4:C100, SMALL(IF("Investment and savings: Books"=D4:D100, ROW(D4:D100)-ROW(D4)+1), 13)), 0)</f>
        <v>0</v>
      </c>
      <c r="K36" s="29">
        <f t="array" ref="K36">IFERROR(INDEX(C4:C100, SMALL(IF("Expenses: Household"=D4:D100, ROW(D4:D100)-ROW(D4)+1), 13)), 0)</f>
        <v>0</v>
      </c>
      <c r="L36" s="29">
        <f t="array" ref="L36">IFERROR(INDEX(C4:C100, SMALL(IF("Expenses: Rent"=D4:D100, ROW(D4:D100)-ROW(D4)+1), 13)), 0)</f>
        <v>0</v>
      </c>
      <c r="M36" s="29">
        <f t="array" ref="M36">IFERROR(INDEX(C4:C100, SMALL(IF("Expenses: Transport"=D4:D100, ROW(D4:D100)-ROW(D4)+1), 13)), 0)</f>
        <v>0</v>
      </c>
      <c r="N36" s="29">
        <f t="array" ref="N36">IFERROR(INDEX(C4:C100, SMALL(IF("Expenses: Vacation"=D4:D100, ROW(D4:D100)-ROW(D4)+1), 13)), 0)</f>
        <v>0</v>
      </c>
      <c r="O36" s="29">
        <f t="array" ref="O36">IFERROR(INDEX(C4:C100, SMALL(IF("Expenses: Health Insurance"=D4:D100, ROW(D4:D100)-ROW(D4)+1), 13)), 0)</f>
        <v>0</v>
      </c>
      <c r="P36" s="29">
        <f t="array" ref="P36">IFERROR(INDEX(C4:C100, SMALL(IF("Expenses: Personal"=D4:D100, ROW(D4:D100)-ROW(D4)+1), 13)), 0)</f>
        <v>0</v>
      </c>
      <c r="Q36" s="29">
        <f t="array" ref="Q36">IFERROR(INDEX(C4:C100, SMALL(IF("Expenses: Missed to budget"=D4:D100, ROW(D4:D100)-ROW(D4)+1), 13)), 0)</f>
        <v>0</v>
      </c>
      <c r="R36" s="8"/>
      <c r="S36" s="8"/>
      <c r="T36" s="8"/>
      <c r="U36" s="8"/>
      <c r="V36" s="8"/>
      <c r="W36" s="8"/>
      <c r="X36" s="8"/>
      <c r="Y36" s="8"/>
    </row>
    <row r="37">
      <c r="A37" s="5"/>
      <c r="B37" s="5"/>
      <c r="C37" s="5"/>
      <c r="D37" s="5"/>
      <c r="E37" s="5"/>
      <c r="F37" s="5"/>
      <c r="G37" s="29">
        <f t="array" ref="G37">IFERROR(INDEX(C4:C100, SMALL(IF("Investment and savings: MF"=D4:D100, ROW(D4:D100)-ROW(D4)+1), 14)), 0)</f>
        <v>0</v>
      </c>
      <c r="H37" s="29">
        <f t="array" ref="H37">IFERROR(INDEX(C4:C100, SMALL(IF("Investment and savings: FD"=D4:D100, ROW(D4:D100)-ROW(D4)+1), 14)), 0)</f>
        <v>0</v>
      </c>
      <c r="I37" s="29">
        <f t="array" ref="I37">IFERROR(INDEX(C4:C100, SMALL(IF("Investment and savings: Gym"=D4:D100, ROW(D4:D100)-ROW(D4)+1), 14)), 0)</f>
        <v>0</v>
      </c>
      <c r="J37" s="29">
        <f t="array" ref="J37">IFERROR(INDEX(C4:C100, SMALL(IF("Investment and savings: Books"=D4:D100, ROW(D4:D100)-ROW(D4)+1), 14)), 0)</f>
        <v>0</v>
      </c>
      <c r="K37" s="29">
        <f t="array" ref="K37">IFERROR(INDEX(C4:C100, SMALL(IF("Expenses: Household"=D4:D100, ROW(D4:D100)-ROW(D4)+1), 14)), 0)</f>
        <v>0</v>
      </c>
      <c r="L37" s="29">
        <f t="array" ref="L37">IFERROR(INDEX(C4:C100, SMALL(IF("Expenses: Rent"=D4:D100, ROW(D4:D100)-ROW(D4)+1), 14)), 0)</f>
        <v>0</v>
      </c>
      <c r="M37" s="29">
        <f t="array" ref="M37">IFERROR(INDEX(C4:C100, SMALL(IF("Expenses: Transport"=D4:D100, ROW(D4:D100)-ROW(D4)+1), 14)), 0)</f>
        <v>0</v>
      </c>
      <c r="N37" s="29">
        <f t="array" ref="N37">IFERROR(INDEX(C4:C100, SMALL(IF("Expenses: Vacation"=D4:D100, ROW(D4:D100)-ROW(D4)+1), 14)), 0)</f>
        <v>0</v>
      </c>
      <c r="O37" s="29">
        <f t="array" ref="O37">IFERROR(INDEX(C4:C100, SMALL(IF("Expenses: Health Insurance"=D4:D100, ROW(D4:D100)-ROW(D4)+1), 14)), 0)</f>
        <v>0</v>
      </c>
      <c r="P37" s="29">
        <f t="array" ref="P37">IFERROR(INDEX(C4:C100, SMALL(IF("Expenses: Personal"=D4:D100, ROW(D4:D100)-ROW(D4)+1), 14)), 0)</f>
        <v>0</v>
      </c>
      <c r="Q37" s="29">
        <f t="array" ref="Q37">IFERROR(INDEX(C4:C100, SMALL(IF("Expenses: Missed to budget"=D4:D100, ROW(D4:D100)-ROW(D4)+1), 14)), 0)</f>
        <v>0</v>
      </c>
      <c r="R37" s="8"/>
      <c r="S37" s="8"/>
      <c r="T37" s="8"/>
      <c r="U37" s="8"/>
      <c r="V37" s="8"/>
      <c r="W37" s="8"/>
      <c r="X37" s="8"/>
      <c r="Y37" s="8"/>
    </row>
    <row r="38">
      <c r="A38" s="5"/>
      <c r="B38" s="5"/>
      <c r="C38" s="5"/>
      <c r="D38" s="5"/>
      <c r="E38" s="5"/>
      <c r="F38" s="5"/>
      <c r="G38" s="29">
        <f t="array" ref="G38">IFERROR(INDEX(C4:C100, SMALL(IF("Investment and savings: MF"=D4:D100, ROW(D4:D100)-ROW(D4)+1), 15)), 0)</f>
        <v>0</v>
      </c>
      <c r="H38" s="29">
        <f t="array" ref="H38">IFERROR(INDEX(C4:C100, SMALL(IF("Investment and savings: FD"=D4:D100, ROW(D4:D100)-ROW(D4)+1), 15)), 0)</f>
        <v>0</v>
      </c>
      <c r="I38" s="29">
        <f t="array" ref="I38">IFERROR(INDEX(C4:C100, SMALL(IF("Investment and savings: Gym"=D4:D100, ROW(D4:D100)-ROW(D4)+1), 15)), 0)</f>
        <v>0</v>
      </c>
      <c r="J38" s="29">
        <f t="array" ref="J38">IFERROR(INDEX(C4:C100, SMALL(IF("Investment and savings: Books"=D4:D100, ROW(D4:D100)-ROW(D4)+1), 15)), 0)</f>
        <v>0</v>
      </c>
      <c r="K38" s="29">
        <f t="array" ref="K38">IFERROR(INDEX(C4:C100, SMALL(IF("Expenses: Household"=D4:D100, ROW(D4:D100)-ROW(D4)+1), 15)), 0)</f>
        <v>0</v>
      </c>
      <c r="L38" s="29">
        <f t="array" ref="L38">IFERROR(INDEX(C4:C100, SMALL(IF("Expenses: Rent"=D4:D100, ROW(D4:D100)-ROW(D4)+1), 15)), 0)</f>
        <v>0</v>
      </c>
      <c r="M38" s="29">
        <f t="array" ref="M38">IFERROR(INDEX(C4:C100, SMALL(IF("Expenses: Transport"=D4:D100, ROW(D4:D100)-ROW(D4)+1), 15)), 0)</f>
        <v>0</v>
      </c>
      <c r="N38" s="29">
        <f t="array" ref="N38">IFERROR(INDEX(C4:C100, SMALL(IF("Expenses: Vacation"=D4:D100, ROW(D4:D100)-ROW(D4)+1), 15)), 0)</f>
        <v>0</v>
      </c>
      <c r="O38" s="29">
        <f t="array" ref="O38">IFERROR(INDEX(C4:C100, SMALL(IF("Expenses: Health Insurance"=D4:D100, ROW(D4:D100)-ROW(D4)+1), 15)), 0)</f>
        <v>0</v>
      </c>
      <c r="P38" s="29">
        <f t="array" ref="P38">IFERROR(INDEX(C4:C100, SMALL(IF("Expenses: Personal"=D4:D100, ROW(D4:D100)-ROW(D4)+1), 15)), 0)</f>
        <v>0</v>
      </c>
      <c r="Q38" s="29">
        <f t="array" ref="Q38">IFERROR(INDEX(C4:C100, SMALL(IF("Expenses: Missed to budget"=D4:D100, ROW(D4:D100)-ROW(D4)+1), 15)), 0)</f>
        <v>0</v>
      </c>
      <c r="R38" s="8"/>
      <c r="S38" s="8"/>
      <c r="T38" s="8"/>
      <c r="U38" s="8"/>
      <c r="V38" s="8"/>
      <c r="W38" s="8"/>
      <c r="X38" s="8"/>
      <c r="Y38" s="8"/>
    </row>
    <row r="39">
      <c r="A39" s="5"/>
      <c r="B39" s="5"/>
      <c r="C39" s="5"/>
      <c r="D39" s="5"/>
      <c r="E39" s="5"/>
      <c r="F39" s="5"/>
      <c r="G39" s="29">
        <f t="array" ref="G39">IFERROR(INDEX(C4:C100, SMALL(IF("Investment and savings: MF"=D4:D100, ROW(D4:D100)-ROW(D4)+1), 16)), 0)</f>
        <v>0</v>
      </c>
      <c r="H39" s="29">
        <f t="array" ref="H39">IFERROR(INDEX(C4:C100, SMALL(IF("Investment and savings: FD"=D4:D100, ROW(D4:D100)-ROW(D4)+1), 16)), 0)</f>
        <v>0</v>
      </c>
      <c r="I39" s="29">
        <f t="array" ref="I39">IFERROR(INDEX(C4:C100, SMALL(IF("Investment and savings: Gym"=D4:D100, ROW(D4:D100)-ROW(D4)+1), 16)), 0)</f>
        <v>0</v>
      </c>
      <c r="J39" s="29">
        <f t="array" ref="J39">IFERROR(INDEX(C4:C100, SMALL(IF("Investment and savings: Books"=D4:D100, ROW(D4:D100)-ROW(D4)+1), 16)), 0)</f>
        <v>0</v>
      </c>
      <c r="K39" s="29">
        <f t="array" ref="K39">IFERROR(INDEX(C4:C100, SMALL(IF("Expenses: Household"=D4:D100, ROW(D4:D100)-ROW(D4)+1), 16)), 0)</f>
        <v>0</v>
      </c>
      <c r="L39" s="29">
        <f t="array" ref="L39">IFERROR(INDEX(C4:C100, SMALL(IF("Expenses: Rent"=D4:D100, ROW(D4:D100)-ROW(D4)+1), 16)), 0)</f>
        <v>0</v>
      </c>
      <c r="M39" s="29">
        <f t="array" ref="M39">IFERROR(INDEX(C4:C100, SMALL(IF("Expenses: Transport"=D4:D100, ROW(D4:D100)-ROW(D4)+1), 16)), 0)</f>
        <v>0</v>
      </c>
      <c r="N39" s="29">
        <f t="array" ref="N39">IFERROR(INDEX(C4:C100, SMALL(IF("Expenses: Vacation"=D4:D100, ROW(D4:D100)-ROW(D4)+1), 16)), 0)</f>
        <v>0</v>
      </c>
      <c r="O39" s="29">
        <f t="array" ref="O39">IFERROR(INDEX(C4:C100, SMALL(IF("Expenses: Health Insurance"=D4:D100, ROW(D4:D100)-ROW(D4)+1), 16)), 0)</f>
        <v>0</v>
      </c>
      <c r="P39" s="29">
        <f t="array" ref="P39">IFERROR(INDEX(C4:C100, SMALL(IF("Expenses: Personal"=D4:D100, ROW(D4:D100)-ROW(D4)+1), 16)), 0)</f>
        <v>0</v>
      </c>
      <c r="Q39" s="29">
        <f t="array" ref="Q39">IFERROR(INDEX(C4:C100, SMALL(IF("Expenses: Missed to budget"=D4:D100, ROW(D4:D100)-ROW(D4)+1), 16)), 0)</f>
        <v>0</v>
      </c>
      <c r="R39" s="8"/>
      <c r="S39" s="8"/>
      <c r="T39" s="8"/>
      <c r="U39" s="8"/>
      <c r="V39" s="8"/>
      <c r="W39" s="8"/>
      <c r="X39" s="8"/>
      <c r="Y39" s="8"/>
    </row>
    <row r="40">
      <c r="A40" s="5"/>
      <c r="B40" s="5"/>
      <c r="C40" s="5"/>
      <c r="D40" s="5"/>
      <c r="E40" s="5"/>
      <c r="F40" s="5"/>
      <c r="G40" s="29">
        <f t="array" ref="G40">IFERROR(INDEX(C4:C100, SMALL(IF("Investment and savings: MF"=D4:D100, ROW(D4:D100)-ROW(D4)+1), 17)), 0)</f>
        <v>0</v>
      </c>
      <c r="H40" s="29">
        <f t="array" ref="H40">IFERROR(INDEX(C4:C100, SMALL(IF("Investment and savings: FD"=D4:D100, ROW(D4:D100)-ROW(D4)+1), 17)), 0)</f>
        <v>0</v>
      </c>
      <c r="I40" s="29">
        <f t="array" ref="I40">IFERROR(INDEX(C4:C100, SMALL(IF("Investment and savings: Gym"=D4:D100, ROW(D4:D100)-ROW(D4)+1), 17)), 0)</f>
        <v>0</v>
      </c>
      <c r="J40" s="29">
        <f t="array" ref="J40">IFERROR(INDEX(C4:C100, SMALL(IF("Investment and savings: Books"=D4:D100, ROW(D4:D100)-ROW(D4)+1), 17)), 0)</f>
        <v>0</v>
      </c>
      <c r="K40" s="29">
        <f t="array" ref="K40">IFERROR(INDEX(C4:C100, SMALL(IF("Expenses: Household"=D4:D100, ROW(D4:D100)-ROW(D4)+1), 17)), 0)</f>
        <v>0</v>
      </c>
      <c r="L40" s="29">
        <f t="array" ref="L40">IFERROR(INDEX(C4:C100, SMALL(IF("Expenses: Rent"=D4:D100, ROW(D4:D100)-ROW(D4)+1), 17)), 0)</f>
        <v>0</v>
      </c>
      <c r="M40" s="29">
        <f t="array" ref="M40">IFERROR(INDEX(C4:C100, SMALL(IF("Expenses: Transport"=D4:D100, ROW(D4:D100)-ROW(D4)+1), 17)), 0)</f>
        <v>0</v>
      </c>
      <c r="N40" s="29">
        <f t="array" ref="N40">IFERROR(INDEX(C4:C100, SMALL(IF("Expenses: Vacation"=D4:D100, ROW(D4:D100)-ROW(D4)+1), 17)), 0)</f>
        <v>0</v>
      </c>
      <c r="O40" s="29">
        <f t="array" ref="O40">IFERROR(INDEX(C4:C100, SMALL(IF("Expenses: Health Insurance"=D4:D100, ROW(D4:D100)-ROW(D4)+1), 17)), 0)</f>
        <v>0</v>
      </c>
      <c r="P40" s="29">
        <f t="array" ref="P40">IFERROR(INDEX(C4:C100, SMALL(IF("Expenses: Personal"=D4:D100, ROW(D4:D100)-ROW(D4)+1), 17)), 0)</f>
        <v>0</v>
      </c>
      <c r="Q40" s="29">
        <f t="array" ref="Q40">IFERROR(INDEX(C4:C100, SMALL(IF("Expenses: Missed to budget"=D4:D100, ROW(D4:D100)-ROW(D4)+1), 17)), 0)</f>
        <v>0</v>
      </c>
      <c r="R40" s="8"/>
      <c r="S40" s="8"/>
      <c r="T40" s="8"/>
      <c r="U40" s="8"/>
      <c r="V40" s="8"/>
      <c r="W40" s="8"/>
      <c r="X40" s="8"/>
      <c r="Y40" s="8"/>
    </row>
    <row r="41">
      <c r="A41" s="5"/>
      <c r="B41" s="5"/>
      <c r="C41" s="5"/>
      <c r="D41" s="5"/>
      <c r="E41" s="5"/>
      <c r="F41" s="5"/>
      <c r="G41" s="29">
        <f t="array" ref="G41">IFERROR(INDEX(C4:C100, SMALL(IF("Investment and savings: MF"=D4:D100, ROW(D4:D100)-ROW(D4)+1), 18)), 0)</f>
        <v>0</v>
      </c>
      <c r="H41" s="29">
        <f t="array" ref="H41">IFERROR(INDEX(C4:C100, SMALL(IF("Investment and savings: FD"=D4:D100, ROW(D4:D100)-ROW(D4)+1), 18)), 0)</f>
        <v>0</v>
      </c>
      <c r="I41" s="29">
        <f t="array" ref="I41">IFERROR(INDEX(C4:C100, SMALL(IF("Investment and savings: Gym"=D4:D100, ROW(D4:D100)-ROW(D4)+1), 18)), 0)</f>
        <v>0</v>
      </c>
      <c r="J41" s="29">
        <f t="array" ref="J41">IFERROR(INDEX(C4:C100, SMALL(IF("Investment and savings: Books"=D4:D100, ROW(D4:D100)-ROW(D4)+1), 18)), 0)</f>
        <v>0</v>
      </c>
      <c r="K41" s="29">
        <f t="array" ref="K41">IFERROR(INDEX(C4:C100, SMALL(IF("Expenses: Household"=D4:D100, ROW(D4:D100)-ROW(D4)+1), 18)), 0)</f>
        <v>0</v>
      </c>
      <c r="L41" s="29">
        <f t="array" ref="L41">IFERROR(INDEX(C4:C100, SMALL(IF("Expenses: Rent"=D4:D100, ROW(D4:D100)-ROW(D4)+1), 18)), 0)</f>
        <v>0</v>
      </c>
      <c r="M41" s="29">
        <f t="array" ref="M41">IFERROR(INDEX(C4:C100, SMALL(IF("Expenses: Transport"=D4:D100, ROW(D4:D100)-ROW(D4)+1), 18)), 0)</f>
        <v>0</v>
      </c>
      <c r="N41" s="29">
        <f t="array" ref="N41">IFERROR(INDEX(C4:C100, SMALL(IF("Expenses: Vacation"=D4:D100, ROW(D4:D100)-ROW(D4)+1), 18)), 0)</f>
        <v>0</v>
      </c>
      <c r="O41" s="29">
        <f t="array" ref="O41">IFERROR(INDEX(C4:C100, SMALL(IF("Expenses: Health Insurance"=D4:D100, ROW(D4:D100)-ROW(D4)+1), 18)), 0)</f>
        <v>0</v>
      </c>
      <c r="P41" s="29">
        <f t="array" ref="P41">IFERROR(INDEX(C4:C100, SMALL(IF("Expenses: Personal"=D4:D100, ROW(D4:D100)-ROW(D4)+1), 18)), 0)</f>
        <v>0</v>
      </c>
      <c r="Q41" s="29">
        <f t="array" ref="Q41">IFERROR(INDEX(C4:C100, SMALL(IF("Expenses: Missed to budget"=D4:D100, ROW(D4:D100)-ROW(D4)+1), 18)), 0)</f>
        <v>0</v>
      </c>
      <c r="R41" s="8"/>
      <c r="S41" s="8"/>
      <c r="T41" s="8"/>
      <c r="U41" s="8"/>
      <c r="V41" s="8"/>
      <c r="W41" s="8"/>
      <c r="X41" s="8"/>
      <c r="Y41" s="8"/>
    </row>
    <row r="42">
      <c r="A42" s="5"/>
      <c r="B42" s="5"/>
      <c r="C42" s="30"/>
      <c r="D42" s="31"/>
      <c r="E42" s="5"/>
      <c r="F42" s="5"/>
      <c r="G42" s="29">
        <f t="array" ref="G42">IFERROR(INDEX(C4:C100, SMALL(IF("Investment and savings: MF"=D4:D100, ROW(D4:D100)-ROW(D4)+1), 19)), 0)</f>
        <v>0</v>
      </c>
      <c r="H42" s="29">
        <f t="array" ref="H42">IFERROR(INDEX(C4:C100, SMALL(IF("Investment and savings: FD"=D4:D100, ROW(D4:D100)-ROW(D4)+1), 19)), 0)</f>
        <v>0</v>
      </c>
      <c r="I42" s="29">
        <f t="array" ref="I42">IFERROR(INDEX(C4:C100, SMALL(IF("Investment and savings: Gym"=D4:D100, ROW(D4:D100)-ROW(D4)+1), 19)), 0)</f>
        <v>0</v>
      </c>
      <c r="J42" s="29">
        <f t="array" ref="J42">IFERROR(INDEX(C4:C100, SMALL(IF("Investment and savings: Books"=D4:D100, ROW(D4:D100)-ROW(D4)+1), 19)), 0)</f>
        <v>0</v>
      </c>
      <c r="K42" s="29">
        <f t="array" ref="K42">IFERROR(INDEX(C4:C100, SMALL(IF("Expenses: Household"=D4:D100, ROW(D4:D100)-ROW(D4)+1), 19)), 0)</f>
        <v>0</v>
      </c>
      <c r="L42" s="29">
        <f t="array" ref="L42">IFERROR(INDEX(C4:C100, SMALL(IF("Expenses: Rent"=D4:D100, ROW(D4:D100)-ROW(D4)+1), 19)), 0)</f>
        <v>0</v>
      </c>
      <c r="M42" s="29">
        <f t="array" ref="M42">IFERROR(INDEX(C4:C100, SMALL(IF("Expenses: Transport"=D4:D100, ROW(D4:D100)-ROW(D4)+1), 19)), 0)</f>
        <v>0</v>
      </c>
      <c r="N42" s="29">
        <f t="array" ref="N42">IFERROR(INDEX(C4:C100, SMALL(IF("Expenses: Vacation"=D4:D100, ROW(D4:D100)-ROW(D4)+1), 19)), 0)</f>
        <v>0</v>
      </c>
      <c r="O42" s="29">
        <f t="array" ref="O42">IFERROR(INDEX(C4:C100, SMALL(IF("Expenses: Health Insurance"=D4:D100, ROW(D4:D100)-ROW(D4)+1), 19)), 0)</f>
        <v>0</v>
      </c>
      <c r="P42" s="29">
        <f t="array" ref="P42">IFERROR(INDEX(C4:C100, SMALL(IF("Expenses: Personal"=D4:D100, ROW(D4:D100)-ROW(D4)+1), 19)), 0)</f>
        <v>0</v>
      </c>
      <c r="Q42" s="29">
        <f t="array" ref="Q42">IFERROR(INDEX(C4:C100, SMALL(IF("Expenses: Missed to budget"=D4:D100, ROW(D4:D100)-ROW(D4)+1), 19)), 0)</f>
        <v>0</v>
      </c>
      <c r="R42" s="8"/>
      <c r="S42" s="8"/>
      <c r="T42" s="8"/>
      <c r="U42" s="8"/>
      <c r="V42" s="8"/>
      <c r="W42" s="8"/>
      <c r="X42" s="8"/>
      <c r="Y42" s="8"/>
    </row>
    <row r="43">
      <c r="A43" s="5"/>
      <c r="B43" s="5"/>
      <c r="C43" s="30"/>
      <c r="D43" s="31"/>
      <c r="E43" s="5"/>
      <c r="F43" s="5"/>
      <c r="G43" s="29">
        <f t="array" ref="G43">IFERROR(INDEX(C4:C100, SMALL(IF("Investment and savings: MF"=D4:D100, ROW(D4:D100)-ROW(D4)+1), 20)), 0)</f>
        <v>0</v>
      </c>
      <c r="H43" s="29">
        <f t="array" ref="H43">IFERROR(INDEX(C4:C100, SMALL(IF("Investment and savings: FD"=D4:D100, ROW(D4:D100)-ROW(D4)+1), 20)), 0)</f>
        <v>0</v>
      </c>
      <c r="I43" s="29">
        <f t="array" ref="I43">IFERROR(INDEX(C4:C100, SMALL(IF("Investment and savings: Gym"=D4:D100, ROW(D4:D100)-ROW(D4)+1), 20)), 0)</f>
        <v>0</v>
      </c>
      <c r="J43" s="29">
        <f t="array" ref="J43">IFERROR(INDEX(C4:C100, SMALL(IF("Investment and savings: Books"=D4:D100, ROW(D4:D100)-ROW(D4)+1), 20)), 0)</f>
        <v>0</v>
      </c>
      <c r="K43" s="29">
        <f t="array" ref="K43">IFERROR(INDEX(C4:C100, SMALL(IF("Expenses: Household"=D4:D100, ROW(D4:D100)-ROW(D4)+1), 20)), 0)</f>
        <v>0</v>
      </c>
      <c r="L43" s="29">
        <f t="array" ref="L43">IFERROR(INDEX(C4:C100, SMALL(IF("Expenses: Rent"=D4:D100, ROW(D4:D100)-ROW(D4)+1), 20)), 0)</f>
        <v>0</v>
      </c>
      <c r="M43" s="29">
        <f t="array" ref="M43">IFERROR(INDEX(C4:C100, SMALL(IF("Expenses: Transport"=D4:D100, ROW(D4:D100)-ROW(D4)+1), 20)), 0)</f>
        <v>0</v>
      </c>
      <c r="N43" s="29">
        <f t="array" ref="N43">IFERROR(INDEX(C4:C100, SMALL(IF("Expenses: Vacation"=D4:D100, ROW(D4:D100)-ROW(D4)+1), 20)), 0)</f>
        <v>0</v>
      </c>
      <c r="O43" s="29">
        <f t="array" ref="O43">IFERROR(INDEX(C4:C100, SMALL(IF("Expenses: Health Insurance"=D4:D100, ROW(D4:D100)-ROW(D4)+1), 20)), 0)</f>
        <v>0</v>
      </c>
      <c r="P43" s="29">
        <f t="array" ref="P43">IFERROR(INDEX(C4:C100, SMALL(IF("Expenses: Personal"=D4:D100, ROW(D4:D100)-ROW(D4)+1), 20)), 0)</f>
        <v>0</v>
      </c>
      <c r="Q43" s="29">
        <f t="array" ref="Q43">IFERROR(INDEX(C4:C100, SMALL(IF("Expenses: Missed to budget"=D4:D100, ROW(D4:D100)-ROW(D4)+1), 20)), 0)</f>
        <v>0</v>
      </c>
      <c r="R43" s="8"/>
      <c r="S43" s="8"/>
      <c r="T43" s="8"/>
      <c r="U43" s="8"/>
      <c r="V43" s="8"/>
      <c r="W43" s="8"/>
      <c r="X43" s="8"/>
      <c r="Y43" s="8"/>
    </row>
    <row r="44">
      <c r="A44" s="5"/>
      <c r="B44" s="5"/>
      <c r="C44" s="30"/>
      <c r="D44" s="3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8"/>
      <c r="W44" s="8"/>
      <c r="X44" s="8"/>
      <c r="Y44" s="8"/>
    </row>
    <row r="45">
      <c r="A45" s="5"/>
      <c r="B45" s="5"/>
      <c r="C45" s="30"/>
      <c r="D45" s="31"/>
      <c r="E45" s="5"/>
      <c r="F45" s="32" t="s">
        <v>46</v>
      </c>
      <c r="G45" s="29">
        <f t="shared" ref="G45:Q45" si="2">SUM(G24:G44)</f>
        <v>0</v>
      </c>
      <c r="H45" s="29">
        <f t="shared" si="2"/>
        <v>0</v>
      </c>
      <c r="I45" s="29">
        <f t="shared" si="2"/>
        <v>0</v>
      </c>
      <c r="J45" s="29">
        <f t="shared" si="2"/>
        <v>0</v>
      </c>
      <c r="K45" s="29">
        <f t="shared" si="2"/>
        <v>45.27</v>
      </c>
      <c r="L45" s="29">
        <f t="shared" si="2"/>
        <v>700</v>
      </c>
      <c r="M45" s="29">
        <f t="shared" si="2"/>
        <v>50</v>
      </c>
      <c r="N45" s="29">
        <f t="shared" si="2"/>
        <v>0</v>
      </c>
      <c r="O45" s="29">
        <f t="shared" si="2"/>
        <v>0</v>
      </c>
      <c r="P45" s="29">
        <f t="shared" si="2"/>
        <v>13.28</v>
      </c>
      <c r="Q45" s="29">
        <f t="shared" si="2"/>
        <v>2</v>
      </c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33"/>
      <c r="D46" s="2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33"/>
      <c r="D47" s="2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33"/>
      <c r="D48" s="2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33"/>
      <c r="D49" s="2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33"/>
      <c r="D50" s="2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33"/>
      <c r="D51" s="2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33"/>
      <c r="D52" s="2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33"/>
      <c r="D53" s="2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33"/>
      <c r="D54" s="2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33"/>
      <c r="D55" s="2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33"/>
      <c r="D56" s="2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33"/>
      <c r="D57" s="2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33"/>
      <c r="D58" s="2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33"/>
      <c r="D59" s="2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33"/>
      <c r="D60" s="2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33"/>
      <c r="D61" s="2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33"/>
      <c r="D62" s="2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33"/>
      <c r="D63" s="2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33"/>
      <c r="D64" s="2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33"/>
      <c r="D65" s="2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33"/>
      <c r="D66" s="2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33"/>
      <c r="D67" s="2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33"/>
      <c r="D68" s="2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33"/>
      <c r="D69" s="2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33"/>
      <c r="D70" s="2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33"/>
      <c r="D71" s="2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33"/>
      <c r="D72" s="2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33"/>
      <c r="D73" s="2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33"/>
      <c r="D74" s="2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33"/>
      <c r="D75" s="2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33"/>
      <c r="D76" s="2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33"/>
      <c r="D77" s="2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33"/>
      <c r="D78" s="2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33"/>
      <c r="D79" s="2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33"/>
      <c r="D80" s="2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33"/>
      <c r="D81" s="2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33"/>
      <c r="D82" s="2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33"/>
      <c r="D83" s="2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33"/>
      <c r="D84" s="2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33"/>
      <c r="D85" s="2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33"/>
      <c r="D86" s="2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33"/>
      <c r="D87" s="2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33"/>
      <c r="D88" s="2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33"/>
      <c r="D89" s="2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33"/>
      <c r="D90" s="2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33"/>
      <c r="D91" s="2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33"/>
      <c r="D92" s="2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33"/>
      <c r="D93" s="2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33"/>
      <c r="D94" s="2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33"/>
      <c r="D95" s="2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33"/>
      <c r="D96" s="2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33"/>
      <c r="D97" s="2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33"/>
      <c r="D98" s="2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33"/>
      <c r="D99" s="2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33"/>
      <c r="D100" s="2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33"/>
      <c r="D101" s="2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33"/>
      <c r="D102" s="2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33"/>
      <c r="D103" s="2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33"/>
      <c r="D104" s="2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33"/>
      <c r="D105" s="2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33"/>
      <c r="D106" s="2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33"/>
      <c r="D107" s="2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33"/>
      <c r="D108" s="2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33"/>
      <c r="D109" s="2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33"/>
      <c r="D110" s="2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33"/>
      <c r="D111" s="2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33"/>
      <c r="D112" s="2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33"/>
      <c r="D113" s="2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33"/>
      <c r="D114" s="2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33"/>
      <c r="D115" s="2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33"/>
      <c r="D116" s="2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33"/>
      <c r="D117" s="2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33"/>
      <c r="D118" s="2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33"/>
      <c r="D119" s="2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33"/>
      <c r="D120" s="2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33"/>
      <c r="D121" s="2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33"/>
      <c r="D122" s="2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33"/>
      <c r="D123" s="2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33"/>
      <c r="D124" s="2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33"/>
      <c r="D125" s="2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33"/>
      <c r="D126" s="2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33"/>
      <c r="D127" s="2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33"/>
      <c r="D128" s="2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33"/>
      <c r="D129" s="2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33"/>
      <c r="D130" s="2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33"/>
      <c r="D131" s="2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33"/>
      <c r="D132" s="2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33"/>
      <c r="D133" s="2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33"/>
      <c r="D134" s="2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33"/>
      <c r="D135" s="2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33"/>
      <c r="D136" s="2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33"/>
      <c r="D137" s="2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33"/>
      <c r="D138" s="2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33"/>
      <c r="D139" s="2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33"/>
      <c r="D140" s="2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33"/>
      <c r="D141" s="2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33"/>
      <c r="D142" s="2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33"/>
      <c r="D143" s="2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33"/>
      <c r="D144" s="2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33"/>
      <c r="D145" s="2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33"/>
      <c r="D146" s="2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33"/>
      <c r="D147" s="2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33"/>
      <c r="D148" s="2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33"/>
      <c r="D149" s="2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33"/>
      <c r="D150" s="2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33"/>
      <c r="D151" s="2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33"/>
      <c r="D152" s="2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33"/>
      <c r="D153" s="2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33"/>
      <c r="D154" s="2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33"/>
      <c r="D155" s="2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33"/>
      <c r="D156" s="2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33"/>
      <c r="D157" s="2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33"/>
      <c r="D158" s="2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33"/>
      <c r="D159" s="2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33"/>
      <c r="D160" s="2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33"/>
      <c r="D161" s="2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33"/>
      <c r="D162" s="2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33"/>
      <c r="D163" s="2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33"/>
      <c r="D164" s="2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33"/>
      <c r="D165" s="2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33"/>
      <c r="D166" s="2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33"/>
      <c r="D167" s="2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33"/>
      <c r="D168" s="2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33"/>
      <c r="D169" s="2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33"/>
      <c r="D170" s="2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33"/>
      <c r="D171" s="2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33"/>
      <c r="D172" s="2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33"/>
      <c r="D173" s="2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33"/>
      <c r="D174" s="2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33"/>
      <c r="D175" s="2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33"/>
      <c r="D176" s="2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33"/>
      <c r="D177" s="2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33"/>
      <c r="D178" s="2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33"/>
      <c r="D179" s="2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33"/>
      <c r="D180" s="2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33"/>
      <c r="D181" s="2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33"/>
      <c r="D182" s="2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33"/>
      <c r="D183" s="2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33"/>
      <c r="D184" s="2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33"/>
      <c r="D185" s="2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33"/>
      <c r="D186" s="2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33"/>
      <c r="D187" s="2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33"/>
      <c r="D188" s="2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33"/>
      <c r="D189" s="2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33"/>
      <c r="D190" s="2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33"/>
      <c r="D191" s="2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33"/>
      <c r="D192" s="2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33"/>
      <c r="D193" s="2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33"/>
      <c r="D194" s="2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33"/>
      <c r="D195" s="2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33"/>
      <c r="D196" s="2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33"/>
      <c r="D197" s="2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33"/>
      <c r="D198" s="2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33"/>
      <c r="D199" s="2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33"/>
      <c r="D200" s="2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33"/>
      <c r="D201" s="2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33"/>
      <c r="D202" s="2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33"/>
      <c r="D203" s="2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33"/>
      <c r="D204" s="2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33"/>
      <c r="D205" s="2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33"/>
      <c r="D206" s="2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33"/>
      <c r="D207" s="2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33"/>
      <c r="D208" s="2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33"/>
      <c r="D209" s="2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33"/>
      <c r="D210" s="2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33"/>
      <c r="D211" s="2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33"/>
      <c r="D212" s="2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33"/>
      <c r="D213" s="2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33"/>
      <c r="D214" s="2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33"/>
      <c r="D215" s="2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33"/>
      <c r="D216" s="2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33"/>
      <c r="D217" s="2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33"/>
      <c r="D218" s="2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33"/>
      <c r="D219" s="2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33"/>
      <c r="D220" s="2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33"/>
      <c r="D221" s="2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33"/>
      <c r="D222" s="2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33"/>
      <c r="D223" s="2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33"/>
      <c r="D224" s="2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33"/>
      <c r="D225" s="2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33"/>
      <c r="D226" s="2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33"/>
      <c r="D227" s="2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33"/>
      <c r="D228" s="2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33"/>
      <c r="D229" s="2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33"/>
      <c r="D230" s="2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33"/>
      <c r="D231" s="2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33"/>
      <c r="D232" s="2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33"/>
      <c r="D233" s="2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33"/>
      <c r="D234" s="2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33"/>
      <c r="D235" s="2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33"/>
      <c r="D236" s="2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33"/>
      <c r="D237" s="2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33"/>
      <c r="D238" s="2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33"/>
      <c r="D239" s="2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33"/>
      <c r="D240" s="2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33"/>
      <c r="D241" s="2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33"/>
      <c r="D242" s="2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33"/>
      <c r="D243" s="2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33"/>
      <c r="D244" s="2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33"/>
      <c r="D245" s="2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33"/>
      <c r="D246" s="2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33"/>
      <c r="D247" s="2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33"/>
      <c r="D248" s="2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33"/>
      <c r="D249" s="2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33"/>
      <c r="D250" s="2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33"/>
      <c r="D251" s="2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33"/>
      <c r="D252" s="2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33"/>
      <c r="D253" s="2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33"/>
      <c r="D254" s="2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33"/>
      <c r="D255" s="2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33"/>
      <c r="D256" s="2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33"/>
      <c r="D257" s="2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33"/>
      <c r="D258" s="2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33"/>
      <c r="D259" s="2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33"/>
      <c r="D260" s="2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33"/>
      <c r="D261" s="2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33"/>
      <c r="D262" s="2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33"/>
      <c r="D263" s="2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33"/>
      <c r="D264" s="2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33"/>
      <c r="D265" s="2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33"/>
      <c r="D266" s="2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33"/>
      <c r="D267" s="2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33"/>
      <c r="D268" s="2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33"/>
      <c r="D269" s="2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33"/>
      <c r="D270" s="2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33"/>
      <c r="D271" s="2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33"/>
      <c r="D272" s="2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33"/>
      <c r="D273" s="2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33"/>
      <c r="D274" s="2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33"/>
      <c r="D275" s="2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33"/>
      <c r="D276" s="2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33"/>
      <c r="D277" s="2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33"/>
      <c r="D278" s="2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33"/>
      <c r="D279" s="2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33"/>
      <c r="D280" s="2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33"/>
      <c r="D281" s="2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33"/>
      <c r="D282" s="2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33"/>
      <c r="D283" s="2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33"/>
      <c r="D284" s="2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33"/>
      <c r="D285" s="2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33"/>
      <c r="D286" s="2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33"/>
      <c r="D287" s="2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33"/>
      <c r="D288" s="2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33"/>
      <c r="D289" s="2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33"/>
      <c r="D290" s="2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33"/>
      <c r="D291" s="2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33"/>
      <c r="D292" s="2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33"/>
      <c r="D293" s="2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33"/>
      <c r="D294" s="2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33"/>
      <c r="D295" s="2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33"/>
      <c r="D296" s="2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33"/>
      <c r="D297" s="2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33"/>
      <c r="D298" s="2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33"/>
      <c r="D299" s="2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33"/>
      <c r="D300" s="2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33"/>
      <c r="D301" s="2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33"/>
      <c r="D302" s="2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33"/>
      <c r="D303" s="2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33"/>
      <c r="D304" s="2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33"/>
      <c r="D305" s="2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33"/>
      <c r="D306" s="2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33"/>
      <c r="D307" s="2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33"/>
      <c r="D308" s="2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33"/>
      <c r="D309" s="2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33"/>
      <c r="D310" s="2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33"/>
      <c r="D311" s="2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33"/>
      <c r="D312" s="2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33"/>
      <c r="D313" s="2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33"/>
      <c r="D314" s="2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33"/>
      <c r="D315" s="2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33"/>
      <c r="D316" s="2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33"/>
      <c r="D317" s="2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33"/>
      <c r="D318" s="2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33"/>
      <c r="D319" s="2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33"/>
      <c r="D320" s="2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33"/>
      <c r="D321" s="2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33"/>
      <c r="D322" s="2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33"/>
      <c r="D323" s="2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33"/>
      <c r="D324" s="2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33"/>
      <c r="D325" s="2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33"/>
      <c r="D326" s="2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33"/>
      <c r="D327" s="2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33"/>
      <c r="D328" s="2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33"/>
      <c r="D329" s="2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33"/>
      <c r="D330" s="2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33"/>
      <c r="D331" s="2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33"/>
      <c r="D332" s="2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33"/>
      <c r="D333" s="2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33"/>
      <c r="D334" s="2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33"/>
      <c r="D335" s="2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33"/>
      <c r="D336" s="2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33"/>
      <c r="D337" s="2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33"/>
      <c r="D338" s="2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33"/>
      <c r="D339" s="2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33"/>
      <c r="D340" s="2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33"/>
      <c r="D341" s="2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33"/>
      <c r="D342" s="2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33"/>
      <c r="D343" s="2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33"/>
      <c r="D344" s="2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33"/>
      <c r="D345" s="2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33"/>
      <c r="D346" s="2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33"/>
      <c r="D347" s="2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33"/>
      <c r="D348" s="2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33"/>
      <c r="D349" s="2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33"/>
      <c r="D350" s="2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33"/>
      <c r="D351" s="2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33"/>
      <c r="D352" s="2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33"/>
      <c r="D353" s="2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33"/>
      <c r="D354" s="2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33"/>
      <c r="D355" s="2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33"/>
      <c r="D356" s="2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33"/>
      <c r="D357" s="2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33"/>
      <c r="D358" s="2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33"/>
      <c r="D359" s="2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33"/>
      <c r="D360" s="2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33"/>
      <c r="D361" s="2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33"/>
      <c r="D362" s="2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33"/>
      <c r="D363" s="2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33"/>
      <c r="D364" s="2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33"/>
      <c r="D365" s="2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33"/>
      <c r="D366" s="2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33"/>
      <c r="D367" s="2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33"/>
      <c r="D368" s="2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33"/>
      <c r="D369" s="2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33"/>
      <c r="D370" s="2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33"/>
      <c r="D371" s="2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33"/>
      <c r="D372" s="2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33"/>
      <c r="D373" s="2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33"/>
      <c r="D374" s="2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33"/>
      <c r="D375" s="2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33"/>
      <c r="D376" s="2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33"/>
      <c r="D377" s="2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33"/>
      <c r="D378" s="2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33"/>
      <c r="D379" s="2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33"/>
      <c r="D380" s="2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33"/>
      <c r="D381" s="2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33"/>
      <c r="D382" s="2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33"/>
      <c r="D383" s="2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33"/>
      <c r="D384" s="2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33"/>
      <c r="D385" s="2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33"/>
      <c r="D386" s="2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33"/>
      <c r="D387" s="2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33"/>
      <c r="D388" s="2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33"/>
      <c r="D389" s="2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33"/>
      <c r="D390" s="2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33"/>
      <c r="D391" s="2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33"/>
      <c r="D392" s="2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33"/>
      <c r="D393" s="2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33"/>
      <c r="D394" s="2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33"/>
      <c r="D395" s="2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33"/>
      <c r="D396" s="2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33"/>
      <c r="D397" s="2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33"/>
      <c r="D398" s="2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33"/>
      <c r="D399" s="2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33"/>
      <c r="D400" s="2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33"/>
      <c r="D401" s="2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33"/>
      <c r="D402" s="2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33"/>
      <c r="D403" s="2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33"/>
      <c r="D404" s="2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33"/>
      <c r="D405" s="2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33"/>
      <c r="D406" s="2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33"/>
      <c r="D407" s="2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33"/>
      <c r="D408" s="2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33"/>
      <c r="D409" s="2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33"/>
      <c r="D410" s="2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33"/>
      <c r="D411" s="2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33"/>
      <c r="D412" s="2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33"/>
      <c r="D413" s="2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33"/>
      <c r="D414" s="2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33"/>
      <c r="D415" s="2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33"/>
      <c r="D416" s="2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33"/>
      <c r="D417" s="2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33"/>
      <c r="D418" s="2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33"/>
      <c r="D419" s="2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33"/>
      <c r="D420" s="2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33"/>
      <c r="D421" s="2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33"/>
      <c r="D422" s="2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33"/>
      <c r="D423" s="2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33"/>
      <c r="D424" s="2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33"/>
      <c r="D425" s="2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33"/>
      <c r="D426" s="2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33"/>
      <c r="D427" s="2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33"/>
      <c r="D428" s="2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33"/>
      <c r="D429" s="2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33"/>
      <c r="D430" s="2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33"/>
      <c r="D431" s="2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33"/>
      <c r="D432" s="2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33"/>
      <c r="D433" s="2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33"/>
      <c r="D434" s="2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33"/>
      <c r="D435" s="2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33"/>
      <c r="D436" s="2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33"/>
      <c r="D437" s="2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33"/>
      <c r="D438" s="2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33"/>
      <c r="D439" s="2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33"/>
      <c r="D440" s="2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33"/>
      <c r="D441" s="2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33"/>
      <c r="D442" s="2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33"/>
      <c r="D443" s="2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33"/>
      <c r="D444" s="2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33"/>
      <c r="D445" s="2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33"/>
      <c r="D446" s="2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33"/>
      <c r="D447" s="2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33"/>
      <c r="D448" s="2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33"/>
      <c r="D449" s="2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33"/>
      <c r="D450" s="2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33"/>
      <c r="D451" s="2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33"/>
      <c r="D452" s="2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33"/>
      <c r="D453" s="2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33"/>
      <c r="D454" s="2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33"/>
      <c r="D455" s="2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33"/>
      <c r="D456" s="2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33"/>
      <c r="D457" s="2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33"/>
      <c r="D458" s="2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33"/>
      <c r="D459" s="2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33"/>
      <c r="D460" s="2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33"/>
      <c r="D461" s="2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33"/>
      <c r="D462" s="2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33"/>
      <c r="D463" s="2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33"/>
      <c r="D464" s="2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33"/>
      <c r="D465" s="2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33"/>
      <c r="D466" s="2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33"/>
      <c r="D467" s="2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33"/>
      <c r="D468" s="2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33"/>
      <c r="D469" s="2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33"/>
      <c r="D470" s="2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33"/>
      <c r="D471" s="2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33"/>
      <c r="D472" s="2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33"/>
      <c r="D473" s="2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33"/>
      <c r="D474" s="2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33"/>
      <c r="D475" s="2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33"/>
      <c r="D476" s="2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33"/>
      <c r="D477" s="2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33"/>
      <c r="D478" s="2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33"/>
      <c r="D479" s="2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33"/>
      <c r="D480" s="2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33"/>
      <c r="D481" s="2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33"/>
      <c r="D482" s="2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33"/>
      <c r="D483" s="2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33"/>
      <c r="D484" s="2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33"/>
      <c r="D485" s="2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33"/>
      <c r="D486" s="2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33"/>
      <c r="D487" s="2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33"/>
      <c r="D488" s="2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33"/>
      <c r="D489" s="2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33"/>
      <c r="D490" s="2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33"/>
      <c r="D491" s="2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33"/>
      <c r="D492" s="2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33"/>
      <c r="D493" s="2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33"/>
      <c r="D494" s="2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33"/>
      <c r="D495" s="2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33"/>
      <c r="D496" s="2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33"/>
      <c r="D497" s="2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33"/>
      <c r="D498" s="2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33"/>
      <c r="D499" s="2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33"/>
      <c r="D500" s="2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33"/>
      <c r="D501" s="2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33"/>
      <c r="D502" s="2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33"/>
      <c r="D503" s="2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33"/>
      <c r="D504" s="2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33"/>
      <c r="D505" s="2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33"/>
      <c r="D506" s="2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33"/>
      <c r="D507" s="2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33"/>
      <c r="D508" s="2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33"/>
      <c r="D509" s="2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33"/>
      <c r="D510" s="2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33"/>
      <c r="D511" s="2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33"/>
      <c r="D512" s="2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33"/>
      <c r="D513" s="2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33"/>
      <c r="D514" s="2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33"/>
      <c r="D515" s="2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33"/>
      <c r="D516" s="2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33"/>
      <c r="D517" s="2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33"/>
      <c r="D518" s="2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33"/>
      <c r="D519" s="2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33"/>
      <c r="D520" s="2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33"/>
      <c r="D521" s="2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33"/>
      <c r="D522" s="2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33"/>
      <c r="D523" s="2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33"/>
      <c r="D524" s="2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33"/>
      <c r="D525" s="2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33"/>
      <c r="D526" s="2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33"/>
      <c r="D527" s="2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33"/>
      <c r="D528" s="2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33"/>
      <c r="D529" s="2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33"/>
      <c r="D530" s="2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33"/>
      <c r="D531" s="2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33"/>
      <c r="D532" s="2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33"/>
      <c r="D533" s="2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33"/>
      <c r="D534" s="2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33"/>
      <c r="D535" s="2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33"/>
      <c r="D536" s="2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33"/>
      <c r="D537" s="2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33"/>
      <c r="D538" s="2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33"/>
      <c r="D539" s="2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33"/>
      <c r="D540" s="2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33"/>
      <c r="D541" s="2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33"/>
      <c r="D542" s="2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33"/>
      <c r="D543" s="2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33"/>
      <c r="D544" s="2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33"/>
      <c r="D545" s="2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33"/>
      <c r="D546" s="2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33"/>
      <c r="D547" s="2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33"/>
      <c r="D548" s="2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33"/>
      <c r="D549" s="2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33"/>
      <c r="D550" s="2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33"/>
      <c r="D551" s="2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33"/>
      <c r="D552" s="2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33"/>
      <c r="D553" s="2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33"/>
      <c r="D554" s="2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33"/>
      <c r="D555" s="2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33"/>
      <c r="D556" s="2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33"/>
      <c r="D557" s="2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33"/>
      <c r="D558" s="2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33"/>
      <c r="D559" s="2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33"/>
      <c r="D560" s="2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33"/>
      <c r="D561" s="2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33"/>
      <c r="D562" s="2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33"/>
      <c r="D563" s="2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33"/>
      <c r="D564" s="2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33"/>
      <c r="D565" s="2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33"/>
      <c r="D566" s="2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33"/>
      <c r="D567" s="2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33"/>
      <c r="D568" s="2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33"/>
      <c r="D569" s="2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33"/>
      <c r="D570" s="2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33"/>
      <c r="D571" s="2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33"/>
      <c r="D572" s="2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33"/>
      <c r="D573" s="2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33"/>
      <c r="D574" s="2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33"/>
      <c r="D575" s="2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33"/>
      <c r="D576" s="2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33"/>
      <c r="D577" s="2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33"/>
      <c r="D578" s="2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33"/>
      <c r="D579" s="2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33"/>
      <c r="D580" s="2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33"/>
      <c r="D581" s="2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33"/>
      <c r="D582" s="2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33"/>
      <c r="D583" s="2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33"/>
      <c r="D584" s="2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33"/>
      <c r="D585" s="2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33"/>
      <c r="D586" s="2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33"/>
      <c r="D587" s="2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33"/>
      <c r="D588" s="2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33"/>
      <c r="D589" s="2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33"/>
      <c r="D590" s="2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33"/>
      <c r="D591" s="2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33"/>
      <c r="D592" s="2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33"/>
      <c r="D593" s="2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33"/>
      <c r="D594" s="2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33"/>
      <c r="D595" s="2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33"/>
      <c r="D596" s="2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33"/>
      <c r="D597" s="2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33"/>
      <c r="D598" s="2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33"/>
      <c r="D599" s="2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33"/>
      <c r="D600" s="2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33"/>
      <c r="D601" s="2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33"/>
      <c r="D602" s="2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33"/>
      <c r="D603" s="2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33"/>
      <c r="D604" s="2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33"/>
      <c r="D605" s="2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33"/>
      <c r="D606" s="2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33"/>
      <c r="D607" s="2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33"/>
      <c r="D608" s="2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33"/>
      <c r="D609" s="2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33"/>
      <c r="D610" s="2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33"/>
      <c r="D611" s="2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33"/>
      <c r="D612" s="2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33"/>
      <c r="D613" s="2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33"/>
      <c r="D614" s="2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33"/>
      <c r="D615" s="2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33"/>
      <c r="D616" s="2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33"/>
      <c r="D617" s="2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33"/>
      <c r="D618" s="2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33"/>
      <c r="D619" s="2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33"/>
      <c r="D620" s="2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33"/>
      <c r="D621" s="2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33"/>
      <c r="D622" s="2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33"/>
      <c r="D623" s="2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33"/>
      <c r="D624" s="2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33"/>
      <c r="D625" s="2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33"/>
      <c r="D626" s="2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33"/>
      <c r="D627" s="2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33"/>
      <c r="D628" s="2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33"/>
      <c r="D629" s="2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33"/>
      <c r="D630" s="2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33"/>
      <c r="D631" s="2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33"/>
      <c r="D632" s="2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33"/>
      <c r="D633" s="2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33"/>
      <c r="D634" s="2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33"/>
      <c r="D635" s="2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33"/>
      <c r="D636" s="2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33"/>
      <c r="D637" s="2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33"/>
      <c r="D638" s="2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33"/>
      <c r="D639" s="2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33"/>
      <c r="D640" s="2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33"/>
      <c r="D641" s="2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33"/>
      <c r="D642" s="2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33"/>
      <c r="D643" s="2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33"/>
      <c r="D644" s="2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33"/>
      <c r="D645" s="2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33"/>
      <c r="D646" s="2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33"/>
      <c r="D647" s="2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33"/>
      <c r="D648" s="2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33"/>
      <c r="D649" s="2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33"/>
      <c r="D650" s="2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33"/>
      <c r="D651" s="2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33"/>
      <c r="D652" s="2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33"/>
      <c r="D653" s="2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33"/>
      <c r="D654" s="2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33"/>
      <c r="D655" s="2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33"/>
      <c r="D656" s="2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33"/>
      <c r="D657" s="2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33"/>
      <c r="D658" s="2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33"/>
      <c r="D659" s="2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33"/>
      <c r="D660" s="2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33"/>
      <c r="D661" s="2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33"/>
      <c r="D662" s="2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33"/>
      <c r="D663" s="2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33"/>
      <c r="D664" s="2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33"/>
      <c r="D665" s="2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33"/>
      <c r="D666" s="2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33"/>
      <c r="D667" s="2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33"/>
      <c r="D668" s="2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33"/>
      <c r="D669" s="2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33"/>
      <c r="D670" s="2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33"/>
      <c r="D671" s="2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33"/>
      <c r="D672" s="2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33"/>
      <c r="D673" s="2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33"/>
      <c r="D674" s="2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33"/>
      <c r="D675" s="2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33"/>
      <c r="D676" s="2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33"/>
      <c r="D677" s="2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33"/>
      <c r="D678" s="2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33"/>
      <c r="D679" s="2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33"/>
      <c r="D680" s="2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33"/>
      <c r="D681" s="2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33"/>
      <c r="D682" s="2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33"/>
      <c r="D683" s="2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33"/>
      <c r="D684" s="2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33"/>
      <c r="D685" s="2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33"/>
      <c r="D686" s="2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33"/>
      <c r="D687" s="2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33"/>
      <c r="D688" s="2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33"/>
      <c r="D689" s="2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33"/>
      <c r="D690" s="2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33"/>
      <c r="D691" s="2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33"/>
      <c r="D692" s="2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33"/>
      <c r="D693" s="2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33"/>
      <c r="D694" s="2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33"/>
      <c r="D695" s="2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33"/>
      <c r="D696" s="2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33"/>
      <c r="D697" s="2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33"/>
      <c r="D698" s="2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33"/>
      <c r="D699" s="2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33"/>
      <c r="D700" s="2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33"/>
      <c r="D701" s="2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33"/>
      <c r="D702" s="2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33"/>
      <c r="D703" s="2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33"/>
      <c r="D704" s="2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33"/>
      <c r="D705" s="2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33"/>
      <c r="D706" s="2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33"/>
      <c r="D707" s="2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33"/>
      <c r="D708" s="2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33"/>
      <c r="D709" s="2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33"/>
      <c r="D710" s="2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33"/>
      <c r="D711" s="2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33"/>
      <c r="D712" s="2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33"/>
      <c r="D713" s="2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33"/>
      <c r="D714" s="2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33"/>
      <c r="D715" s="2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33"/>
      <c r="D716" s="2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33"/>
      <c r="D717" s="2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33"/>
      <c r="D718" s="2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33"/>
      <c r="D719" s="2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33"/>
      <c r="D720" s="2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33"/>
      <c r="D721" s="2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33"/>
      <c r="D722" s="2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33"/>
      <c r="D723" s="2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33"/>
      <c r="D724" s="2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33"/>
      <c r="D725" s="2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33"/>
      <c r="D726" s="2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33"/>
      <c r="D727" s="2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33"/>
      <c r="D728" s="2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33"/>
      <c r="D729" s="2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33"/>
      <c r="D730" s="2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33"/>
      <c r="D731" s="2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33"/>
      <c r="D732" s="2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33"/>
      <c r="D733" s="2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33"/>
      <c r="D734" s="2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33"/>
      <c r="D735" s="2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33"/>
      <c r="D736" s="2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33"/>
      <c r="D737" s="2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33"/>
      <c r="D738" s="2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33"/>
      <c r="D739" s="2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33"/>
      <c r="D740" s="2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33"/>
      <c r="D741" s="2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33"/>
      <c r="D742" s="2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33"/>
      <c r="D743" s="2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33"/>
      <c r="D744" s="2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33"/>
      <c r="D745" s="2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33"/>
      <c r="D746" s="2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33"/>
      <c r="D747" s="2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33"/>
      <c r="D748" s="2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33"/>
      <c r="D749" s="2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33"/>
      <c r="D750" s="2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33"/>
      <c r="D751" s="2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33"/>
      <c r="D752" s="2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33"/>
      <c r="D753" s="2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33"/>
      <c r="D754" s="2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33"/>
      <c r="D755" s="2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33"/>
      <c r="D756" s="2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33"/>
      <c r="D757" s="2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33"/>
      <c r="D758" s="2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33"/>
      <c r="D759" s="2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33"/>
      <c r="D760" s="2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33"/>
      <c r="D761" s="2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33"/>
      <c r="D762" s="2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33"/>
      <c r="D763" s="2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33"/>
      <c r="D764" s="2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33"/>
      <c r="D765" s="2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33"/>
      <c r="D766" s="2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33"/>
      <c r="D767" s="2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33"/>
      <c r="D768" s="2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33"/>
      <c r="D769" s="2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33"/>
      <c r="D770" s="2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33"/>
      <c r="D771" s="2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33"/>
      <c r="D772" s="2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33"/>
      <c r="D773" s="2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33"/>
      <c r="D774" s="2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33"/>
      <c r="D775" s="2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33"/>
      <c r="D776" s="2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33"/>
      <c r="D777" s="2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33"/>
      <c r="D778" s="2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33"/>
      <c r="D779" s="2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33"/>
      <c r="D780" s="2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33"/>
      <c r="D781" s="2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33"/>
      <c r="D782" s="2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33"/>
      <c r="D783" s="2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33"/>
      <c r="D784" s="2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33"/>
      <c r="D785" s="2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33"/>
      <c r="D786" s="2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33"/>
      <c r="D787" s="2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33"/>
      <c r="D788" s="2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33"/>
      <c r="D789" s="2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33"/>
      <c r="D790" s="2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33"/>
      <c r="D791" s="2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33"/>
      <c r="D792" s="2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33"/>
      <c r="D793" s="2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33"/>
      <c r="D794" s="2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33"/>
      <c r="D795" s="2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33"/>
      <c r="D796" s="2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33"/>
      <c r="D797" s="2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33"/>
      <c r="D798" s="2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33"/>
      <c r="D799" s="2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33"/>
      <c r="D800" s="2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33"/>
      <c r="D801" s="2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33"/>
      <c r="D802" s="2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33"/>
      <c r="D803" s="2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33"/>
      <c r="D804" s="2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33"/>
      <c r="D805" s="2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33"/>
      <c r="D806" s="2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33"/>
      <c r="D807" s="2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33"/>
      <c r="D808" s="2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33"/>
      <c r="D809" s="2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33"/>
      <c r="D810" s="2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33"/>
      <c r="D811" s="2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33"/>
      <c r="D812" s="2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33"/>
      <c r="D813" s="2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33"/>
      <c r="D814" s="2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33"/>
      <c r="D815" s="2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33"/>
      <c r="D816" s="2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33"/>
      <c r="D817" s="2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33"/>
      <c r="D818" s="2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33"/>
      <c r="D819" s="2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33"/>
      <c r="D820" s="2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33"/>
      <c r="D821" s="2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33"/>
      <c r="D822" s="2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33"/>
      <c r="D823" s="2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33"/>
      <c r="D824" s="2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33"/>
      <c r="D825" s="2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33"/>
      <c r="D826" s="2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33"/>
      <c r="D827" s="2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33"/>
      <c r="D828" s="2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33"/>
      <c r="D829" s="2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33"/>
      <c r="D830" s="2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33"/>
      <c r="D831" s="2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33"/>
      <c r="D832" s="2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33"/>
      <c r="D833" s="2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33"/>
      <c r="D834" s="2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33"/>
      <c r="D835" s="2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33"/>
      <c r="D836" s="2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33"/>
      <c r="D837" s="2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33"/>
      <c r="D838" s="2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33"/>
      <c r="D839" s="2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33"/>
      <c r="D840" s="2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33"/>
      <c r="D841" s="2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33"/>
      <c r="D842" s="2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33"/>
      <c r="D843" s="2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33"/>
      <c r="D844" s="2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33"/>
      <c r="D845" s="2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33"/>
      <c r="D846" s="2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33"/>
      <c r="D847" s="2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33"/>
      <c r="D848" s="2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33"/>
      <c r="D849" s="2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33"/>
      <c r="D850" s="2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33"/>
      <c r="D851" s="2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33"/>
      <c r="D852" s="2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33"/>
      <c r="D853" s="2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33"/>
      <c r="D854" s="2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33"/>
      <c r="D855" s="2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33"/>
      <c r="D856" s="2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33"/>
      <c r="D857" s="2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33"/>
      <c r="D858" s="2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33"/>
      <c r="D859" s="2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33"/>
      <c r="D860" s="2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33"/>
      <c r="D861" s="2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33"/>
      <c r="D862" s="2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33"/>
      <c r="D863" s="2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33"/>
      <c r="D864" s="2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33"/>
      <c r="D865" s="2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33"/>
      <c r="D866" s="2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33"/>
      <c r="D867" s="2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33"/>
      <c r="D868" s="2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33"/>
      <c r="D869" s="2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33"/>
      <c r="D870" s="2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33"/>
      <c r="D871" s="2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33"/>
      <c r="D872" s="2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33"/>
      <c r="D873" s="2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33"/>
      <c r="D874" s="2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33"/>
      <c r="D875" s="2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33"/>
      <c r="D876" s="2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33"/>
      <c r="D877" s="2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33"/>
      <c r="D878" s="2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33"/>
      <c r="D879" s="2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33"/>
      <c r="D880" s="2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33"/>
      <c r="D881" s="2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33"/>
      <c r="D882" s="2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33"/>
      <c r="D883" s="2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33"/>
      <c r="D884" s="2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33"/>
      <c r="D885" s="2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33"/>
      <c r="D886" s="2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33"/>
      <c r="D887" s="2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33"/>
      <c r="D888" s="2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33"/>
      <c r="D889" s="2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33"/>
      <c r="D890" s="2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33"/>
      <c r="D891" s="2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33"/>
      <c r="D892" s="2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33"/>
      <c r="D893" s="2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33"/>
      <c r="D894" s="2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33"/>
      <c r="D895" s="2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33"/>
      <c r="D896" s="2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33"/>
      <c r="D897" s="2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33"/>
      <c r="D898" s="2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33"/>
      <c r="D899" s="2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33"/>
      <c r="D900" s="2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33"/>
      <c r="D901" s="2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33"/>
      <c r="D902" s="2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33"/>
      <c r="D903" s="2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33"/>
      <c r="D904" s="2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33"/>
      <c r="D905" s="2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33"/>
      <c r="D906" s="2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33"/>
      <c r="D907" s="2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33"/>
      <c r="D908" s="2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33"/>
      <c r="D909" s="2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33"/>
      <c r="D910" s="2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33"/>
      <c r="D911" s="2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33"/>
      <c r="D912" s="2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33"/>
      <c r="D913" s="2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33"/>
      <c r="D914" s="2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33"/>
      <c r="D915" s="2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33"/>
      <c r="D916" s="2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33"/>
      <c r="D917" s="2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33"/>
      <c r="D918" s="2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33"/>
      <c r="D919" s="2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33"/>
      <c r="D920" s="2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33"/>
      <c r="D921" s="2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33"/>
      <c r="D922" s="2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33"/>
      <c r="D923" s="2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33"/>
      <c r="D924" s="2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33"/>
      <c r="D925" s="2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33"/>
      <c r="D926" s="2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33"/>
      <c r="D927" s="2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33"/>
      <c r="D928" s="2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33"/>
      <c r="D929" s="2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33"/>
      <c r="D930" s="2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33"/>
      <c r="D931" s="2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33"/>
      <c r="D932" s="2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33"/>
      <c r="D933" s="2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33"/>
      <c r="D934" s="2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33"/>
      <c r="D935" s="2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33"/>
      <c r="D936" s="2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33"/>
      <c r="D937" s="2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33"/>
      <c r="D938" s="2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33"/>
      <c r="D939" s="2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33"/>
      <c r="D940" s="2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33"/>
      <c r="D941" s="2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33"/>
      <c r="D942" s="2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33"/>
      <c r="D943" s="2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33"/>
      <c r="D944" s="2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33"/>
      <c r="D945" s="2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33"/>
      <c r="D946" s="2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33"/>
      <c r="D947" s="2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33"/>
      <c r="D948" s="2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33"/>
      <c r="D949" s="2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33"/>
      <c r="D950" s="2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33"/>
      <c r="D951" s="2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33"/>
      <c r="D952" s="2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33"/>
      <c r="D953" s="2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33"/>
      <c r="D954" s="2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33"/>
      <c r="D955" s="2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33"/>
      <c r="D956" s="2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33"/>
      <c r="D957" s="2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33"/>
      <c r="D958" s="2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33"/>
      <c r="D959" s="2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33"/>
      <c r="D960" s="2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33"/>
      <c r="D961" s="2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33"/>
      <c r="D962" s="2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33"/>
      <c r="D963" s="2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33"/>
      <c r="D964" s="2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33"/>
      <c r="D965" s="2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33"/>
      <c r="D966" s="2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33"/>
      <c r="D967" s="2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33"/>
      <c r="D968" s="2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33"/>
      <c r="D969" s="2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33"/>
      <c r="D970" s="2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33"/>
      <c r="D971" s="2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33"/>
      <c r="D972" s="2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33"/>
      <c r="D973" s="2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33"/>
      <c r="D974" s="2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33"/>
      <c r="D975" s="2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33"/>
      <c r="D976" s="2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33"/>
      <c r="D977" s="2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33"/>
      <c r="D978" s="2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33"/>
      <c r="D979" s="2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33"/>
      <c r="D980" s="2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33"/>
      <c r="D981" s="2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33"/>
      <c r="D982" s="2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33"/>
      <c r="D983" s="2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33"/>
      <c r="D984" s="2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33"/>
      <c r="D985" s="2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33"/>
      <c r="D986" s="2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33"/>
      <c r="D987" s="2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33"/>
      <c r="D988" s="2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33"/>
      <c r="D989" s="2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33"/>
      <c r="D990" s="2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33"/>
      <c r="D991" s="2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33"/>
      <c r="D992" s="2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33"/>
      <c r="D993" s="2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33"/>
      <c r="D994" s="2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33"/>
      <c r="D995" s="2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33"/>
      <c r="D996" s="2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33"/>
      <c r="D997" s="2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33"/>
      <c r="D998" s="2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33"/>
      <c r="D999" s="2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33"/>
      <c r="D1000" s="2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