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ala\"/>
    </mc:Choice>
  </mc:AlternateContent>
  <bookViews>
    <workbookView xWindow="0" yWindow="0" windowWidth="20460" windowHeight="8190" activeTab="12"/>
  </bookViews>
  <sheets>
    <sheet name="Exercise" sheetId="16" r:id="rId1"/>
    <sheet name="1.Input --&gt;" sheetId="4" r:id="rId2"/>
    <sheet name="P&amp;L assumptions" sheetId="2" r:id="rId3"/>
    <sheet name="BS assumptions" sheetId="3" r:id="rId4"/>
    <sheet name="2.Output--&gt;" sheetId="5" r:id="rId5"/>
    <sheet name="P&amp;L" sheetId="6" r:id="rId6"/>
    <sheet name="BS" sheetId="7" r:id="rId7"/>
    <sheet name="Cash Flow" sheetId="8" r:id="rId8"/>
    <sheet name="DCF valuation" sheetId="9" r:id="rId9"/>
    <sheet name="WACC" sheetId="15" r:id="rId10"/>
    <sheet name="3.Sources --&gt;" sheetId="10" r:id="rId11"/>
    <sheet name="P&amp;L Source" sheetId="13" r:id="rId12"/>
    <sheet name="BS Source " sheetId="1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8" l="1"/>
  <c r="D9" i="8"/>
  <c r="E9" i="8"/>
  <c r="C6" i="8"/>
  <c r="D6" i="8"/>
  <c r="E7" i="9" s="1"/>
  <c r="E6" i="8"/>
  <c r="F7" i="9" s="1"/>
  <c r="C3" i="9"/>
  <c r="G6" i="8"/>
  <c r="H6" i="8"/>
  <c r="I6" i="8"/>
  <c r="J6" i="8"/>
  <c r="J9" i="8" s="1"/>
  <c r="K7" i="9" s="1"/>
  <c r="K6" i="8"/>
  <c r="G9" i="8"/>
  <c r="H9" i="8"/>
  <c r="I7" i="9" s="1"/>
  <c r="I9" i="8"/>
  <c r="J7" i="9" s="1"/>
  <c r="K9" i="8"/>
  <c r="F9" i="8"/>
  <c r="F6" i="8"/>
  <c r="H7" i="9"/>
  <c r="L7" i="9"/>
  <c r="G7" i="9"/>
  <c r="D7" i="9"/>
  <c r="D8" i="8"/>
  <c r="E8" i="8"/>
  <c r="F8" i="8"/>
  <c r="G8" i="8"/>
  <c r="H8" i="8"/>
  <c r="I8" i="8"/>
  <c r="J8" i="8"/>
  <c r="K8" i="8"/>
  <c r="C8" i="8"/>
  <c r="E13" i="7"/>
  <c r="F13" i="7"/>
  <c r="G13" i="7"/>
  <c r="H13" i="7"/>
  <c r="I13" i="7"/>
  <c r="J13" i="7"/>
  <c r="K13" i="7"/>
  <c r="L13" i="7"/>
  <c r="D13" i="7"/>
  <c r="H6" i="7"/>
  <c r="G7" i="8"/>
  <c r="H7" i="8"/>
  <c r="I7" i="8"/>
  <c r="J7" i="8"/>
  <c r="K7" i="8"/>
  <c r="D7" i="8"/>
  <c r="E7" i="8"/>
  <c r="F7" i="8"/>
  <c r="C7" i="8"/>
  <c r="H5" i="8"/>
  <c r="I5" i="8"/>
  <c r="J5" i="8"/>
  <c r="K5" i="8"/>
  <c r="G5" i="8"/>
  <c r="D5" i="8"/>
  <c r="E5" i="8"/>
  <c r="F5" i="8"/>
  <c r="C5" i="8"/>
  <c r="H4" i="8"/>
  <c r="I4" i="8"/>
  <c r="J4" i="8"/>
  <c r="K4" i="8"/>
  <c r="G4" i="8"/>
  <c r="D4" i="8"/>
  <c r="E4" i="8"/>
  <c r="F4" i="8"/>
  <c r="C4" i="8"/>
  <c r="I12" i="7"/>
  <c r="J12" i="7"/>
  <c r="K12" i="7"/>
  <c r="L12" i="7"/>
  <c r="H12" i="7"/>
  <c r="D12" i="7"/>
  <c r="E12" i="7"/>
  <c r="F12" i="7"/>
  <c r="G12" i="7"/>
  <c r="C12" i="7"/>
  <c r="D10" i="7"/>
  <c r="E10" i="7"/>
  <c r="F10" i="7"/>
  <c r="G10" i="7"/>
  <c r="H10" i="7"/>
  <c r="I10" i="7"/>
  <c r="J10" i="7"/>
  <c r="K10" i="7"/>
  <c r="L10" i="7"/>
  <c r="D11" i="7"/>
  <c r="E11" i="7"/>
  <c r="F11" i="7"/>
  <c r="G11" i="7"/>
  <c r="H11" i="7"/>
  <c r="I11" i="7"/>
  <c r="J11" i="7"/>
  <c r="K11" i="7"/>
  <c r="L11" i="7"/>
  <c r="C11" i="7"/>
  <c r="C10" i="7"/>
  <c r="I9" i="7"/>
  <c r="J9" i="7"/>
  <c r="K9" i="7"/>
  <c r="L9" i="7"/>
  <c r="H9" i="7"/>
  <c r="D9" i="7"/>
  <c r="E9" i="7"/>
  <c r="F9" i="7"/>
  <c r="G9" i="7"/>
  <c r="C9" i="7"/>
  <c r="I6" i="7"/>
  <c r="J6" i="7"/>
  <c r="K6" i="7"/>
  <c r="L6" i="7"/>
  <c r="E6" i="7"/>
  <c r="F6" i="7"/>
  <c r="G6" i="7"/>
  <c r="D7" i="7"/>
  <c r="D6" i="7" s="1"/>
  <c r="I5" i="7"/>
  <c r="J5" i="7"/>
  <c r="K5" i="7"/>
  <c r="L5" i="7"/>
  <c r="H5" i="7"/>
  <c r="D5" i="7"/>
  <c r="E5" i="7"/>
  <c r="F5" i="7"/>
  <c r="G5" i="7"/>
  <c r="C5" i="7"/>
  <c r="H4" i="7"/>
  <c r="I4" i="7"/>
  <c r="J4" i="7"/>
  <c r="K4" i="7"/>
  <c r="L4" i="7"/>
  <c r="E4" i="7"/>
  <c r="F4" i="7"/>
  <c r="G4" i="7"/>
  <c r="D4" i="7"/>
  <c r="E7" i="7"/>
  <c r="F7" i="7"/>
  <c r="G7" i="7"/>
  <c r="H7" i="7"/>
  <c r="I7" i="7"/>
  <c r="J7" i="7"/>
  <c r="K7" i="7"/>
  <c r="L7" i="7"/>
  <c r="C7" i="7"/>
  <c r="I14" i="6"/>
  <c r="J14" i="6"/>
  <c r="K14" i="6"/>
  <c r="L14" i="6"/>
  <c r="H14" i="6"/>
  <c r="D11" i="6"/>
  <c r="E11" i="6"/>
  <c r="F11" i="6"/>
  <c r="G11" i="6"/>
  <c r="G14" i="6" s="1"/>
  <c r="H11" i="6"/>
  <c r="I11" i="6"/>
  <c r="J11" i="6"/>
  <c r="K11" i="6"/>
  <c r="L11" i="6"/>
  <c r="C11" i="6"/>
  <c r="I12" i="6"/>
  <c r="J12" i="6"/>
  <c r="K12" i="6"/>
  <c r="L12" i="6"/>
  <c r="I10" i="6"/>
  <c r="J10" i="6"/>
  <c r="K10" i="6"/>
  <c r="L10" i="6"/>
  <c r="H10" i="6"/>
  <c r="H12" i="6"/>
  <c r="I9" i="6"/>
  <c r="J9" i="6"/>
  <c r="K9" i="6"/>
  <c r="L9" i="6"/>
  <c r="H9" i="6"/>
  <c r="I8" i="6"/>
  <c r="J8" i="6"/>
  <c r="K8" i="6"/>
  <c r="L8" i="6"/>
  <c r="H8" i="6"/>
  <c r="I7" i="6"/>
  <c r="J7" i="6"/>
  <c r="K7" i="6"/>
  <c r="L7" i="6"/>
  <c r="H7" i="6"/>
  <c r="I6" i="6"/>
  <c r="J6" i="6"/>
  <c r="K6" i="6"/>
  <c r="L6" i="6"/>
  <c r="H6" i="6"/>
  <c r="I5" i="6"/>
  <c r="J5" i="6"/>
  <c r="K5" i="6"/>
  <c r="L5" i="6"/>
  <c r="H5" i="6"/>
  <c r="I4" i="6"/>
  <c r="J4" i="6"/>
  <c r="K4" i="6"/>
  <c r="L4" i="6"/>
  <c r="H4" i="6"/>
  <c r="D14" i="6"/>
  <c r="E14" i="6"/>
  <c r="F14" i="6"/>
  <c r="C14" i="6"/>
  <c r="D10" i="6"/>
  <c r="E10" i="6"/>
  <c r="F10" i="6"/>
  <c r="G10" i="6"/>
  <c r="C10" i="6"/>
  <c r="D8" i="6"/>
  <c r="E8" i="6"/>
  <c r="F8" i="6"/>
  <c r="G8" i="6"/>
  <c r="D6" i="6"/>
  <c r="E6" i="6"/>
  <c r="F6" i="6"/>
  <c r="G6" i="6"/>
  <c r="C8" i="6"/>
  <c r="C6" i="6"/>
  <c r="D12" i="6"/>
  <c r="E12" i="6"/>
  <c r="F12" i="6"/>
  <c r="G12" i="6"/>
  <c r="C12" i="6" l="1"/>
  <c r="D9" i="6"/>
  <c r="E9" i="6"/>
  <c r="F9" i="6"/>
  <c r="G9" i="6"/>
  <c r="C9" i="6"/>
  <c r="D7" i="6"/>
  <c r="E7" i="6"/>
  <c r="F7" i="6"/>
  <c r="G7" i="6"/>
  <c r="C7" i="6"/>
  <c r="D5" i="6"/>
  <c r="E5" i="6"/>
  <c r="F5" i="6"/>
  <c r="G5" i="6"/>
  <c r="C5" i="6"/>
  <c r="D4" i="6"/>
  <c r="E4" i="6"/>
  <c r="F4" i="6"/>
  <c r="G4" i="6"/>
  <c r="C4" i="6"/>
  <c r="C22" i="9" l="1"/>
  <c r="C21" i="9"/>
  <c r="C19" i="9"/>
  <c r="C18" i="9"/>
  <c r="C17" i="9"/>
  <c r="B22" i="9"/>
  <c r="B21" i="9"/>
  <c r="B20" i="9"/>
  <c r="B19" i="9"/>
  <c r="B18" i="9"/>
  <c r="B17" i="9"/>
  <c r="J63" i="15"/>
  <c r="I63" i="15"/>
  <c r="J62" i="15"/>
  <c r="I62" i="15"/>
  <c r="J61" i="15"/>
  <c r="I61" i="15"/>
  <c r="J60" i="15"/>
  <c r="I60" i="15"/>
  <c r="J59" i="15"/>
  <c r="I59" i="15"/>
  <c r="J58" i="15"/>
  <c r="I58" i="15"/>
  <c r="J57" i="15"/>
  <c r="I57" i="15"/>
  <c r="J56" i="15"/>
  <c r="I56" i="15"/>
  <c r="J55" i="15"/>
  <c r="I55" i="15"/>
  <c r="J54" i="15"/>
  <c r="I54" i="15"/>
  <c r="J53" i="15"/>
  <c r="I53" i="15"/>
  <c r="J52" i="15"/>
  <c r="I52" i="15"/>
  <c r="J51" i="15"/>
  <c r="I51" i="15"/>
  <c r="J50" i="15"/>
  <c r="I50" i="15"/>
  <c r="J49" i="15"/>
  <c r="I49" i="15"/>
  <c r="J48" i="15"/>
  <c r="I48" i="15"/>
  <c r="J47" i="15"/>
  <c r="I47" i="15"/>
  <c r="J46" i="15"/>
  <c r="I46" i="15"/>
  <c r="J45" i="15"/>
  <c r="I45" i="15"/>
  <c r="J44" i="15"/>
  <c r="I44" i="15"/>
  <c r="J43" i="15"/>
  <c r="I43" i="15"/>
  <c r="J42" i="15"/>
  <c r="I42" i="15"/>
  <c r="J41" i="15"/>
  <c r="I41" i="15"/>
  <c r="J40" i="15"/>
  <c r="I40" i="15"/>
  <c r="J39" i="15"/>
  <c r="I39" i="15"/>
  <c r="J38" i="15"/>
  <c r="I38" i="15"/>
  <c r="J37" i="15"/>
  <c r="I37" i="15"/>
  <c r="J36" i="15"/>
  <c r="I36" i="15"/>
  <c r="J35" i="15"/>
  <c r="I35" i="15"/>
  <c r="J34" i="15"/>
  <c r="I34" i="15"/>
  <c r="J33" i="15"/>
  <c r="I33" i="15"/>
  <c r="J32" i="15"/>
  <c r="I32" i="15"/>
  <c r="J31" i="15"/>
  <c r="I31" i="15"/>
  <c r="J30" i="15"/>
  <c r="I30" i="15"/>
  <c r="J29" i="15"/>
  <c r="I29" i="15"/>
  <c r="J28" i="15"/>
  <c r="I28" i="15"/>
  <c r="J27" i="15"/>
  <c r="I27" i="15"/>
  <c r="J26" i="15"/>
  <c r="I26" i="15"/>
  <c r="J25" i="15"/>
  <c r="I25" i="15"/>
  <c r="J24" i="15"/>
  <c r="I24" i="15"/>
  <c r="J23" i="15"/>
  <c r="I23" i="15"/>
  <c r="J22" i="15"/>
  <c r="I22" i="15"/>
  <c r="J21" i="15"/>
  <c r="I21" i="15"/>
  <c r="J20" i="15"/>
  <c r="I20" i="15"/>
  <c r="J19" i="15"/>
  <c r="I19" i="15"/>
  <c r="J18" i="15"/>
  <c r="I18" i="15"/>
  <c r="J17" i="15"/>
  <c r="I17" i="15"/>
  <c r="J16" i="15"/>
  <c r="I16" i="15"/>
  <c r="J15" i="15"/>
  <c r="I15" i="15"/>
  <c r="J14" i="15"/>
  <c r="I14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G15" i="3"/>
  <c r="F15" i="3"/>
  <c r="E15" i="3"/>
  <c r="D15" i="3"/>
  <c r="C15" i="3"/>
  <c r="G10" i="3"/>
  <c r="F10" i="3"/>
  <c r="F11" i="3" s="1"/>
  <c r="E10" i="3"/>
  <c r="D10" i="3"/>
  <c r="C10" i="3"/>
  <c r="G7" i="3"/>
  <c r="G8" i="3" s="1"/>
  <c r="H8" i="3" s="1"/>
  <c r="F7" i="3"/>
  <c r="E7" i="3"/>
  <c r="D7" i="3"/>
  <c r="D8" i="3" s="1"/>
  <c r="C7" i="3"/>
  <c r="C8" i="3" s="1"/>
  <c r="G4" i="3"/>
  <c r="F4" i="3"/>
  <c r="F5" i="3" s="1"/>
  <c r="E4" i="3"/>
  <c r="D4" i="3"/>
  <c r="C4" i="3"/>
  <c r="G28" i="2"/>
  <c r="F28" i="2"/>
  <c r="E28" i="2"/>
  <c r="D28" i="2"/>
  <c r="C28" i="2"/>
  <c r="B28" i="2"/>
  <c r="B21" i="2"/>
  <c r="G20" i="14"/>
  <c r="F20" i="14"/>
  <c r="E20" i="14"/>
  <c r="D20" i="14"/>
  <c r="E19" i="14"/>
  <c r="D19" i="14"/>
  <c r="G18" i="14"/>
  <c r="C20" i="9" s="1"/>
  <c r="F18" i="14"/>
  <c r="E18" i="14"/>
  <c r="D18" i="14"/>
  <c r="G14" i="14"/>
  <c r="F14" i="14"/>
  <c r="E14" i="14"/>
  <c r="D14" i="14"/>
  <c r="G18" i="13"/>
  <c r="F18" i="13"/>
  <c r="E18" i="13"/>
  <c r="D18" i="13"/>
  <c r="C18" i="13"/>
  <c r="C17" i="13"/>
  <c r="D16" i="13"/>
  <c r="C16" i="13"/>
  <c r="G11" i="13"/>
  <c r="G21" i="2" s="1"/>
  <c r="F11" i="13"/>
  <c r="F21" i="2" s="1"/>
  <c r="E11" i="13"/>
  <c r="E21" i="2" s="1"/>
  <c r="D11" i="13"/>
  <c r="D21" i="2" s="1"/>
  <c r="C11" i="13"/>
  <c r="C21" i="2" s="1"/>
  <c r="G10" i="13"/>
  <c r="F10" i="13"/>
  <c r="E10" i="13"/>
  <c r="D10" i="13"/>
  <c r="C10" i="13"/>
  <c r="G8" i="13"/>
  <c r="E8" i="13"/>
  <c r="D8" i="13"/>
  <c r="F7" i="13"/>
  <c r="F8" i="13" s="1"/>
  <c r="C6" i="13"/>
  <c r="C8" i="13" s="1"/>
  <c r="E5" i="3" l="1"/>
  <c r="E11" i="3"/>
  <c r="G5" i="3"/>
  <c r="C11" i="3"/>
  <c r="C5" i="3"/>
  <c r="E8" i="3"/>
  <c r="G11" i="3"/>
  <c r="H11" i="3" s="1"/>
  <c r="I11" i="3" s="1"/>
  <c r="J11" i="3" s="1"/>
  <c r="K11" i="3" s="1"/>
  <c r="L11" i="3" s="1"/>
  <c r="D5" i="3"/>
  <c r="F8" i="3"/>
  <c r="D11" i="3"/>
  <c r="I5" i="3"/>
  <c r="I8" i="3"/>
  <c r="C15" i="9"/>
  <c r="C24" i="9"/>
  <c r="C27" i="15"/>
  <c r="C10" i="15"/>
  <c r="C12" i="15" s="1"/>
  <c r="J8" i="3" l="1"/>
  <c r="J5" i="3"/>
  <c r="C5" i="15"/>
  <c r="C6" i="15" s="1"/>
  <c r="K5" i="3" l="1"/>
  <c r="K8" i="3"/>
  <c r="C19" i="15"/>
  <c r="B7" i="9"/>
  <c r="B15" i="3"/>
  <c r="M36" i="2"/>
  <c r="L36" i="2"/>
  <c r="K36" i="2"/>
  <c r="J36" i="2"/>
  <c r="I36" i="2"/>
  <c r="C15" i="15" s="1"/>
  <c r="C16" i="15" s="1"/>
  <c r="C20" i="15" s="1"/>
  <c r="B7" i="6"/>
  <c r="C22" i="15" l="1"/>
  <c r="L8" i="3"/>
  <c r="L5" i="3"/>
  <c r="M22" i="2"/>
  <c r="L22" i="2"/>
  <c r="K22" i="2"/>
  <c r="J22" i="2"/>
  <c r="I22" i="2"/>
  <c r="M15" i="2"/>
  <c r="L15" i="2"/>
  <c r="K15" i="2"/>
  <c r="J15" i="2"/>
  <c r="I15" i="2"/>
  <c r="J8" i="9" l="1"/>
  <c r="J8" i="2"/>
  <c r="K8" i="2"/>
  <c r="L8" i="2"/>
  <c r="M8" i="2"/>
  <c r="I8" i="2"/>
  <c r="G7" i="2"/>
  <c r="G16" i="3" s="1"/>
  <c r="H16" i="3" s="1"/>
  <c r="I16" i="3" s="1"/>
  <c r="J16" i="3" s="1"/>
  <c r="K16" i="3" s="1"/>
  <c r="L16" i="3" s="1"/>
  <c r="F7" i="2"/>
  <c r="F16" i="3" s="1"/>
  <c r="E7" i="2"/>
  <c r="E16" i="3" s="1"/>
  <c r="D7" i="2"/>
  <c r="D16" i="3" s="1"/>
  <c r="C7" i="2"/>
  <c r="C16" i="3" s="1"/>
  <c r="K8" i="9" l="1"/>
  <c r="H8" i="9"/>
  <c r="I8" i="9"/>
  <c r="L8" i="9"/>
  <c r="C12" i="9"/>
  <c r="C13" i="9" s="1"/>
  <c r="E8" i="2"/>
  <c r="F29" i="2"/>
  <c r="F22" i="2"/>
  <c r="E29" i="2"/>
  <c r="D29" i="2"/>
  <c r="C22" i="2"/>
  <c r="G22" i="2"/>
  <c r="G29" i="2"/>
  <c r="I32" i="2" s="1"/>
  <c r="E22" i="2"/>
  <c r="D22" i="2"/>
  <c r="G8" i="2"/>
  <c r="F8" i="2"/>
  <c r="D8" i="2"/>
  <c r="I7" i="2"/>
  <c r="H15" i="3" s="1"/>
  <c r="G40" i="14"/>
  <c r="G32" i="14"/>
  <c r="G21" i="14"/>
  <c r="G11" i="14"/>
  <c r="F40" i="14"/>
  <c r="E40" i="14"/>
  <c r="F32" i="14"/>
  <c r="E32" i="14"/>
  <c r="C32" i="14"/>
  <c r="D32" i="14"/>
  <c r="F21" i="14"/>
  <c r="E21" i="14"/>
  <c r="C21" i="14"/>
  <c r="D21" i="14"/>
  <c r="F11" i="14"/>
  <c r="E11" i="14"/>
  <c r="D11" i="14"/>
  <c r="C11" i="14"/>
  <c r="I31" i="2" l="1"/>
  <c r="J31" i="2" s="1"/>
  <c r="K31" i="2" s="1"/>
  <c r="L31" i="2" s="1"/>
  <c r="M31" i="2" s="1"/>
  <c r="J32" i="2"/>
  <c r="I33" i="2"/>
  <c r="J33" i="2" s="1"/>
  <c r="K33" i="2" s="1"/>
  <c r="L33" i="2" s="1"/>
  <c r="M33" i="2" s="1"/>
  <c r="I29" i="2"/>
  <c r="I28" i="2" s="1"/>
  <c r="H4" i="3"/>
  <c r="E22" i="14"/>
  <c r="C22" i="14"/>
  <c r="F22" i="14"/>
  <c r="C29" i="2"/>
  <c r="C14" i="2"/>
  <c r="F12" i="13"/>
  <c r="F13" i="13" s="1"/>
  <c r="F15" i="13" s="1"/>
  <c r="F14" i="2"/>
  <c r="D12" i="13"/>
  <c r="D13" i="13" s="1"/>
  <c r="D15" i="13" s="1"/>
  <c r="D14" i="2"/>
  <c r="E12" i="13"/>
  <c r="E13" i="13" s="1"/>
  <c r="E15" i="13" s="1"/>
  <c r="E14" i="2"/>
  <c r="C12" i="13"/>
  <c r="C13" i="13" s="1"/>
  <c r="C15" i="13" s="1"/>
  <c r="G12" i="13"/>
  <c r="G13" i="13" s="1"/>
  <c r="G15" i="13" s="1"/>
  <c r="G14" i="2"/>
  <c r="G15" i="2" s="1"/>
  <c r="J7" i="2"/>
  <c r="I15" i="3" s="1"/>
  <c r="I21" i="2"/>
  <c r="I14" i="2"/>
  <c r="D22" i="14"/>
  <c r="C40" i="14"/>
  <c r="C41" i="14" s="1"/>
  <c r="D40" i="14"/>
  <c r="D41" i="14" s="1"/>
  <c r="F41" i="14"/>
  <c r="E41" i="14"/>
  <c r="G22" i="14"/>
  <c r="G41" i="14"/>
  <c r="E19" i="13" l="1"/>
  <c r="E21" i="13" s="1"/>
  <c r="G19" i="13"/>
  <c r="G21" i="13" s="1"/>
  <c r="K32" i="2"/>
  <c r="J29" i="2"/>
  <c r="F19" i="13"/>
  <c r="F21" i="13" s="1"/>
  <c r="C42" i="14"/>
  <c r="C19" i="13"/>
  <c r="C21" i="13" s="1"/>
  <c r="D21" i="13"/>
  <c r="D19" i="13"/>
  <c r="H7" i="3"/>
  <c r="H10" i="3"/>
  <c r="I4" i="3"/>
  <c r="E42" i="14"/>
  <c r="F42" i="14"/>
  <c r="D42" i="14"/>
  <c r="E13" i="3"/>
  <c r="D13" i="3"/>
  <c r="H13" i="3"/>
  <c r="E15" i="2"/>
  <c r="D15" i="2"/>
  <c r="C13" i="3"/>
  <c r="F15" i="2"/>
  <c r="G13" i="3"/>
  <c r="F13" i="3"/>
  <c r="C15" i="2"/>
  <c r="K7" i="2"/>
  <c r="J15" i="3" s="1"/>
  <c r="J28" i="2"/>
  <c r="J21" i="2"/>
  <c r="J14" i="2"/>
  <c r="G42" i="14"/>
  <c r="L32" i="2" l="1"/>
  <c r="K29" i="2"/>
  <c r="K28" i="2" s="1"/>
  <c r="I7" i="3"/>
  <c r="J4" i="3"/>
  <c r="I13" i="3"/>
  <c r="I10" i="3"/>
  <c r="L7" i="2"/>
  <c r="K15" i="3" s="1"/>
  <c r="K21" i="2"/>
  <c r="K14" i="2"/>
  <c r="M32" i="2" l="1"/>
  <c r="M29" i="2" s="1"/>
  <c r="L29" i="2"/>
  <c r="J7" i="3"/>
  <c r="K4" i="3"/>
  <c r="J13" i="3"/>
  <c r="J10" i="3"/>
  <c r="M7" i="2"/>
  <c r="L15" i="3" s="1"/>
  <c r="L28" i="2"/>
  <c r="L21" i="2"/>
  <c r="L14" i="2"/>
  <c r="L4" i="3" l="1"/>
  <c r="K7" i="3"/>
  <c r="H9" i="9"/>
  <c r="K13" i="3"/>
  <c r="L13" i="3"/>
  <c r="K10" i="3"/>
  <c r="M21" i="2"/>
  <c r="M28" i="2"/>
  <c r="M14" i="2"/>
  <c r="L7" i="3" l="1"/>
  <c r="I9" i="9"/>
  <c r="L10" i="3"/>
  <c r="J9" i="9" l="1"/>
  <c r="K9" i="9" l="1"/>
  <c r="L9" i="9" l="1"/>
  <c r="C11" i="9" l="1"/>
  <c r="C14" i="9" s="1"/>
  <c r="D11" i="9" s="1"/>
  <c r="D13" i="9" l="1"/>
  <c r="C23" i="9" l="1"/>
  <c r="C25" i="9" s="1"/>
  <c r="F13" i="9"/>
</calcChain>
</file>

<file path=xl/sharedStrings.xml><?xml version="1.0" encoding="utf-8"?>
<sst xmlns="http://schemas.openxmlformats.org/spreadsheetml/2006/main" count="268" uniqueCount="158">
  <si>
    <t>P&amp;L assumptions</t>
  </si>
  <si>
    <t>FY16
Actual</t>
  </si>
  <si>
    <t>FY17
Actual</t>
  </si>
  <si>
    <t>FY18
Actual</t>
  </si>
  <si>
    <t>FY20
Forecast</t>
  </si>
  <si>
    <t>FY21
Forecast</t>
  </si>
  <si>
    <t>FY22
Forecast</t>
  </si>
  <si>
    <t>FY23
Forecast</t>
  </si>
  <si>
    <t>Rs in Crores</t>
  </si>
  <si>
    <t>BS assumptions</t>
  </si>
  <si>
    <t>1.Input --&gt;</t>
  </si>
  <si>
    <t>2.Output --&gt;</t>
  </si>
  <si>
    <t>P&amp;L</t>
  </si>
  <si>
    <t>Note</t>
  </si>
  <si>
    <t>Revenues</t>
  </si>
  <si>
    <t>Cost of goods sold</t>
  </si>
  <si>
    <t>Gross Margin</t>
  </si>
  <si>
    <t>Operating expenses</t>
  </si>
  <si>
    <t>EBITDA</t>
  </si>
  <si>
    <t>D&amp;A</t>
  </si>
  <si>
    <t>EBIT</t>
  </si>
  <si>
    <t>Taxes</t>
  </si>
  <si>
    <t>Tax rate</t>
  </si>
  <si>
    <t xml:space="preserve"> </t>
  </si>
  <si>
    <t>Balance Sheet</t>
  </si>
  <si>
    <t>Inventory</t>
  </si>
  <si>
    <t>Trade receivable</t>
  </si>
  <si>
    <t>Trade payable</t>
  </si>
  <si>
    <t>Cash Flow</t>
  </si>
  <si>
    <t>DCF Valuation</t>
  </si>
  <si>
    <t>Revenue</t>
  </si>
  <si>
    <t>Income Statement</t>
  </si>
  <si>
    <t>INR (cr)</t>
  </si>
  <si>
    <t>Particulars</t>
  </si>
  <si>
    <t>Operating item</t>
  </si>
  <si>
    <t>Cost of materials consumed</t>
  </si>
  <si>
    <t>Total operating expenses</t>
  </si>
  <si>
    <t>Depreciation and amortisation expenses</t>
  </si>
  <si>
    <t>Non Operating item</t>
  </si>
  <si>
    <t>Profit before tax</t>
  </si>
  <si>
    <t>Tax expense</t>
  </si>
  <si>
    <t>Profit after tax / Net profit</t>
  </si>
  <si>
    <t>ASSETS</t>
  </si>
  <si>
    <t>NON-CURRENT ASSETS</t>
  </si>
  <si>
    <t>Property, plant and equipment</t>
  </si>
  <si>
    <t>Investments</t>
  </si>
  <si>
    <t>Other non-current assets</t>
  </si>
  <si>
    <t>Total Non-Current Assets</t>
  </si>
  <si>
    <t>CURRENT ASSETS</t>
  </si>
  <si>
    <t>Inventories</t>
  </si>
  <si>
    <t>Non-Operating item</t>
  </si>
  <si>
    <t>Other current assets</t>
  </si>
  <si>
    <t>Total Current Assets</t>
  </si>
  <si>
    <t>TOTAL ASSETS</t>
  </si>
  <si>
    <t>LIABILITIES</t>
  </si>
  <si>
    <t>NON-CURRENT LIABILITIES</t>
  </si>
  <si>
    <t>Total Non-Current Liabilities</t>
  </si>
  <si>
    <t>CURRENT LIABILITIES</t>
  </si>
  <si>
    <t>Other current liabilities</t>
  </si>
  <si>
    <t>Total Current Liabilities</t>
  </si>
  <si>
    <t>TOTAL LIABILITIES</t>
  </si>
  <si>
    <t>INR in Crores</t>
  </si>
  <si>
    <t>FY15
Actual</t>
  </si>
  <si>
    <t>FY14
Actual</t>
  </si>
  <si>
    <t>Net Operating Profit After Taxes (NOPAT)</t>
  </si>
  <si>
    <t>Capex</t>
  </si>
  <si>
    <t>Working Capital</t>
  </si>
  <si>
    <t>3.Sources --&gt;</t>
  </si>
  <si>
    <t>Selected case</t>
  </si>
  <si>
    <t>Case 1</t>
  </si>
  <si>
    <t>Case 2</t>
  </si>
  <si>
    <t>Case 3</t>
  </si>
  <si>
    <t>Optimistic</t>
  </si>
  <si>
    <t>Base</t>
  </si>
  <si>
    <t xml:space="preserve">Worst </t>
  </si>
  <si>
    <t>Scenarios:</t>
  </si>
  <si>
    <t>Revenue growth %</t>
  </si>
  <si>
    <t>% of revenue</t>
  </si>
  <si>
    <t>Tax %</t>
  </si>
  <si>
    <t>Accounts Receivable</t>
  </si>
  <si>
    <t>DSO</t>
  </si>
  <si>
    <t>Accounts Payable</t>
  </si>
  <si>
    <t>DPO</t>
  </si>
  <si>
    <t>DIO</t>
  </si>
  <si>
    <t>Cash Conversion Cycle (CCC)</t>
  </si>
  <si>
    <t>NOPAT</t>
  </si>
  <si>
    <t>Add: Deprecitaion &amp; Amortization</t>
  </si>
  <si>
    <t>Gross Cash Flow</t>
  </si>
  <si>
    <t>Less: Capex</t>
  </si>
  <si>
    <t>Less: Investment in working capital</t>
  </si>
  <si>
    <t>Net Cash Flow</t>
  </si>
  <si>
    <t>WACC</t>
  </si>
  <si>
    <t>Growth</t>
  </si>
  <si>
    <t>Key Inputs:</t>
  </si>
  <si>
    <t>Total Equity to Capital</t>
  </si>
  <si>
    <t>Net Debt to Capital</t>
  </si>
  <si>
    <t>Calculations:</t>
  </si>
  <si>
    <t>Risk Free Rate</t>
  </si>
  <si>
    <t>Market Risk Premium</t>
  </si>
  <si>
    <t>Cost of Equity</t>
  </si>
  <si>
    <t>Marginal Tax Rate</t>
  </si>
  <si>
    <t>Cost of Debt</t>
  </si>
  <si>
    <t>Weighted Cost of Equity</t>
  </si>
  <si>
    <t>Weighted Cost of Debt</t>
  </si>
  <si>
    <t>Weighted Average Cost of Capital</t>
  </si>
  <si>
    <t xml:space="preserve">Cost of Capital  </t>
  </si>
  <si>
    <t>Equity Beta</t>
  </si>
  <si>
    <t>Date</t>
  </si>
  <si>
    <t>NSE500</t>
  </si>
  <si>
    <t>Shares outstanding</t>
  </si>
  <si>
    <t>Share price</t>
  </si>
  <si>
    <t>Debt</t>
  </si>
  <si>
    <t>Market Cap</t>
  </si>
  <si>
    <t>Pre-tax cost of debt</t>
  </si>
  <si>
    <t>Discount factor</t>
  </si>
  <si>
    <t>Present value</t>
  </si>
  <si>
    <t>DCF value</t>
  </si>
  <si>
    <t>Continuing Value</t>
  </si>
  <si>
    <t>Enterprise value</t>
  </si>
  <si>
    <t>Less:Debt</t>
  </si>
  <si>
    <t>Add:</t>
  </si>
  <si>
    <t>Equity Value</t>
  </si>
  <si>
    <t>Intrinsic Value</t>
  </si>
  <si>
    <t>Sales</t>
  </si>
  <si>
    <t>Other operating revenues</t>
  </si>
  <si>
    <t>Excise Duties</t>
  </si>
  <si>
    <t>Net Revenue</t>
  </si>
  <si>
    <t>Marketing &amp; Other Operating Expenses</t>
  </si>
  <si>
    <t>Other Income</t>
  </si>
  <si>
    <t>Interest charges</t>
  </si>
  <si>
    <t>Other non operating items</t>
  </si>
  <si>
    <t>Cash and Cash Equivalents</t>
  </si>
  <si>
    <t>Trade Receivables</t>
  </si>
  <si>
    <t>Current tax assets</t>
  </si>
  <si>
    <t>Other non operating financial assets</t>
  </si>
  <si>
    <t>Net PP&amp;E</t>
  </si>
  <si>
    <t>Loans</t>
  </si>
  <si>
    <t>Long Term Debt</t>
  </si>
  <si>
    <t>Deferred Tax Liability</t>
  </si>
  <si>
    <t>Other non-current liabilities</t>
  </si>
  <si>
    <t>Provisions</t>
  </si>
  <si>
    <t>Equity</t>
  </si>
  <si>
    <t>Short Term Debt</t>
  </si>
  <si>
    <t>Other Financial Liabilities</t>
  </si>
  <si>
    <t>TradePayables</t>
  </si>
  <si>
    <t>Nestle Share price</t>
  </si>
  <si>
    <t>FY19
Forecast</t>
  </si>
  <si>
    <t>Nestle monthly Share price %</t>
  </si>
  <si>
    <t>Depreciation</t>
  </si>
  <si>
    <t>Ending Value</t>
  </si>
  <si>
    <t>% sales</t>
  </si>
  <si>
    <t>PV of Continuing value</t>
  </si>
  <si>
    <t>1. Calculate NOPAT in P&amp;L output sheet (2014-2023)</t>
  </si>
  <si>
    <t>2. Calculate Capex and Working Capital needs from 2019-2023</t>
  </si>
  <si>
    <t>3. Calculate Net Cash Flow (2014-2023)</t>
  </si>
  <si>
    <t>4. Apply 'goal seek' to find out terminal growth based on what market is expecting</t>
  </si>
  <si>
    <t>Given the P&amp;L and Balance Sheet assumptions, calculate the following:</t>
  </si>
  <si>
    <t>Change in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</si>
</sst>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(* #,##0.0_);_(* \(#,##0.0\);_(* &quot;-&quot;?_);@_l"/>
    <numFmt numFmtId="169" formatCode="_(* #,##0.0_);_(* \(#,##0.0\);_(* &quot;-&quot;??_);_(@_)"/>
    <numFmt numFmtId="170" formatCode="_(* #,##0.0_);_(* \(#,##0.0\);_(* &quot;-&quot;?_);_(@_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40"/>
      <color rgb="FF002060"/>
      <name val="Arial"/>
      <family val="2"/>
    </font>
    <font>
      <b/>
      <sz val="40"/>
      <color rgb="FF002060"/>
      <name val="Calibri"/>
      <family val="2"/>
    </font>
    <font>
      <b/>
      <sz val="14"/>
      <color rgb="FF002060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8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i/>
      <sz val="14"/>
      <color theme="8" tint="-0.249977111117893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0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/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 style="thin">
        <color auto="1"/>
      </top>
      <bottom/>
      <diagonal/>
    </border>
    <border>
      <left/>
      <right style="medium">
        <color indexed="55"/>
      </right>
      <top style="thin">
        <color auto="1"/>
      </top>
      <bottom/>
      <diagonal/>
    </border>
    <border>
      <left style="medium">
        <color indexed="55"/>
      </left>
      <right/>
      <top style="thin">
        <color auto="1"/>
      </top>
      <bottom style="double">
        <color auto="1"/>
      </bottom>
      <diagonal/>
    </border>
    <border>
      <left/>
      <right style="medium">
        <color indexed="55"/>
      </right>
      <top style="thin">
        <color auto="1"/>
      </top>
      <bottom style="double">
        <color auto="1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hair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36">
    <xf numFmtId="0" fontId="0" fillId="0" borderId="0" xfId="0"/>
    <xf numFmtId="0" fontId="3" fillId="2" borderId="0" xfId="3" applyFont="1" applyFill="1"/>
    <xf numFmtId="0" fontId="4" fillId="2" borderId="0" xfId="3" applyFont="1" applyFill="1"/>
    <xf numFmtId="0" fontId="5" fillId="2" borderId="0" xfId="3" applyFont="1" applyFill="1"/>
    <xf numFmtId="0" fontId="6" fillId="2" borderId="0" xfId="3" applyFont="1" applyFill="1"/>
    <xf numFmtId="164" fontId="7" fillId="2" borderId="0" xfId="3" applyNumberFormat="1" applyFont="1" applyFill="1"/>
    <xf numFmtId="164" fontId="8" fillId="2" borderId="0" xfId="3" applyNumberFormat="1" applyFont="1" applyFill="1"/>
    <xf numFmtId="164" fontId="7" fillId="2" borderId="1" xfId="3" applyNumberFormat="1" applyFont="1" applyFill="1" applyBorder="1"/>
    <xf numFmtId="164" fontId="7" fillId="2" borderId="1" xfId="3" applyNumberFormat="1" applyFont="1" applyFill="1" applyBorder="1" applyAlignment="1">
      <alignment horizontal="right" wrapText="1"/>
    </xf>
    <xf numFmtId="164" fontId="7" fillId="2" borderId="0" xfId="3" applyNumberFormat="1" applyFont="1" applyFill="1" applyAlignment="1">
      <alignment horizontal="right" wrapText="1"/>
    </xf>
    <xf numFmtId="164" fontId="7" fillId="3" borderId="1" xfId="3" applyNumberFormat="1" applyFont="1" applyFill="1" applyBorder="1" applyAlignment="1">
      <alignment horizontal="right" wrapText="1"/>
    </xf>
    <xf numFmtId="165" fontId="8" fillId="2" borderId="0" xfId="3" applyNumberFormat="1" applyFont="1" applyFill="1"/>
    <xf numFmtId="165" fontId="8" fillId="3" borderId="0" xfId="3" applyNumberFormat="1" applyFont="1" applyFill="1"/>
    <xf numFmtId="166" fontId="8" fillId="2" borderId="0" xfId="4" applyNumberFormat="1" applyFont="1" applyFill="1"/>
    <xf numFmtId="9" fontId="8" fillId="3" borderId="0" xfId="4" applyFont="1" applyFill="1"/>
    <xf numFmtId="164" fontId="9" fillId="2" borderId="0" xfId="3" applyNumberFormat="1" applyFont="1" applyFill="1"/>
    <xf numFmtId="164" fontId="9" fillId="3" borderId="0" xfId="3" applyNumberFormat="1" applyFont="1" applyFill="1"/>
    <xf numFmtId="164" fontId="8" fillId="3" borderId="0" xfId="3" applyNumberFormat="1" applyFont="1" applyFill="1"/>
    <xf numFmtId="166" fontId="9" fillId="2" borderId="0" xfId="4" applyNumberFormat="1" applyFont="1" applyFill="1"/>
    <xf numFmtId="166" fontId="9" fillId="3" borderId="0" xfId="4" applyNumberFormat="1" applyFont="1" applyFill="1"/>
    <xf numFmtId="164" fontId="7" fillId="2" borderId="1" xfId="3" applyNumberFormat="1" applyFont="1" applyFill="1" applyBorder="1" applyAlignment="1">
      <alignment wrapText="1"/>
    </xf>
    <xf numFmtId="164" fontId="7" fillId="2" borderId="2" xfId="3" applyNumberFormat="1" applyFont="1" applyFill="1" applyBorder="1"/>
    <xf numFmtId="165" fontId="7" fillId="2" borderId="2" xfId="3" applyNumberFormat="1" applyFont="1" applyFill="1" applyBorder="1"/>
    <xf numFmtId="9" fontId="8" fillId="2" borderId="0" xfId="4" applyFont="1" applyFill="1"/>
    <xf numFmtId="164" fontId="10" fillId="4" borderId="0" xfId="3" applyNumberFormat="1" applyFont="1" applyFill="1"/>
    <xf numFmtId="165" fontId="10" fillId="4" borderId="0" xfId="3" applyNumberFormat="1" applyFont="1" applyFill="1"/>
    <xf numFmtId="164" fontId="7" fillId="2" borderId="3" xfId="3" applyNumberFormat="1" applyFont="1" applyFill="1" applyBorder="1"/>
    <xf numFmtId="165" fontId="7" fillId="2" borderId="3" xfId="3" applyNumberFormat="1" applyFont="1" applyFill="1" applyBorder="1"/>
    <xf numFmtId="165" fontId="7" fillId="3" borderId="3" xfId="3" applyNumberFormat="1" applyFont="1" applyFill="1" applyBorder="1"/>
    <xf numFmtId="168" fontId="7" fillId="2" borderId="0" xfId="3" applyNumberFormat="1" applyFont="1" applyFill="1"/>
    <xf numFmtId="168" fontId="8" fillId="2" borderId="0" xfId="3" applyNumberFormat="1" applyFont="1" applyFill="1"/>
    <xf numFmtId="164" fontId="7" fillId="2" borderId="0" xfId="3" applyNumberFormat="1" applyFont="1" applyFill="1" applyBorder="1"/>
    <xf numFmtId="165" fontId="7" fillId="2" borderId="0" xfId="3" applyNumberFormat="1" applyFont="1" applyFill="1" applyBorder="1"/>
    <xf numFmtId="164" fontId="11" fillId="2" borderId="0" xfId="3" applyNumberFormat="1" applyFont="1" applyFill="1"/>
    <xf numFmtId="9" fontId="8" fillId="3" borderId="0" xfId="2" applyFont="1" applyFill="1"/>
    <xf numFmtId="165" fontId="10" fillId="5" borderId="0" xfId="3" applyNumberFormat="1" applyFont="1" applyFill="1"/>
    <xf numFmtId="164" fontId="8" fillId="6" borderId="0" xfId="3" applyNumberFormat="1" applyFont="1" applyFill="1"/>
    <xf numFmtId="9" fontId="8" fillId="2" borderId="0" xfId="2" applyFont="1" applyFill="1"/>
    <xf numFmtId="169" fontId="8" fillId="3" borderId="0" xfId="1" applyNumberFormat="1" applyFont="1" applyFill="1"/>
    <xf numFmtId="167" fontId="8" fillId="3" borderId="0" xfId="1" applyNumberFormat="1" applyFont="1" applyFill="1"/>
    <xf numFmtId="165" fontId="8" fillId="3" borderId="0" xfId="3" applyNumberFormat="1" applyFont="1" applyFill="1" applyBorder="1"/>
    <xf numFmtId="164" fontId="8" fillId="2" borderId="0" xfId="3" applyNumberFormat="1" applyFont="1" applyFill="1" applyBorder="1"/>
    <xf numFmtId="165" fontId="12" fillId="3" borderId="2" xfId="3" applyNumberFormat="1" applyFont="1" applyFill="1" applyBorder="1"/>
    <xf numFmtId="165" fontId="8" fillId="2" borderId="0" xfId="3" applyNumberFormat="1" applyFont="1" applyFill="1" applyBorder="1"/>
    <xf numFmtId="43" fontId="8" fillId="2" borderId="0" xfId="1" applyFont="1" applyFill="1"/>
    <xf numFmtId="167" fontId="8" fillId="2" borderId="0" xfId="1" applyNumberFormat="1" applyFont="1" applyFill="1"/>
    <xf numFmtId="164" fontId="12" fillId="2" borderId="0" xfId="3" applyNumberFormat="1" applyFont="1" applyFill="1"/>
    <xf numFmtId="164" fontId="7" fillId="2" borderId="7" xfId="3" applyNumberFormat="1" applyFont="1" applyFill="1" applyBorder="1"/>
    <xf numFmtId="165" fontId="7" fillId="2" borderId="7" xfId="3" applyNumberFormat="1" applyFont="1" applyFill="1" applyBorder="1"/>
    <xf numFmtId="0" fontId="16" fillId="0" borderId="0" xfId="0" applyFont="1"/>
    <xf numFmtId="0" fontId="17" fillId="0" borderId="10" xfId="3" applyFont="1" applyBorder="1" applyAlignment="1">
      <alignment horizontal="centerContinuous"/>
    </xf>
    <xf numFmtId="0" fontId="17" fillId="0" borderId="11" xfId="3" applyFont="1" applyBorder="1" applyAlignment="1">
      <alignment horizontal="centerContinuous"/>
    </xf>
    <xf numFmtId="0" fontId="18" fillId="0" borderId="10" xfId="3" applyFont="1" applyBorder="1" applyAlignment="1">
      <alignment horizontal="left" indent="1"/>
    </xf>
    <xf numFmtId="0" fontId="16" fillId="0" borderId="11" xfId="3" applyFont="1" applyBorder="1" applyAlignment="1">
      <alignment horizontal="right" indent="1"/>
    </xf>
    <xf numFmtId="0" fontId="18" fillId="0" borderId="11" xfId="3" applyFont="1" applyBorder="1" applyAlignment="1">
      <alignment horizontal="right" indent="1"/>
    </xf>
    <xf numFmtId="166" fontId="18" fillId="0" borderId="11" xfId="6" applyNumberFormat="1" applyFont="1" applyBorder="1" applyAlignment="1">
      <alignment horizontal="right" indent="1"/>
    </xf>
    <xf numFmtId="166" fontId="18" fillId="0" borderId="11" xfId="3" applyNumberFormat="1" applyFont="1" applyBorder="1" applyAlignment="1">
      <alignment horizontal="right" indent="1"/>
    </xf>
    <xf numFmtId="0" fontId="18" fillId="0" borderId="10" xfId="3" applyFont="1" applyBorder="1"/>
    <xf numFmtId="0" fontId="18" fillId="0" borderId="11" xfId="3" applyFont="1" applyBorder="1"/>
    <xf numFmtId="0" fontId="17" fillId="0" borderId="12" xfId="3" applyFont="1" applyBorder="1" applyAlignment="1">
      <alignment horizontal="left" indent="1"/>
    </xf>
    <xf numFmtId="166" fontId="17" fillId="0" borderId="13" xfId="3" applyNumberFormat="1" applyFont="1" applyBorder="1" applyAlignment="1">
      <alignment horizontal="right" indent="1"/>
    </xf>
    <xf numFmtId="0" fontId="17" fillId="0" borderId="10" xfId="3" applyFont="1" applyBorder="1" applyAlignment="1">
      <alignment horizontal="left" indent="1"/>
    </xf>
    <xf numFmtId="166" fontId="17" fillId="0" borderId="11" xfId="3" applyNumberFormat="1" applyFont="1" applyBorder="1" applyAlignment="1">
      <alignment horizontal="right" indent="1"/>
    </xf>
    <xf numFmtId="0" fontId="17" fillId="0" borderId="14" xfId="3" applyFont="1" applyBorder="1" applyAlignment="1">
      <alignment horizontal="left" indent="1"/>
    </xf>
    <xf numFmtId="166" fontId="17" fillId="0" borderId="15" xfId="3" applyNumberFormat="1" applyFont="1" applyBorder="1" applyAlignment="1">
      <alignment horizontal="right" indent="1"/>
    </xf>
    <xf numFmtId="0" fontId="16" fillId="0" borderId="16" xfId="3" applyFont="1" applyBorder="1" applyAlignment="1">
      <alignment horizontal="left" indent="1"/>
    </xf>
    <xf numFmtId="0" fontId="16" fillId="0" borderId="17" xfId="3" applyFont="1" applyBorder="1" applyAlignment="1">
      <alignment horizontal="right" indent="1"/>
    </xf>
    <xf numFmtId="164" fontId="12" fillId="2" borderId="7" xfId="3" applyNumberFormat="1" applyFont="1" applyFill="1" applyBorder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left"/>
    </xf>
    <xf numFmtId="43" fontId="16" fillId="0" borderId="0" xfId="1" applyFont="1"/>
    <xf numFmtId="43" fontId="16" fillId="0" borderId="0" xfId="1" applyNumberFormat="1" applyFont="1"/>
    <xf numFmtId="9" fontId="16" fillId="0" borderId="0" xfId="2" applyFont="1"/>
    <xf numFmtId="2" fontId="18" fillId="0" borderId="11" xfId="6" applyNumberFormat="1" applyFont="1" applyBorder="1" applyAlignment="1">
      <alignment horizontal="right" indent="1"/>
    </xf>
    <xf numFmtId="3" fontId="16" fillId="0" borderId="0" xfId="0" applyNumberFormat="1" applyFont="1"/>
    <xf numFmtId="166" fontId="13" fillId="7" borderId="19" xfId="2" applyNumberFormat="1" applyFont="1" applyFill="1" applyBorder="1"/>
    <xf numFmtId="166" fontId="13" fillId="7" borderId="20" xfId="2" applyNumberFormat="1" applyFont="1" applyFill="1" applyBorder="1"/>
    <xf numFmtId="166" fontId="8" fillId="2" borderId="0" xfId="2" applyNumberFormat="1" applyFont="1" applyFill="1"/>
    <xf numFmtId="164" fontId="8" fillId="2" borderId="0" xfId="3" applyNumberFormat="1" applyFont="1" applyFill="1" applyAlignment="1"/>
    <xf numFmtId="164" fontId="13" fillId="2" borderId="0" xfId="3" applyNumberFormat="1" applyFont="1" applyFill="1"/>
    <xf numFmtId="0" fontId="16" fillId="0" borderId="0" xfId="0" applyFont="1" applyBorder="1"/>
    <xf numFmtId="0" fontId="16" fillId="0" borderId="18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4" xfId="0" applyFont="1" applyBorder="1"/>
    <xf numFmtId="17" fontId="19" fillId="0" borderId="4" xfId="0" applyNumberFormat="1" applyFont="1" applyBorder="1"/>
    <xf numFmtId="0" fontId="20" fillId="0" borderId="0" xfId="0" applyFont="1" applyBorder="1"/>
    <xf numFmtId="167" fontId="20" fillId="0" borderId="0" xfId="1" applyNumberFormat="1" applyFont="1" applyBorder="1"/>
    <xf numFmtId="0" fontId="20" fillId="0" borderId="6" xfId="0" applyFont="1" applyBorder="1"/>
    <xf numFmtId="167" fontId="20" fillId="0" borderId="6" xfId="1" applyNumberFormat="1" applyFont="1" applyBorder="1"/>
    <xf numFmtId="0" fontId="22" fillId="0" borderId="0" xfId="0" applyFont="1" applyAlignment="1">
      <alignment horizontal="center"/>
    </xf>
    <xf numFmtId="167" fontId="20" fillId="0" borderId="0" xfId="1" applyNumberFormat="1" applyFont="1"/>
    <xf numFmtId="0" fontId="21" fillId="0" borderId="6" xfId="0" applyFont="1" applyBorder="1"/>
    <xf numFmtId="167" fontId="21" fillId="0" borderId="6" xfId="0" applyNumberFormat="1" applyFont="1" applyBorder="1"/>
    <xf numFmtId="167" fontId="19" fillId="0" borderId="4" xfId="0" applyNumberFormat="1" applyFont="1" applyBorder="1"/>
    <xf numFmtId="0" fontId="19" fillId="0" borderId="6" xfId="0" applyFont="1" applyBorder="1"/>
    <xf numFmtId="167" fontId="19" fillId="0" borderId="6" xfId="0" applyNumberFormat="1" applyFont="1" applyBorder="1"/>
    <xf numFmtId="0" fontId="20" fillId="0" borderId="4" xfId="0" applyFont="1" applyBorder="1"/>
    <xf numFmtId="167" fontId="20" fillId="0" borderId="4" xfId="0" applyNumberFormat="1" applyFont="1" applyBorder="1"/>
    <xf numFmtId="0" fontId="20" fillId="0" borderId="7" xfId="0" applyFont="1" applyBorder="1"/>
    <xf numFmtId="167" fontId="20" fillId="0" borderId="7" xfId="0" applyNumberFormat="1" applyFont="1" applyBorder="1"/>
    <xf numFmtId="9" fontId="20" fillId="0" borderId="0" xfId="2" applyFont="1"/>
    <xf numFmtId="167" fontId="20" fillId="0" borderId="0" xfId="0" applyNumberFormat="1" applyFont="1"/>
    <xf numFmtId="169" fontId="20" fillId="0" borderId="0" xfId="1" applyNumberFormat="1" applyFont="1"/>
    <xf numFmtId="169" fontId="21" fillId="0" borderId="6" xfId="0" applyNumberFormat="1" applyFont="1" applyBorder="1"/>
    <xf numFmtId="167" fontId="19" fillId="0" borderId="0" xfId="1" applyNumberFormat="1" applyFont="1"/>
    <xf numFmtId="167" fontId="21" fillId="0" borderId="0" xfId="1" applyNumberFormat="1" applyFont="1"/>
    <xf numFmtId="0" fontId="19" fillId="0" borderId="5" xfId="0" applyFont="1" applyBorder="1"/>
    <xf numFmtId="169" fontId="19" fillId="0" borderId="5" xfId="1" applyNumberFormat="1" applyFont="1" applyBorder="1"/>
    <xf numFmtId="17" fontId="19" fillId="0" borderId="0" xfId="0" applyNumberFormat="1" applyFont="1" applyBorder="1"/>
    <xf numFmtId="169" fontId="19" fillId="0" borderId="0" xfId="1" applyNumberFormat="1" applyFont="1"/>
    <xf numFmtId="169" fontId="19" fillId="0" borderId="0" xfId="0" applyNumberFormat="1" applyFont="1"/>
    <xf numFmtId="169" fontId="21" fillId="0" borderId="0" xfId="1" applyNumberFormat="1" applyFont="1"/>
    <xf numFmtId="169" fontId="20" fillId="0" borderId="0" xfId="0" applyNumberFormat="1" applyFont="1"/>
    <xf numFmtId="170" fontId="20" fillId="0" borderId="0" xfId="0" applyNumberFormat="1" applyFont="1"/>
    <xf numFmtId="0" fontId="18" fillId="0" borderId="21" xfId="3" applyFont="1" applyBorder="1" applyAlignment="1">
      <alignment horizontal="left" indent="1"/>
    </xf>
    <xf numFmtId="166" fontId="18" fillId="0" borderId="22" xfId="6" applyNumberFormat="1" applyFont="1" applyBorder="1" applyAlignment="1">
      <alignment horizontal="right" indent="1"/>
    </xf>
    <xf numFmtId="0" fontId="18" fillId="0" borderId="23" xfId="3" applyFont="1" applyBorder="1" applyAlignment="1">
      <alignment horizontal="left" indent="1"/>
    </xf>
    <xf numFmtId="166" fontId="18" fillId="0" borderId="24" xfId="3" applyNumberFormat="1" applyFont="1" applyBorder="1" applyAlignment="1">
      <alignment horizontal="right" indent="1"/>
    </xf>
    <xf numFmtId="0" fontId="18" fillId="0" borderId="23" xfId="3" applyFont="1" applyBorder="1"/>
    <xf numFmtId="0" fontId="18" fillId="0" borderId="24" xfId="3" applyFont="1" applyBorder="1"/>
    <xf numFmtId="0" fontId="17" fillId="0" borderId="25" xfId="3" applyFont="1" applyBorder="1" applyAlignment="1">
      <alignment horizontal="left" indent="1"/>
    </xf>
    <xf numFmtId="0" fontId="18" fillId="0" borderId="26" xfId="3" applyFont="1" applyBorder="1" applyAlignment="1">
      <alignment horizontal="right" indent="1"/>
    </xf>
    <xf numFmtId="9" fontId="9" fillId="2" borderId="0" xfId="2" applyFont="1" applyFill="1"/>
    <xf numFmtId="9" fontId="9" fillId="3" borderId="0" xfId="2" applyFont="1" applyFill="1"/>
    <xf numFmtId="0" fontId="23" fillId="0" borderId="0" xfId="0" applyFont="1"/>
    <xf numFmtId="0" fontId="24" fillId="0" borderId="0" xfId="0" applyFont="1"/>
    <xf numFmtId="165" fontId="8" fillId="2" borderId="0" xfId="3" applyNumberFormat="1" applyFont="1" applyFill="1" applyAlignment="1"/>
    <xf numFmtId="43" fontId="0" fillId="0" borderId="0" xfId="0" applyNumberFormat="1"/>
    <xf numFmtId="165" fontId="7" fillId="9" borderId="3" xfId="3" applyNumberFormat="1" applyFont="1" applyFill="1" applyBorder="1"/>
    <xf numFmtId="165" fontId="8" fillId="10" borderId="0" xfId="3" applyNumberFormat="1" applyFont="1" applyFill="1"/>
    <xf numFmtId="164" fontId="25" fillId="2" borderId="0" xfId="3" applyNumberFormat="1" applyFont="1" applyFill="1"/>
    <xf numFmtId="0" fontId="15" fillId="8" borderId="8" xfId="3" applyFont="1" applyFill="1" applyBorder="1" applyAlignment="1">
      <alignment horizontal="center"/>
    </xf>
    <xf numFmtId="0" fontId="15" fillId="8" borderId="9" xfId="3" applyFont="1" applyFill="1" applyBorder="1" applyAlignment="1">
      <alignment horizontal="center"/>
    </xf>
  </cellXfs>
  <cellStyles count="7">
    <cellStyle name="Comma" xfId="1" builtinId="3"/>
    <cellStyle name="Comma 2" xfId="5"/>
    <cellStyle name="Normal" xfId="0" builtinId="0"/>
    <cellStyle name="Normal 2" xfId="3"/>
    <cellStyle name="Per cent 2" xfId="4"/>
    <cellStyle name="Percent" xfId="2" builtinId="5"/>
    <cellStyle name="Percent 2" xfId="6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927100</xdr:colOff>
      <xdr:row>10</xdr:row>
      <xdr:rowOff>215900</xdr:rowOff>
    </xdr:from>
    <xdr:to>
      <xdr:col>10</xdr:col>
      <xdr:colOff>825500</xdr:colOff>
      <xdr:row>11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B2EF4D-58FB-A04A-AF5C-98BEFEF5DF4B}"/>
            </a:ext>
          </a:extLst>
        </xdr:cNvPr>
        <xdr:cNvSpPr/>
      </xdr:nvSpPr>
      <xdr:spPr>
        <a:xfrm>
          <a:off x="7175500" y="2933700"/>
          <a:ext cx="45974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Growth</a:t>
          </a:r>
        </a:p>
      </xdr:txBody>
    </xdr:sp>
    <xdr:clientData/>
  </xdr:twoCellAnchor>
  <xdr:twoCellAnchor>
    <xdr:from>
      <xdr:col>5</xdr:col>
      <xdr:colOff>95250</xdr:colOff>
      <xdr:row>13</xdr:row>
      <xdr:rowOff>82550</xdr:rowOff>
    </xdr:from>
    <xdr:to>
      <xdr:col>5</xdr:col>
      <xdr:colOff>355600</xdr:colOff>
      <xdr:row>18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C1E31C-C094-4945-89B3-7D06600F20DE}"/>
            </a:ext>
          </a:extLst>
        </xdr:cNvPr>
        <xdr:cNvSpPr/>
      </xdr:nvSpPr>
      <xdr:spPr>
        <a:xfrm rot="16200000">
          <a:off x="5905500" y="3962400"/>
          <a:ext cx="11366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WACC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/>
  </sheetViews>
  <sheetFormatPr defaultColWidth="11" defaultRowHeight="15.75" x14ac:dyDescent="0.25"/>
  <cols>
    <col min="1" max="1" width="3.625" customWidth="1"/>
  </cols>
  <sheetData>
    <row r="2" spans="2:2" ht="21" x14ac:dyDescent="0.35">
      <c r="B2" s="128" t="s">
        <v>156</v>
      </c>
    </row>
    <row r="4" spans="2:2" ht="21" x14ac:dyDescent="0.35">
      <c r="B4" s="127" t="s">
        <v>152</v>
      </c>
    </row>
    <row r="5" spans="2:2" ht="21" x14ac:dyDescent="0.35">
      <c r="B5" s="127" t="s">
        <v>153</v>
      </c>
    </row>
    <row r="6" spans="2:2" ht="21" x14ac:dyDescent="0.35">
      <c r="B6" s="127" t="s">
        <v>154</v>
      </c>
    </row>
    <row r="7" spans="2:2" ht="21" x14ac:dyDescent="0.35">
      <c r="B7" s="12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1" x14ac:dyDescent="0.75">
      <c r="B11" s="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topLeftCell="D1" zoomScale="90" zoomScaleNormal="90" workbookViewId="0">
      <pane ySplit="6" topLeftCell="A7" activePane="bottomLeft" state="frozen"/>
      <selection pane="bottomLeft" activeCell="I14" sqref="I14"/>
    </sheetView>
  </sheetViews>
  <sheetFormatPr defaultColWidth="9.125" defaultRowHeight="18.75" x14ac:dyDescent="0.3"/>
  <cols>
    <col min="1" max="1" width="2" style="6" customWidth="1"/>
    <col min="2" max="2" width="42.875" style="6" customWidth="1"/>
    <col min="3" max="7" width="14.625" style="6" customWidth="1"/>
    <col min="8" max="8" width="1.5" style="6" customWidth="1"/>
    <col min="9" max="13" width="14.625" style="6" customWidth="1"/>
    <col min="14" max="14" width="9.125" style="6"/>
    <col min="15" max="15" width="22.125" style="6" bestFit="1" customWidth="1"/>
    <col min="16" max="16384" width="9.125" style="6"/>
  </cols>
  <sheetData>
    <row r="1" spans="2:16" ht="18" customHeight="1" x14ac:dyDescent="0.3">
      <c r="B1" s="5" t="s">
        <v>0</v>
      </c>
      <c r="G1" s="6" t="s">
        <v>75</v>
      </c>
    </row>
    <row r="2" spans="2:16" ht="18" customHeight="1" x14ac:dyDescent="0.3">
      <c r="B2" s="5"/>
      <c r="G2" s="6" t="s">
        <v>69</v>
      </c>
      <c r="I2" s="6" t="s">
        <v>72</v>
      </c>
    </row>
    <row r="3" spans="2:16" ht="18" customHeight="1" x14ac:dyDescent="0.3">
      <c r="G3" s="6" t="s">
        <v>70</v>
      </c>
      <c r="I3" s="6" t="s">
        <v>73</v>
      </c>
    </row>
    <row r="4" spans="2:16" ht="18" customHeight="1" x14ac:dyDescent="0.3">
      <c r="B4" s="5" t="s">
        <v>68</v>
      </c>
      <c r="C4" s="35">
        <v>2</v>
      </c>
      <c r="G4" s="6" t="s">
        <v>71</v>
      </c>
      <c r="I4" s="6" t="s">
        <v>74</v>
      </c>
    </row>
    <row r="6" spans="2:16" ht="38.25" thickBot="1" x14ac:dyDescent="0.35">
      <c r="B6" s="7" t="s">
        <v>61</v>
      </c>
      <c r="C6" s="8" t="s">
        <v>63</v>
      </c>
      <c r="D6" s="8" t="s">
        <v>62</v>
      </c>
      <c r="E6" s="8" t="s">
        <v>1</v>
      </c>
      <c r="F6" s="8" t="s">
        <v>2</v>
      </c>
      <c r="G6" s="8" t="s">
        <v>3</v>
      </c>
      <c r="H6" s="8"/>
      <c r="I6" s="10" t="s">
        <v>146</v>
      </c>
      <c r="J6" s="10" t="s">
        <v>4</v>
      </c>
      <c r="K6" s="10" t="s">
        <v>5</v>
      </c>
      <c r="L6" s="10" t="s">
        <v>6</v>
      </c>
      <c r="M6" s="10" t="s">
        <v>7</v>
      </c>
    </row>
    <row r="7" spans="2:16" x14ac:dyDescent="0.3">
      <c r="B7" s="6" t="s">
        <v>30</v>
      </c>
      <c r="C7" s="11">
        <f>'P&amp;L Source'!C8</f>
        <v>98548.4</v>
      </c>
      <c r="D7" s="11">
        <f>'P&amp;L Source'!D8</f>
        <v>81753.099999999991</v>
      </c>
      <c r="E7" s="11">
        <f>'P&amp;L Source'!E8</f>
        <v>91413.4</v>
      </c>
      <c r="F7" s="11">
        <f>'P&amp;L Source'!F8</f>
        <v>100096</v>
      </c>
      <c r="G7" s="11">
        <f>'P&amp;L Source'!G8</f>
        <v>112922.7</v>
      </c>
      <c r="H7" s="11"/>
      <c r="I7" s="12">
        <f>G7*(1+I8)</f>
        <v>116310.38099999999</v>
      </c>
      <c r="J7" s="12">
        <f>I7*(1+J8)</f>
        <v>119799.69243</v>
      </c>
      <c r="K7" s="12">
        <f t="shared" ref="K7:M7" si="0">J7*(1+K8)</f>
        <v>123393.68320289999</v>
      </c>
      <c r="L7" s="12">
        <f t="shared" si="0"/>
        <v>127095.49369898699</v>
      </c>
      <c r="M7" s="12">
        <f t="shared" si="0"/>
        <v>130908.3585099566</v>
      </c>
      <c r="P7" s="9"/>
    </row>
    <row r="8" spans="2:16" x14ac:dyDescent="0.3">
      <c r="B8" s="15" t="s">
        <v>76</v>
      </c>
      <c r="C8" s="13"/>
      <c r="D8" s="13">
        <f>D7/C7-1</f>
        <v>-0.17042691712904523</v>
      </c>
      <c r="E8" s="13">
        <f t="shared" ref="E8:G8" si="1">E7/D7-1</f>
        <v>0.11816432649037156</v>
      </c>
      <c r="F8" s="13">
        <f t="shared" si="1"/>
        <v>9.4981698525599123E-2</v>
      </c>
      <c r="G8" s="13">
        <f t="shared" si="1"/>
        <v>0.12814398177749364</v>
      </c>
      <c r="H8" s="13"/>
      <c r="I8" s="14">
        <f>CHOOSE($C$4,I10,I11,I12)</f>
        <v>0.03</v>
      </c>
      <c r="J8" s="14">
        <f>CHOOSE($C$4,J10,J11,J12)</f>
        <v>0.03</v>
      </c>
      <c r="K8" s="14">
        <f>CHOOSE($C$4,K10,K11,K12)</f>
        <v>0.03</v>
      </c>
      <c r="L8" s="14">
        <f>CHOOSE($C$4,L10,L11,L12)</f>
        <v>0.03</v>
      </c>
      <c r="M8" s="14">
        <f>CHOOSE($C$4,M10,M11,M12)</f>
        <v>0.03</v>
      </c>
    </row>
    <row r="9" spans="2:16" x14ac:dyDescent="0.3">
      <c r="I9" s="14"/>
      <c r="J9" s="14"/>
      <c r="K9" s="14"/>
      <c r="L9" s="14"/>
      <c r="M9" s="14"/>
    </row>
    <row r="10" spans="2:16" x14ac:dyDescent="0.3">
      <c r="B10" s="6" t="s">
        <v>69</v>
      </c>
      <c r="C10" s="36"/>
      <c r="D10" s="36"/>
      <c r="E10" s="36"/>
      <c r="F10" s="36"/>
      <c r="G10" s="36"/>
      <c r="H10" s="33"/>
      <c r="I10" s="14">
        <v>0.04</v>
      </c>
      <c r="J10" s="14">
        <v>0.04</v>
      </c>
      <c r="K10" s="14">
        <v>0.04</v>
      </c>
      <c r="L10" s="14">
        <v>0.04</v>
      </c>
      <c r="M10" s="14">
        <v>0.04</v>
      </c>
    </row>
    <row r="11" spans="2:16" x14ac:dyDescent="0.3">
      <c r="B11" s="6" t="s">
        <v>70</v>
      </c>
      <c r="C11" s="36"/>
      <c r="D11" s="36"/>
      <c r="E11" s="36"/>
      <c r="F11" s="36"/>
      <c r="G11" s="36"/>
      <c r="H11" s="33"/>
      <c r="I11" s="14">
        <v>0.03</v>
      </c>
      <c r="J11" s="14">
        <v>0.03</v>
      </c>
      <c r="K11" s="14">
        <v>0.03</v>
      </c>
      <c r="L11" s="14">
        <v>0.03</v>
      </c>
      <c r="M11" s="14">
        <v>0.03</v>
      </c>
    </row>
    <row r="12" spans="2:16" x14ac:dyDescent="0.3">
      <c r="B12" s="6" t="s">
        <v>71</v>
      </c>
      <c r="C12" s="36"/>
      <c r="D12" s="36"/>
      <c r="E12" s="36"/>
      <c r="F12" s="36"/>
      <c r="G12" s="36"/>
      <c r="H12" s="33"/>
      <c r="I12" s="34">
        <v>0.02</v>
      </c>
      <c r="J12" s="34">
        <v>0.02</v>
      </c>
      <c r="K12" s="34">
        <v>0.02</v>
      </c>
      <c r="L12" s="34">
        <v>0.02</v>
      </c>
      <c r="M12" s="34">
        <v>0.02</v>
      </c>
    </row>
    <row r="13" spans="2:16" x14ac:dyDescent="0.3">
      <c r="I13" s="12"/>
      <c r="J13" s="12"/>
      <c r="K13" s="12"/>
      <c r="L13" s="12"/>
      <c r="M13" s="12"/>
    </row>
    <row r="14" spans="2:16" x14ac:dyDescent="0.3">
      <c r="B14" s="6" t="s">
        <v>35</v>
      </c>
      <c r="C14" s="6">
        <f>'P&amp;L Source'!C10</f>
        <v>-45239.6</v>
      </c>
      <c r="D14" s="6">
        <f>'P&amp;L Source'!D10</f>
        <v>-34689.099999999991</v>
      </c>
      <c r="E14" s="6">
        <f>'P&amp;L Source'!E10</f>
        <v>-38828.100000000006</v>
      </c>
      <c r="F14" s="6">
        <f>'P&amp;L Source'!F10</f>
        <v>-43268</v>
      </c>
      <c r="G14" s="6">
        <f>'P&amp;L Source'!G10</f>
        <v>-45902.3</v>
      </c>
      <c r="I14" s="39">
        <f>-I7*I15</f>
        <v>-50013.463829999993</v>
      </c>
      <c r="J14" s="39">
        <f t="shared" ref="J14:M14" si="2">-J7*J15</f>
        <v>-51513.867744899995</v>
      </c>
      <c r="K14" s="39">
        <f t="shared" si="2"/>
        <v>-53059.283777246994</v>
      </c>
      <c r="L14" s="39">
        <f t="shared" si="2"/>
        <v>-54651.062290564405</v>
      </c>
      <c r="M14" s="39">
        <f t="shared" si="2"/>
        <v>-56290.594159281332</v>
      </c>
    </row>
    <row r="15" spans="2:16" x14ac:dyDescent="0.3">
      <c r="B15" s="15" t="s">
        <v>77</v>
      </c>
      <c r="C15" s="37">
        <f t="shared" ref="C15:G15" si="3">-C14/C7</f>
        <v>0.45905971076141266</v>
      </c>
      <c r="D15" s="37">
        <f t="shared" si="3"/>
        <v>0.42431540822305203</v>
      </c>
      <c r="E15" s="37">
        <f t="shared" si="3"/>
        <v>0.42475282617209303</v>
      </c>
      <c r="F15" s="37">
        <f t="shared" si="3"/>
        <v>0.43226502557544755</v>
      </c>
      <c r="G15" s="37">
        <f t="shared" si="3"/>
        <v>0.40649311431625357</v>
      </c>
      <c r="I15" s="14">
        <f>CHOOSE($C$4,I17,I18,I19)</f>
        <v>0.43</v>
      </c>
      <c r="J15" s="14">
        <f>CHOOSE($C$4,J17,J18,J19)</f>
        <v>0.43</v>
      </c>
      <c r="K15" s="14">
        <f>CHOOSE($C$4,K17,K18,K19)</f>
        <v>0.43</v>
      </c>
      <c r="L15" s="14">
        <f>CHOOSE($C$4,L17,L18,L19)</f>
        <v>0.43</v>
      </c>
      <c r="M15" s="14">
        <f>CHOOSE($C$4,M17,M18,M19)</f>
        <v>0.43</v>
      </c>
    </row>
    <row r="16" spans="2:16" x14ac:dyDescent="0.3">
      <c r="I16" s="14"/>
      <c r="J16" s="14"/>
      <c r="K16" s="14"/>
      <c r="L16" s="14"/>
      <c r="M16" s="14"/>
    </row>
    <row r="17" spans="2:13" x14ac:dyDescent="0.3">
      <c r="B17" s="6" t="s">
        <v>69</v>
      </c>
      <c r="C17" s="36"/>
      <c r="D17" s="36"/>
      <c r="E17" s="36"/>
      <c r="F17" s="36"/>
      <c r="G17" s="36"/>
      <c r="I17" s="14">
        <v>0.41</v>
      </c>
      <c r="J17" s="14">
        <v>0.41</v>
      </c>
      <c r="K17" s="14">
        <v>0.41</v>
      </c>
      <c r="L17" s="14">
        <v>0.41</v>
      </c>
      <c r="M17" s="14">
        <v>0.41</v>
      </c>
    </row>
    <row r="18" spans="2:13" x14ac:dyDescent="0.3">
      <c r="B18" s="6" t="s">
        <v>70</v>
      </c>
      <c r="C18" s="36"/>
      <c r="D18" s="36"/>
      <c r="E18" s="36"/>
      <c r="F18" s="36"/>
      <c r="G18" s="36"/>
      <c r="I18" s="34">
        <v>0.43</v>
      </c>
      <c r="J18" s="34">
        <v>0.43</v>
      </c>
      <c r="K18" s="34">
        <v>0.43</v>
      </c>
      <c r="L18" s="34">
        <v>0.43</v>
      </c>
      <c r="M18" s="34">
        <v>0.43</v>
      </c>
    </row>
    <row r="19" spans="2:13" x14ac:dyDescent="0.3">
      <c r="B19" s="6" t="s">
        <v>71</v>
      </c>
      <c r="C19" s="36"/>
      <c r="D19" s="36"/>
      <c r="E19" s="36"/>
      <c r="F19" s="36"/>
      <c r="G19" s="36"/>
      <c r="I19" s="14">
        <v>0.46</v>
      </c>
      <c r="J19" s="14">
        <v>0.46</v>
      </c>
      <c r="K19" s="14">
        <v>0.46</v>
      </c>
      <c r="L19" s="14">
        <v>0.46</v>
      </c>
      <c r="M19" s="14">
        <v>0.46</v>
      </c>
    </row>
    <row r="20" spans="2:13" x14ac:dyDescent="0.3">
      <c r="I20" s="14"/>
      <c r="J20" s="14"/>
      <c r="K20" s="14"/>
      <c r="L20" s="14"/>
      <c r="M20" s="14"/>
    </row>
    <row r="21" spans="2:13" x14ac:dyDescent="0.3">
      <c r="B21" s="6" t="str">
        <f>'P&amp;L Source'!B11</f>
        <v>Marketing &amp; Other Operating Expenses</v>
      </c>
      <c r="C21" s="6">
        <f>'P&amp;L Source'!C11</f>
        <v>-31926.799999999999</v>
      </c>
      <c r="D21" s="6">
        <f>'P&amp;L Source'!D11</f>
        <v>-29971.699999999997</v>
      </c>
      <c r="E21" s="6">
        <f>'P&amp;L Source'!E11</f>
        <v>-33655</v>
      </c>
      <c r="F21" s="6">
        <f>'P&amp;L Source'!F11</f>
        <v>-35221.199999999997</v>
      </c>
      <c r="G21" s="6">
        <f>'P&amp;L Source'!G11</f>
        <v>-40459.4</v>
      </c>
      <c r="I21" s="39">
        <f>-I7*I22</f>
        <v>-40708.633349999996</v>
      </c>
      <c r="J21" s="39">
        <f>-J7*J22</f>
        <v>-41929.892350499998</v>
      </c>
      <c r="K21" s="39">
        <f>-K7*K22</f>
        <v>-43187.789121014997</v>
      </c>
      <c r="L21" s="39">
        <f>-L7*L22</f>
        <v>-44483.422794645441</v>
      </c>
      <c r="M21" s="39">
        <f>-M7*M22</f>
        <v>-45817.925478484809</v>
      </c>
    </row>
    <row r="22" spans="2:13" x14ac:dyDescent="0.3">
      <c r="B22" s="15" t="s">
        <v>77</v>
      </c>
      <c r="C22" s="37">
        <f>-C21/C7</f>
        <v>0.32397075954556342</v>
      </c>
      <c r="D22" s="37">
        <f>-D21/D7</f>
        <v>0.36661239757269143</v>
      </c>
      <c r="E22" s="37">
        <f>-E21/E7</f>
        <v>0.36816265449047952</v>
      </c>
      <c r="F22" s="37">
        <f>-F21/F7</f>
        <v>0.35187420076726339</v>
      </c>
      <c r="G22" s="37">
        <f>-G21/G7</f>
        <v>0.35829288531003955</v>
      </c>
      <c r="I22" s="14">
        <f>CHOOSE($C$4,I24,I25,I26)</f>
        <v>0.35</v>
      </c>
      <c r="J22" s="14">
        <f>CHOOSE($C$4,J24,J25,J26)</f>
        <v>0.35</v>
      </c>
      <c r="K22" s="14">
        <f>CHOOSE($C$4,K24,K25,K26)</f>
        <v>0.35</v>
      </c>
      <c r="L22" s="14">
        <f>CHOOSE($C$4,L24,L25,L26)</f>
        <v>0.35</v>
      </c>
      <c r="M22" s="14">
        <f>CHOOSE($C$4,M24,M25,M26)</f>
        <v>0.35</v>
      </c>
    </row>
    <row r="23" spans="2:13" x14ac:dyDescent="0.3">
      <c r="I23" s="14"/>
      <c r="J23" s="14"/>
      <c r="K23" s="14"/>
      <c r="L23" s="14"/>
      <c r="M23" s="14"/>
    </row>
    <row r="24" spans="2:13" x14ac:dyDescent="0.3">
      <c r="B24" s="6" t="s">
        <v>69</v>
      </c>
      <c r="C24" s="36"/>
      <c r="D24" s="36"/>
      <c r="E24" s="36"/>
      <c r="F24" s="36"/>
      <c r="G24" s="36"/>
      <c r="I24" s="14">
        <v>0.32</v>
      </c>
      <c r="J24" s="14">
        <v>0.32</v>
      </c>
      <c r="K24" s="14">
        <v>0.32</v>
      </c>
      <c r="L24" s="14">
        <v>0.32</v>
      </c>
      <c r="M24" s="14">
        <v>0.32</v>
      </c>
    </row>
    <row r="25" spans="2:13" x14ac:dyDescent="0.3">
      <c r="B25" s="6" t="s">
        <v>70</v>
      </c>
      <c r="C25" s="36"/>
      <c r="D25" s="36"/>
      <c r="E25" s="36"/>
      <c r="F25" s="36"/>
      <c r="G25" s="36"/>
      <c r="I25" s="14">
        <v>0.35</v>
      </c>
      <c r="J25" s="14">
        <v>0.35</v>
      </c>
      <c r="K25" s="14">
        <v>0.35</v>
      </c>
      <c r="L25" s="14">
        <v>0.35</v>
      </c>
      <c r="M25" s="14">
        <v>0.35</v>
      </c>
    </row>
    <row r="26" spans="2:13" x14ac:dyDescent="0.3">
      <c r="B26" s="6" t="s">
        <v>71</v>
      </c>
      <c r="C26" s="36"/>
      <c r="D26" s="36"/>
      <c r="E26" s="36"/>
      <c r="F26" s="36"/>
      <c r="G26" s="36"/>
      <c r="I26" s="14">
        <v>0.37</v>
      </c>
      <c r="J26" s="14">
        <v>0.37</v>
      </c>
      <c r="K26" s="14">
        <v>0.37</v>
      </c>
      <c r="L26" s="14">
        <v>0.37</v>
      </c>
      <c r="M26" s="14">
        <v>0.37</v>
      </c>
    </row>
    <row r="27" spans="2:13" x14ac:dyDescent="0.3">
      <c r="I27" s="14"/>
      <c r="J27" s="14"/>
      <c r="K27" s="14"/>
      <c r="L27" s="14"/>
      <c r="M27" s="14"/>
    </row>
    <row r="28" spans="2:13" x14ac:dyDescent="0.3">
      <c r="B28" s="6" t="str">
        <f>'P&amp;L Source'!B14</f>
        <v>Depreciation and amortisation expenses</v>
      </c>
      <c r="C28" s="6">
        <f>'P&amp;L Source'!C14</f>
        <v>-3375.4</v>
      </c>
      <c r="D28" s="6">
        <f>'P&amp;L Source'!D14</f>
        <v>-3472.6</v>
      </c>
      <c r="E28" s="6">
        <f>'P&amp;L Source'!E14</f>
        <v>-3536.7</v>
      </c>
      <c r="F28" s="6">
        <f>'P&amp;L Source'!F14</f>
        <v>-3422.5</v>
      </c>
      <c r="G28" s="6">
        <f>'P&amp;L Source'!G14</f>
        <v>-3356.7</v>
      </c>
      <c r="I28" s="39">
        <f>-I7*I29</f>
        <v>-3457.4009999999998</v>
      </c>
      <c r="J28" s="39">
        <f>-J7*J29</f>
        <v>-3561.1230299999997</v>
      </c>
      <c r="K28" s="39">
        <f>-K7*K29</f>
        <v>-3667.9567208999997</v>
      </c>
      <c r="L28" s="39">
        <f>-L7*L29</f>
        <v>-3777.9954225269994</v>
      </c>
      <c r="M28" s="39">
        <f>-M7*M29</f>
        <v>-3891.3352852028092</v>
      </c>
    </row>
    <row r="29" spans="2:13" x14ac:dyDescent="0.3">
      <c r="B29" s="15" t="s">
        <v>77</v>
      </c>
      <c r="C29" s="37">
        <f>-C28/C7</f>
        <v>3.4251190278076563E-2</v>
      </c>
      <c r="D29" s="37">
        <f>-D28/D7</f>
        <v>4.2476676725408578E-2</v>
      </c>
      <c r="E29" s="37">
        <f>-E28/E7</f>
        <v>3.8689076218585021E-2</v>
      </c>
      <c r="F29" s="37">
        <f>-F28/F7</f>
        <v>3.4192175511508952E-2</v>
      </c>
      <c r="G29" s="37">
        <f>-G28/G7</f>
        <v>2.9725644179602505E-2</v>
      </c>
      <c r="I29" s="14">
        <f>CHOOSE($C$4,I31,I32,I33)</f>
        <v>2.9725644179602505E-2</v>
      </c>
      <c r="J29" s="14">
        <f>CHOOSE($C$4,J31,J32,J33)</f>
        <v>2.9725644179602505E-2</v>
      </c>
      <c r="K29" s="14">
        <f>CHOOSE($C$4,K31,K32,K33)</f>
        <v>2.9725644179602505E-2</v>
      </c>
      <c r="L29" s="14">
        <f>CHOOSE($C$4,L31,L32,L33)</f>
        <v>2.9725644179602505E-2</v>
      </c>
      <c r="M29" s="14">
        <f>CHOOSE($C$4,M31,M32,M33)</f>
        <v>2.9725644179602505E-2</v>
      </c>
    </row>
    <row r="30" spans="2:13" x14ac:dyDescent="0.3">
      <c r="I30" s="14"/>
      <c r="J30" s="14"/>
      <c r="K30" s="14"/>
      <c r="L30" s="14"/>
      <c r="M30" s="14"/>
    </row>
    <row r="31" spans="2:13" x14ac:dyDescent="0.3">
      <c r="B31" s="6" t="s">
        <v>69</v>
      </c>
      <c r="C31" s="36"/>
      <c r="D31" s="36"/>
      <c r="E31" s="36"/>
      <c r="F31" s="36"/>
      <c r="G31" s="36"/>
      <c r="I31" s="14">
        <f>I32</f>
        <v>2.9725644179602505E-2</v>
      </c>
      <c r="J31" s="14">
        <f>I31</f>
        <v>2.9725644179602505E-2</v>
      </c>
      <c r="K31" s="14">
        <f t="shared" ref="K31:M31" si="4">J31</f>
        <v>2.9725644179602505E-2</v>
      </c>
      <c r="L31" s="14">
        <f t="shared" si="4"/>
        <v>2.9725644179602505E-2</v>
      </c>
      <c r="M31" s="14">
        <f t="shared" si="4"/>
        <v>2.9725644179602505E-2</v>
      </c>
    </row>
    <row r="32" spans="2:13" x14ac:dyDescent="0.3">
      <c r="B32" s="6" t="s">
        <v>70</v>
      </c>
      <c r="C32" s="36"/>
      <c r="D32" s="36"/>
      <c r="E32" s="36"/>
      <c r="F32" s="36"/>
      <c r="G32" s="36"/>
      <c r="I32" s="14">
        <f>G29</f>
        <v>2.9725644179602505E-2</v>
      </c>
      <c r="J32" s="14">
        <f t="shared" ref="J32:M33" si="5">I32</f>
        <v>2.9725644179602505E-2</v>
      </c>
      <c r="K32" s="14">
        <f t="shared" si="5"/>
        <v>2.9725644179602505E-2</v>
      </c>
      <c r="L32" s="14">
        <f t="shared" si="5"/>
        <v>2.9725644179602505E-2</v>
      </c>
      <c r="M32" s="14">
        <f t="shared" si="5"/>
        <v>2.9725644179602505E-2</v>
      </c>
    </row>
    <row r="33" spans="2:13" x14ac:dyDescent="0.3">
      <c r="B33" s="6" t="s">
        <v>71</v>
      </c>
      <c r="C33" s="36"/>
      <c r="D33" s="36"/>
      <c r="E33" s="36"/>
      <c r="F33" s="36"/>
      <c r="G33" s="36"/>
      <c r="I33" s="14">
        <f>I32</f>
        <v>2.9725644179602505E-2</v>
      </c>
      <c r="J33" s="14">
        <f t="shared" si="5"/>
        <v>2.9725644179602505E-2</v>
      </c>
      <c r="K33" s="14">
        <f t="shared" si="5"/>
        <v>2.9725644179602505E-2</v>
      </c>
      <c r="L33" s="14">
        <f t="shared" si="5"/>
        <v>2.9725644179602505E-2</v>
      </c>
      <c r="M33" s="14">
        <f t="shared" si="5"/>
        <v>2.9725644179602505E-2</v>
      </c>
    </row>
    <row r="34" spans="2:13" x14ac:dyDescent="0.3">
      <c r="I34" s="14"/>
      <c r="J34" s="14"/>
      <c r="K34" s="14"/>
      <c r="L34" s="14"/>
      <c r="M34" s="14"/>
    </row>
    <row r="35" spans="2:13" x14ac:dyDescent="0.3">
      <c r="I35" s="14"/>
      <c r="J35" s="14"/>
      <c r="K35" s="14"/>
      <c r="L35" s="14"/>
      <c r="M35" s="14"/>
    </row>
    <row r="36" spans="2:13" x14ac:dyDescent="0.3">
      <c r="B36" s="15" t="s">
        <v>78</v>
      </c>
      <c r="C36" s="37">
        <v>0.34610000000000002</v>
      </c>
      <c r="D36" s="37">
        <v>0.34610000000000002</v>
      </c>
      <c r="E36" s="37">
        <v>0.34610000000000002</v>
      </c>
      <c r="F36" s="37">
        <v>0.35</v>
      </c>
      <c r="G36" s="37">
        <v>0.35</v>
      </c>
      <c r="I36" s="14">
        <f>CHOOSE($C$4,I38,I39,I40)</f>
        <v>0.35</v>
      </c>
      <c r="J36" s="14">
        <f>CHOOSE($C$4,J38,J39,J40)</f>
        <v>0.35</v>
      </c>
      <c r="K36" s="14">
        <f>CHOOSE($C$4,K38,K39,K40)</f>
        <v>0.35</v>
      </c>
      <c r="L36" s="14">
        <f>CHOOSE($C$4,L38,L39,L40)</f>
        <v>0.35</v>
      </c>
      <c r="M36" s="14">
        <f>CHOOSE($C$4,M38,M39,M40)</f>
        <v>0.35</v>
      </c>
    </row>
    <row r="37" spans="2:13" x14ac:dyDescent="0.3">
      <c r="I37" s="14"/>
      <c r="J37" s="14"/>
      <c r="K37" s="14"/>
      <c r="L37" s="14"/>
      <c r="M37" s="14"/>
    </row>
    <row r="38" spans="2:13" x14ac:dyDescent="0.3">
      <c r="B38" s="6" t="s">
        <v>69</v>
      </c>
      <c r="C38" s="36"/>
      <c r="D38" s="36"/>
      <c r="E38" s="36"/>
      <c r="F38" s="36"/>
      <c r="G38" s="36"/>
      <c r="I38" s="14">
        <v>0.3</v>
      </c>
      <c r="J38" s="14">
        <v>0.3</v>
      </c>
      <c r="K38" s="14">
        <v>0.3</v>
      </c>
      <c r="L38" s="14">
        <v>0.3</v>
      </c>
      <c r="M38" s="14">
        <v>0.3</v>
      </c>
    </row>
    <row r="39" spans="2:13" x14ac:dyDescent="0.3">
      <c r="B39" s="6" t="s">
        <v>70</v>
      </c>
      <c r="C39" s="36"/>
      <c r="D39" s="36"/>
      <c r="E39" s="36"/>
      <c r="F39" s="36"/>
      <c r="G39" s="36"/>
      <c r="I39" s="14">
        <v>0.35</v>
      </c>
      <c r="J39" s="14">
        <v>0.35</v>
      </c>
      <c r="K39" s="14">
        <v>0.35</v>
      </c>
      <c r="L39" s="14">
        <v>0.35</v>
      </c>
      <c r="M39" s="14">
        <v>0.35</v>
      </c>
    </row>
    <row r="40" spans="2:13" x14ac:dyDescent="0.3">
      <c r="B40" s="6" t="s">
        <v>71</v>
      </c>
      <c r="C40" s="36"/>
      <c r="D40" s="36"/>
      <c r="E40" s="36"/>
      <c r="F40" s="36"/>
      <c r="G40" s="36"/>
      <c r="I40" s="14">
        <v>0.35</v>
      </c>
      <c r="J40" s="14">
        <v>0.35</v>
      </c>
      <c r="K40" s="14">
        <v>0.35</v>
      </c>
      <c r="L40" s="14">
        <v>0.35</v>
      </c>
      <c r="M40" s="14">
        <v>0.35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zoomScaleNormal="100" workbookViewId="0">
      <selection activeCell="B19" sqref="B19"/>
    </sheetView>
  </sheetViews>
  <sheetFormatPr defaultColWidth="9.125" defaultRowHeight="18.75" x14ac:dyDescent="0.3"/>
  <cols>
    <col min="1" max="1" width="2" style="6" customWidth="1"/>
    <col min="2" max="2" width="39.125" style="6" customWidth="1"/>
    <col min="3" max="12" width="12.625" style="6" customWidth="1"/>
    <col min="13" max="16384" width="9.125" style="6"/>
  </cols>
  <sheetData>
    <row r="1" spans="2:12" x14ac:dyDescent="0.3">
      <c r="B1" s="5" t="s">
        <v>9</v>
      </c>
    </row>
    <row r="3" spans="2:12" ht="38.25" thickBot="1" x14ac:dyDescent="0.35">
      <c r="B3" s="7" t="s">
        <v>61</v>
      </c>
      <c r="C3" s="8" t="s">
        <v>63</v>
      </c>
      <c r="D3" s="8" t="s">
        <v>62</v>
      </c>
      <c r="E3" s="8" t="s">
        <v>1</v>
      </c>
      <c r="F3" s="8" t="s">
        <v>2</v>
      </c>
      <c r="G3" s="8" t="s">
        <v>3</v>
      </c>
      <c r="H3" s="10" t="s">
        <v>146</v>
      </c>
      <c r="I3" s="10" t="s">
        <v>4</v>
      </c>
      <c r="J3" s="10" t="s">
        <v>5</v>
      </c>
      <c r="K3" s="10" t="s">
        <v>6</v>
      </c>
      <c r="L3" s="10" t="s">
        <v>7</v>
      </c>
    </row>
    <row r="4" spans="2:12" x14ac:dyDescent="0.3">
      <c r="B4" s="6" t="s">
        <v>79</v>
      </c>
      <c r="C4" s="6">
        <f>'BS Source '!C17</f>
        <v>991</v>
      </c>
      <c r="D4" s="6">
        <f>'BS Source '!D17</f>
        <v>784.2</v>
      </c>
      <c r="E4" s="6">
        <f>'BS Source '!E17</f>
        <v>979.3</v>
      </c>
      <c r="F4" s="6">
        <f>'BS Source '!F17</f>
        <v>889.7</v>
      </c>
      <c r="G4" s="6">
        <f>'BS Source '!G17</f>
        <v>1245.9000000000001</v>
      </c>
      <c r="H4" s="12">
        <f>H5*'P&amp;L assumptions'!I7/365</f>
        <v>1274.634312328767</v>
      </c>
      <c r="I4" s="12">
        <f>I5*'P&amp;L assumptions'!J7/365</f>
        <v>1312.8733416986302</v>
      </c>
      <c r="J4" s="12">
        <f>J5*'P&amp;L assumptions'!K7/365</f>
        <v>1352.259541949589</v>
      </c>
      <c r="K4" s="12">
        <f>K5*'P&amp;L assumptions'!L7/365</f>
        <v>1392.8273282080766</v>
      </c>
      <c r="L4" s="12">
        <f>L5*'P&amp;L assumptions'!M7/365</f>
        <v>1434.6121480543188</v>
      </c>
    </row>
    <row r="5" spans="2:12" x14ac:dyDescent="0.3">
      <c r="B5" s="15" t="s">
        <v>80</v>
      </c>
      <c r="C5" s="15">
        <f>C4/'P&amp;L Source'!C8*365</f>
        <v>3.6704299613184994</v>
      </c>
      <c r="D5" s="15">
        <f>D4/'P&amp;L Source'!D8*365</f>
        <v>3.5011883341426815</v>
      </c>
      <c r="E5" s="15">
        <f>E4/'P&amp;L Source'!E8*365</f>
        <v>3.9101980672417826</v>
      </c>
      <c r="F5" s="15">
        <f>F4/'P&amp;L Source'!F8*365</f>
        <v>3.2442904811381079</v>
      </c>
      <c r="G5" s="15">
        <f>G4/'P&amp;L Source'!G8*365</f>
        <v>4.0271220932549445</v>
      </c>
      <c r="H5" s="16">
        <v>4</v>
      </c>
      <c r="I5" s="16">
        <f t="shared" ref="I5:L5" si="0">H5</f>
        <v>4</v>
      </c>
      <c r="J5" s="16">
        <f t="shared" si="0"/>
        <v>4</v>
      </c>
      <c r="K5" s="16">
        <f t="shared" si="0"/>
        <v>4</v>
      </c>
      <c r="L5" s="16">
        <f t="shared" si="0"/>
        <v>4</v>
      </c>
    </row>
    <row r="6" spans="2:12" x14ac:dyDescent="0.3">
      <c r="C6" s="11"/>
      <c r="D6" s="11"/>
      <c r="E6" s="11"/>
      <c r="F6" s="11"/>
      <c r="G6" s="11"/>
      <c r="H6" s="17"/>
      <c r="I6" s="17"/>
      <c r="J6" s="17"/>
      <c r="K6" s="17"/>
      <c r="L6" s="17"/>
    </row>
    <row r="7" spans="2:12" x14ac:dyDescent="0.3">
      <c r="B7" s="6" t="s">
        <v>25</v>
      </c>
      <c r="C7" s="6">
        <f>'BS Source '!C16</f>
        <v>8441</v>
      </c>
      <c r="D7" s="6">
        <f>'BS Source '!D16</f>
        <v>8208.1</v>
      </c>
      <c r="E7" s="6">
        <f>'BS Source '!E16</f>
        <v>9400.6</v>
      </c>
      <c r="F7" s="6">
        <f>'BS Source '!F16</f>
        <v>9024.7000000000007</v>
      </c>
      <c r="G7" s="6">
        <f>'BS Source '!G16</f>
        <v>9655.5</v>
      </c>
      <c r="H7" s="12">
        <f>-H8*'P&amp;L assumptions'!I14/365</f>
        <v>10520.278940501128</v>
      </c>
      <c r="I7" s="12">
        <f>-I8*'P&amp;L assumptions'!J14/365</f>
        <v>10835.887308716161</v>
      </c>
      <c r="J7" s="12">
        <f>-J8*'P&amp;L assumptions'!K14/365</f>
        <v>11160.963927977647</v>
      </c>
      <c r="K7" s="12">
        <f>-K8*'P&amp;L assumptions'!L14/365</f>
        <v>11495.792845816977</v>
      </c>
      <c r="L7" s="12">
        <f>-L8*'P&amp;L assumptions'!M14/365</f>
        <v>11840.666631191483</v>
      </c>
    </row>
    <row r="8" spans="2:12" x14ac:dyDescent="0.3">
      <c r="B8" s="15" t="s">
        <v>83</v>
      </c>
      <c r="C8" s="15">
        <f>-C7/'P&amp;L Source'!C10*365</f>
        <v>68.103276775214638</v>
      </c>
      <c r="D8" s="15">
        <f>-D7/'P&amp;L Source'!D10*365</f>
        <v>86.365933391180533</v>
      </c>
      <c r="E8" s="15">
        <f>-E7/'P&amp;L Source'!E10*365</f>
        <v>88.369479835479964</v>
      </c>
      <c r="F8" s="15">
        <f>-F7/'P&amp;L Source'!F10*365</f>
        <v>76.130523712674503</v>
      </c>
      <c r="G8" s="15">
        <f>-G7/'P&amp;L Source'!G10*365</f>
        <v>76.777361918683809</v>
      </c>
      <c r="H8" s="16">
        <f>G8</f>
        <v>76.777361918683809</v>
      </c>
      <c r="I8" s="16">
        <f t="shared" ref="I8:L8" si="1">H8</f>
        <v>76.777361918683809</v>
      </c>
      <c r="J8" s="16">
        <f t="shared" si="1"/>
        <v>76.777361918683809</v>
      </c>
      <c r="K8" s="16">
        <f t="shared" si="1"/>
        <v>76.777361918683809</v>
      </c>
      <c r="L8" s="16">
        <f t="shared" si="1"/>
        <v>76.777361918683809</v>
      </c>
    </row>
    <row r="9" spans="2:12" x14ac:dyDescent="0.3">
      <c r="C9" s="11"/>
      <c r="D9" s="11"/>
      <c r="E9" s="11"/>
      <c r="F9" s="11"/>
      <c r="G9" s="11"/>
      <c r="H9" s="17"/>
      <c r="I9" s="17"/>
      <c r="J9" s="17"/>
      <c r="K9" s="17"/>
      <c r="L9" s="17"/>
    </row>
    <row r="10" spans="2:12" x14ac:dyDescent="0.3">
      <c r="B10" s="6" t="s">
        <v>81</v>
      </c>
      <c r="C10" s="6">
        <f>'BS Source '!C37</f>
        <v>7287.1</v>
      </c>
      <c r="D10" s="6">
        <f>'BS Source '!D37</f>
        <v>7494.1</v>
      </c>
      <c r="E10" s="6">
        <f>'BS Source '!E37</f>
        <v>7991.6</v>
      </c>
      <c r="F10" s="6">
        <f>'BS Source '!F37</f>
        <v>9846.4</v>
      </c>
      <c r="G10" s="6">
        <f>'BS Source '!G37</f>
        <v>12403.7</v>
      </c>
      <c r="H10" s="12">
        <f>-H11*'P&amp;L assumptions'!I14/365</f>
        <v>13514.616943119865</v>
      </c>
      <c r="I10" s="12">
        <f>-I11*'P&amp;L assumptions'!J14/365</f>
        <v>13920.05545141346</v>
      </c>
      <c r="J10" s="12">
        <f>-J11*'P&amp;L assumptions'!K14/365</f>
        <v>14337.657114955864</v>
      </c>
      <c r="K10" s="12">
        <f>-K11*'P&amp;L assumptions'!L14/365</f>
        <v>14767.78682840454</v>
      </c>
      <c r="L10" s="12">
        <f>-L11*'P&amp;L assumptions'!M14/365</f>
        <v>15210.820433256675</v>
      </c>
    </row>
    <row r="11" spans="2:12" x14ac:dyDescent="0.3">
      <c r="B11" s="15" t="s">
        <v>82</v>
      </c>
      <c r="C11" s="15">
        <f>-C10/'P&amp;L Source'!C10*365</f>
        <v>58.793435397306787</v>
      </c>
      <c r="D11" s="15">
        <f>-D10/'P&amp;L Source'!D10*365</f>
        <v>78.853198843440751</v>
      </c>
      <c r="E11" s="15">
        <f>-E10/'P&amp;L Source'!E10*365</f>
        <v>75.124304305387071</v>
      </c>
      <c r="F11" s="15">
        <f>-F10/'P&amp;L Source'!F10*365</f>
        <v>83.06221688083572</v>
      </c>
      <c r="G11" s="15">
        <f>-G10/'P&amp;L Source'!G10*365</f>
        <v>98.630144894700265</v>
      </c>
      <c r="H11" s="16">
        <f>G11</f>
        <v>98.630144894700265</v>
      </c>
      <c r="I11" s="16">
        <f t="shared" ref="I11:L11" si="2">H11</f>
        <v>98.630144894700265</v>
      </c>
      <c r="J11" s="16">
        <f t="shared" si="2"/>
        <v>98.630144894700265</v>
      </c>
      <c r="K11" s="16">
        <f t="shared" si="2"/>
        <v>98.630144894700265</v>
      </c>
      <c r="L11" s="16">
        <f t="shared" si="2"/>
        <v>98.630144894700265</v>
      </c>
    </row>
    <row r="12" spans="2:12" x14ac:dyDescent="0.3">
      <c r="C12" s="11"/>
      <c r="D12" s="11"/>
      <c r="E12" s="11"/>
      <c r="F12" s="11"/>
      <c r="G12" s="11"/>
      <c r="H12" s="17"/>
      <c r="I12" s="17"/>
      <c r="J12" s="17"/>
      <c r="K12" s="17"/>
      <c r="L12" s="17"/>
    </row>
    <row r="13" spans="2:12" x14ac:dyDescent="0.3">
      <c r="B13" s="6" t="s">
        <v>84</v>
      </c>
      <c r="C13" s="6">
        <f t="shared" ref="C13:G13" si="3">C5+C8-C11</f>
        <v>12.980271339226356</v>
      </c>
      <c r="D13" s="6">
        <f t="shared" si="3"/>
        <v>11.013922881882465</v>
      </c>
      <c r="E13" s="6">
        <f t="shared" si="3"/>
        <v>17.155373597334673</v>
      </c>
      <c r="F13" s="6">
        <f t="shared" si="3"/>
        <v>-3.6874026870231091</v>
      </c>
      <c r="G13" s="6">
        <f t="shared" si="3"/>
        <v>-17.825660882761511</v>
      </c>
      <c r="H13" s="12">
        <f>H5+H8-H11</f>
        <v>-17.852782976016456</v>
      </c>
      <c r="I13" s="12">
        <f t="shared" ref="I13:L13" si="4">I5+I8-I11</f>
        <v>-17.852782976016456</v>
      </c>
      <c r="J13" s="12">
        <f t="shared" si="4"/>
        <v>-17.852782976016456</v>
      </c>
      <c r="K13" s="12">
        <f t="shared" si="4"/>
        <v>-17.852782976016456</v>
      </c>
      <c r="L13" s="12">
        <f t="shared" si="4"/>
        <v>-17.852782976016456</v>
      </c>
    </row>
    <row r="14" spans="2:12" x14ac:dyDescent="0.3">
      <c r="B14" s="15"/>
      <c r="C14" s="18"/>
      <c r="D14" s="18"/>
      <c r="E14" s="18"/>
      <c r="F14" s="18"/>
      <c r="G14" s="18"/>
      <c r="H14" s="19"/>
      <c r="I14" s="19"/>
      <c r="J14" s="19"/>
      <c r="K14" s="19"/>
      <c r="L14" s="19"/>
    </row>
    <row r="15" spans="2:12" x14ac:dyDescent="0.3">
      <c r="B15" s="6" t="str">
        <f>'BS Source '!B7</f>
        <v>Net PP&amp;E</v>
      </c>
      <c r="C15" s="6">
        <f>'BS Source '!C7</f>
        <v>34214.199999999997</v>
      </c>
      <c r="D15" s="6">
        <f>'BS Source '!D7</f>
        <v>31286.400000000001</v>
      </c>
      <c r="E15" s="6">
        <f>'BS Source '!E7</f>
        <v>29183.100000000002</v>
      </c>
      <c r="F15" s="6">
        <f>'BS Source '!F7</f>
        <v>27103.399999999998</v>
      </c>
      <c r="G15" s="6">
        <f>'BS Source '!G7</f>
        <v>25058.2</v>
      </c>
      <c r="H15" s="38">
        <f>'P&amp;L assumptions'!I7*'BS assumptions'!H16</f>
        <v>25809.946</v>
      </c>
      <c r="I15" s="38">
        <f>'P&amp;L assumptions'!J7*'BS assumptions'!I16</f>
        <v>26584.24438</v>
      </c>
      <c r="J15" s="38">
        <f>'P&amp;L assumptions'!K7*'BS assumptions'!J16</f>
        <v>27381.771711400001</v>
      </c>
      <c r="K15" s="38">
        <f>'P&amp;L assumptions'!L7*'BS assumptions'!K16</f>
        <v>28203.224862742001</v>
      </c>
      <c r="L15" s="38">
        <f>'P&amp;L assumptions'!M7*'BS assumptions'!L16</f>
        <v>29049.321608624261</v>
      </c>
    </row>
    <row r="16" spans="2:12" x14ac:dyDescent="0.3">
      <c r="B16" s="15" t="s">
        <v>150</v>
      </c>
      <c r="C16" s="125">
        <f>C15/'P&amp;L assumptions'!C7</f>
        <v>0.34718168940337946</v>
      </c>
      <c r="D16" s="125">
        <f>D15/'P&amp;L assumptions'!D7</f>
        <v>0.38269374494667485</v>
      </c>
      <c r="E16" s="125">
        <f>E15/'P&amp;L assumptions'!E7</f>
        <v>0.31924313065699345</v>
      </c>
      <c r="F16" s="125">
        <f>F15/'P&amp;L assumptions'!F7</f>
        <v>0.27077405690537082</v>
      </c>
      <c r="G16" s="125">
        <f>G15/'P&amp;L assumptions'!G7</f>
        <v>0.22190578156561969</v>
      </c>
      <c r="H16" s="126">
        <f>G16</f>
        <v>0.22190578156561969</v>
      </c>
      <c r="I16" s="126">
        <f t="shared" ref="I16:L16" si="5">H16</f>
        <v>0.22190578156561969</v>
      </c>
      <c r="J16" s="126">
        <f t="shared" si="5"/>
        <v>0.22190578156561969</v>
      </c>
      <c r="K16" s="126">
        <f t="shared" si="5"/>
        <v>0.22190578156561969</v>
      </c>
      <c r="L16" s="126">
        <f t="shared" si="5"/>
        <v>0.22190578156561969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1" x14ac:dyDescent="0.75">
      <c r="B11" s="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topLeftCell="B1" workbookViewId="0">
      <selection activeCell="H14" sqref="H14:L14"/>
    </sheetView>
  </sheetViews>
  <sheetFormatPr defaultColWidth="9.125" defaultRowHeight="18.75" x14ac:dyDescent="0.3"/>
  <cols>
    <col min="1" max="1" width="2" style="6" customWidth="1"/>
    <col min="2" max="2" width="42.375" style="6" bestFit="1" customWidth="1"/>
    <col min="3" max="12" width="13.375" style="6" customWidth="1"/>
    <col min="13" max="13" width="2" style="6" customWidth="1"/>
    <col min="14" max="14" width="36.5" style="6" customWidth="1"/>
    <col min="15" max="16384" width="9.125" style="6"/>
  </cols>
  <sheetData>
    <row r="1" spans="2:14" x14ac:dyDescent="0.3">
      <c r="B1" s="5" t="s">
        <v>12</v>
      </c>
    </row>
    <row r="3" spans="2:14" ht="38.25" thickBot="1" x14ac:dyDescent="0.35">
      <c r="B3" s="7" t="s">
        <v>8</v>
      </c>
      <c r="C3" s="8" t="s">
        <v>63</v>
      </c>
      <c r="D3" s="8" t="s">
        <v>62</v>
      </c>
      <c r="E3" s="8" t="s">
        <v>1</v>
      </c>
      <c r="F3" s="8" t="s">
        <v>2</v>
      </c>
      <c r="G3" s="8" t="s">
        <v>3</v>
      </c>
      <c r="H3" s="10" t="s">
        <v>146</v>
      </c>
      <c r="I3" s="10" t="s">
        <v>4</v>
      </c>
      <c r="J3" s="10" t="s">
        <v>5</v>
      </c>
      <c r="K3" s="10" t="s">
        <v>6</v>
      </c>
      <c r="L3" s="10" t="s">
        <v>7</v>
      </c>
      <c r="N3" s="20" t="s">
        <v>13</v>
      </c>
    </row>
    <row r="4" spans="2:14" x14ac:dyDescent="0.3">
      <c r="B4" s="6" t="s">
        <v>14</v>
      </c>
      <c r="C4" s="11">
        <f>'P&amp;L Source'!C8</f>
        <v>98548.4</v>
      </c>
      <c r="D4" s="11">
        <f>'P&amp;L Source'!D8</f>
        <v>81753.099999999991</v>
      </c>
      <c r="E4" s="11">
        <f>'P&amp;L Source'!E8</f>
        <v>91413.4</v>
      </c>
      <c r="F4" s="11">
        <f>'P&amp;L Source'!F8</f>
        <v>100096</v>
      </c>
      <c r="G4" s="11">
        <f>'P&amp;L Source'!G8</f>
        <v>112922.7</v>
      </c>
      <c r="H4" s="12">
        <f>'P&amp;L assumptions'!I7</f>
        <v>116310.38099999999</v>
      </c>
      <c r="I4" s="12">
        <f>'P&amp;L assumptions'!J7</f>
        <v>119799.69243</v>
      </c>
      <c r="J4" s="12">
        <f>'P&amp;L assumptions'!K7</f>
        <v>123393.68320289999</v>
      </c>
      <c r="K4" s="12">
        <f>'P&amp;L assumptions'!L7</f>
        <v>127095.49369898699</v>
      </c>
      <c r="L4" s="12">
        <f>'P&amp;L assumptions'!M7</f>
        <v>130908.3585099566</v>
      </c>
    </row>
    <row r="5" spans="2:14" x14ac:dyDescent="0.3">
      <c r="B5" s="6" t="s">
        <v>15</v>
      </c>
      <c r="C5" s="11">
        <f>'P&amp;L Source'!C10</f>
        <v>-45239.6</v>
      </c>
      <c r="D5" s="11">
        <f>'P&amp;L Source'!D10</f>
        <v>-34689.099999999991</v>
      </c>
      <c r="E5" s="11">
        <f>'P&amp;L Source'!E10</f>
        <v>-38828.100000000006</v>
      </c>
      <c r="F5" s="11">
        <f>'P&amp;L Source'!F10</f>
        <v>-43268</v>
      </c>
      <c r="G5" s="11">
        <f>'P&amp;L Source'!G10</f>
        <v>-45902.3</v>
      </c>
      <c r="H5" s="12">
        <f>'P&amp;L assumptions'!I14</f>
        <v>-50013.463829999993</v>
      </c>
      <c r="I5" s="12">
        <f>'P&amp;L assumptions'!J14</f>
        <v>-51513.867744899995</v>
      </c>
      <c r="J5" s="12">
        <f>'P&amp;L assumptions'!K14</f>
        <v>-53059.283777246994</v>
      </c>
      <c r="K5" s="12">
        <f>'P&amp;L assumptions'!L14</f>
        <v>-54651.062290564405</v>
      </c>
      <c r="L5" s="12">
        <f>'P&amp;L assumptions'!M14</f>
        <v>-56290.594159281332</v>
      </c>
    </row>
    <row r="6" spans="2:14" x14ac:dyDescent="0.3">
      <c r="B6" s="21" t="s">
        <v>16</v>
      </c>
      <c r="C6" s="22">
        <f>SUM(C4:C5)</f>
        <v>53308.799999999996</v>
      </c>
      <c r="D6" s="22">
        <f t="shared" ref="D6:G6" si="0">SUM(D4:D5)</f>
        <v>47064</v>
      </c>
      <c r="E6" s="22">
        <f t="shared" si="0"/>
        <v>52585.299999999988</v>
      </c>
      <c r="F6" s="22">
        <f t="shared" si="0"/>
        <v>56828</v>
      </c>
      <c r="G6" s="22">
        <f t="shared" si="0"/>
        <v>67020.399999999994</v>
      </c>
      <c r="H6" s="42">
        <f>SUM(H4:H5)</f>
        <v>66296.917170000001</v>
      </c>
      <c r="I6" s="42">
        <f t="shared" ref="I6:L6" si="1">SUM(I4:I5)</f>
        <v>68285.8246851</v>
      </c>
      <c r="J6" s="42">
        <f t="shared" si="1"/>
        <v>70334.399425652999</v>
      </c>
      <c r="K6" s="42">
        <f t="shared" si="1"/>
        <v>72444.431408422592</v>
      </c>
      <c r="L6" s="42">
        <f t="shared" si="1"/>
        <v>74617.764350675265</v>
      </c>
    </row>
    <row r="7" spans="2:14" x14ac:dyDescent="0.3">
      <c r="B7" s="41" t="str">
        <f>'P&amp;L assumptions'!B21</f>
        <v>Marketing &amp; Other Operating Expenses</v>
      </c>
      <c r="C7" s="43">
        <f>'P&amp;L Source'!C11</f>
        <v>-31926.799999999999</v>
      </c>
      <c r="D7" s="43">
        <f>'P&amp;L Source'!D11</f>
        <v>-29971.699999999997</v>
      </c>
      <c r="E7" s="43">
        <f>'P&amp;L Source'!E11</f>
        <v>-33655</v>
      </c>
      <c r="F7" s="43">
        <f>'P&amp;L Source'!F11</f>
        <v>-35221.199999999997</v>
      </c>
      <c r="G7" s="43">
        <f>'P&amp;L Source'!G11</f>
        <v>-40459.4</v>
      </c>
      <c r="H7" s="40">
        <f>'P&amp;L assumptions'!I21</f>
        <v>-40708.633349999996</v>
      </c>
      <c r="I7" s="40">
        <f>'P&amp;L assumptions'!J21</f>
        <v>-41929.892350499998</v>
      </c>
      <c r="J7" s="40">
        <f>'P&amp;L assumptions'!K21</f>
        <v>-43187.789121014997</v>
      </c>
      <c r="K7" s="40">
        <f>'P&amp;L assumptions'!L21</f>
        <v>-44483.422794645441</v>
      </c>
      <c r="L7" s="40">
        <f>'P&amp;L assumptions'!M21</f>
        <v>-45817.925478484809</v>
      </c>
    </row>
    <row r="8" spans="2:14" x14ac:dyDescent="0.3">
      <c r="B8" s="21" t="s">
        <v>18</v>
      </c>
      <c r="C8" s="22">
        <f>SUM(C6:C7)</f>
        <v>21381.999999999996</v>
      </c>
      <c r="D8" s="22">
        <f t="shared" ref="D8:G8" si="2">SUM(D6:D7)</f>
        <v>17092.300000000003</v>
      </c>
      <c r="E8" s="22">
        <f t="shared" si="2"/>
        <v>18930.299999999988</v>
      </c>
      <c r="F8" s="22">
        <f t="shared" si="2"/>
        <v>21606.800000000003</v>
      </c>
      <c r="G8" s="22">
        <f t="shared" si="2"/>
        <v>26560.999999999993</v>
      </c>
      <c r="H8" s="42">
        <f>SUM(H6:H7)</f>
        <v>25588.283820000004</v>
      </c>
      <c r="I8" s="42">
        <f t="shared" ref="I8:L8" si="3">SUM(I6:I7)</f>
        <v>26355.932334600002</v>
      </c>
      <c r="J8" s="42">
        <f t="shared" si="3"/>
        <v>27146.610304638001</v>
      </c>
      <c r="K8" s="42">
        <f t="shared" si="3"/>
        <v>27961.00861377715</v>
      </c>
      <c r="L8" s="42">
        <f t="shared" si="3"/>
        <v>28799.838872190456</v>
      </c>
    </row>
    <row r="9" spans="2:14" x14ac:dyDescent="0.3">
      <c r="B9" s="6" t="s">
        <v>19</v>
      </c>
      <c r="C9" s="11">
        <f>'P&amp;L Source'!C14</f>
        <v>-3375.4</v>
      </c>
      <c r="D9" s="11">
        <f>'P&amp;L Source'!D14</f>
        <v>-3472.6</v>
      </c>
      <c r="E9" s="11">
        <f>'P&amp;L Source'!E14</f>
        <v>-3536.7</v>
      </c>
      <c r="F9" s="11">
        <f>'P&amp;L Source'!F14</f>
        <v>-3422.5</v>
      </c>
      <c r="G9" s="11">
        <f>'P&amp;L Source'!G14</f>
        <v>-3356.7</v>
      </c>
      <c r="H9" s="12">
        <f>'P&amp;L assumptions'!I28</f>
        <v>-3457.4009999999998</v>
      </c>
      <c r="I9" s="12">
        <f>'P&amp;L assumptions'!J28</f>
        <v>-3561.1230299999997</v>
      </c>
      <c r="J9" s="12">
        <f>'P&amp;L assumptions'!K28</f>
        <v>-3667.9567208999997</v>
      </c>
      <c r="K9" s="12">
        <f>'P&amp;L assumptions'!L28</f>
        <v>-3777.9954225269994</v>
      </c>
      <c r="L9" s="12">
        <f>'P&amp;L assumptions'!M28</f>
        <v>-3891.3352852028092</v>
      </c>
    </row>
    <row r="10" spans="2:14" x14ac:dyDescent="0.3">
      <c r="B10" s="21" t="s">
        <v>20</v>
      </c>
      <c r="C10" s="22">
        <f>SUM(C8:C9)</f>
        <v>18006.599999999995</v>
      </c>
      <c r="D10" s="22">
        <f t="shared" ref="D10:G10" si="4">SUM(D8:D9)</f>
        <v>13619.700000000003</v>
      </c>
      <c r="E10" s="22">
        <f t="shared" si="4"/>
        <v>15393.599999999988</v>
      </c>
      <c r="F10" s="22">
        <f t="shared" si="4"/>
        <v>18184.300000000003</v>
      </c>
      <c r="G10" s="22">
        <f t="shared" si="4"/>
        <v>23204.299999999992</v>
      </c>
      <c r="H10" s="42">
        <f>SUM(H8:H9)</f>
        <v>22130.882820000006</v>
      </c>
      <c r="I10" s="42">
        <f t="shared" ref="I10:L10" si="5">SUM(I8:I9)</f>
        <v>22794.809304600003</v>
      </c>
      <c r="J10" s="42">
        <f t="shared" si="5"/>
        <v>23478.653583738</v>
      </c>
      <c r="K10" s="42">
        <f t="shared" si="5"/>
        <v>24183.013191250153</v>
      </c>
      <c r="L10" s="42">
        <f t="shared" si="5"/>
        <v>24908.503586987645</v>
      </c>
    </row>
    <row r="11" spans="2:14" x14ac:dyDescent="0.3">
      <c r="B11" s="6" t="s">
        <v>21</v>
      </c>
      <c r="C11" s="45">
        <f>-C10*C12</f>
        <v>-6232.0842599999987</v>
      </c>
      <c r="D11" s="45">
        <f t="shared" ref="D11:L11" si="6">-D10*D12</f>
        <v>-4713.7781700000014</v>
      </c>
      <c r="E11" s="45">
        <f t="shared" si="6"/>
        <v>-5327.7249599999959</v>
      </c>
      <c r="F11" s="45">
        <f t="shared" si="6"/>
        <v>-6364.505000000001</v>
      </c>
      <c r="G11" s="45">
        <f t="shared" si="6"/>
        <v>-8121.5049999999965</v>
      </c>
      <c r="H11" s="45">
        <f t="shared" si="6"/>
        <v>-7745.8089870000013</v>
      </c>
      <c r="I11" s="45">
        <f t="shared" si="6"/>
        <v>-7978.1832566100002</v>
      </c>
      <c r="J11" s="45">
        <f t="shared" si="6"/>
        <v>-8217.5287543082995</v>
      </c>
      <c r="K11" s="45">
        <f t="shared" si="6"/>
        <v>-8464.0546169375539</v>
      </c>
      <c r="L11" s="45">
        <f t="shared" si="6"/>
        <v>-8717.9762554456756</v>
      </c>
    </row>
    <row r="12" spans="2:14" x14ac:dyDescent="0.3">
      <c r="B12" s="6" t="s">
        <v>22</v>
      </c>
      <c r="C12" s="23">
        <f>'P&amp;L assumptions'!C36</f>
        <v>0.34610000000000002</v>
      </c>
      <c r="D12" s="23">
        <f>'P&amp;L assumptions'!D36</f>
        <v>0.34610000000000002</v>
      </c>
      <c r="E12" s="23">
        <f>'P&amp;L assumptions'!E36</f>
        <v>0.34610000000000002</v>
      </c>
      <c r="F12" s="23">
        <f>'P&amp;L assumptions'!F36</f>
        <v>0.35</v>
      </c>
      <c r="G12" s="23">
        <f>'P&amp;L assumptions'!G36</f>
        <v>0.35</v>
      </c>
      <c r="H12" s="14">
        <f>'P&amp;L assumptions'!I36</f>
        <v>0.35</v>
      </c>
      <c r="I12" s="14">
        <f>'P&amp;L assumptions'!J36</f>
        <v>0.35</v>
      </c>
      <c r="J12" s="14">
        <f>'P&amp;L assumptions'!K36</f>
        <v>0.35</v>
      </c>
      <c r="K12" s="14">
        <f>'P&amp;L assumptions'!L36</f>
        <v>0.35</v>
      </c>
      <c r="L12" s="14">
        <f>'P&amp;L assumptions'!M36</f>
        <v>0.35</v>
      </c>
    </row>
    <row r="13" spans="2:14" ht="3.75" customHeight="1" x14ac:dyDescent="0.3">
      <c r="C13" s="129"/>
      <c r="D13" s="11"/>
      <c r="E13" s="11"/>
      <c r="F13" s="11"/>
      <c r="G13" s="11"/>
      <c r="H13" s="17"/>
      <c r="I13" s="17"/>
      <c r="J13" s="17"/>
      <c r="K13" s="17"/>
      <c r="L13" s="17"/>
    </row>
    <row r="14" spans="2:14" x14ac:dyDescent="0.3">
      <c r="B14" s="24" t="s">
        <v>64</v>
      </c>
      <c r="C14" s="25">
        <f>SUM(C10:C11)</f>
        <v>11774.515739999995</v>
      </c>
      <c r="D14" s="25">
        <f t="shared" ref="D14:G14" si="7">SUM(D10:D11)</f>
        <v>8905.9218300000011</v>
      </c>
      <c r="E14" s="25">
        <f t="shared" si="7"/>
        <v>10065.875039999992</v>
      </c>
      <c r="F14" s="25">
        <f t="shared" si="7"/>
        <v>11819.795000000002</v>
      </c>
      <c r="G14" s="25">
        <f t="shared" si="7"/>
        <v>15082.794999999995</v>
      </c>
      <c r="H14" s="25">
        <f>SUM(H10:H11)</f>
        <v>14385.073833000006</v>
      </c>
      <c r="I14" s="25">
        <f t="shared" ref="I14:L14" si="8">SUM(I10:I11)</f>
        <v>14816.626047990003</v>
      </c>
      <c r="J14" s="25">
        <f t="shared" si="8"/>
        <v>15261.1248294297</v>
      </c>
      <c r="K14" s="25">
        <f t="shared" si="8"/>
        <v>15718.958574312599</v>
      </c>
      <c r="L14" s="25">
        <f t="shared" si="8"/>
        <v>16190.527331541969</v>
      </c>
    </row>
    <row r="15" spans="2:14" x14ac:dyDescent="0.3">
      <c r="C15" s="11"/>
      <c r="D15" s="11"/>
      <c r="E15" s="11"/>
      <c r="F15" s="11"/>
      <c r="G15" s="11"/>
    </row>
    <row r="16" spans="2:14" x14ac:dyDescent="0.3">
      <c r="C16" s="11"/>
      <c r="D16" s="11"/>
      <c r="E16" s="11"/>
      <c r="F16" s="11"/>
      <c r="G16" s="11"/>
    </row>
    <row r="17" spans="3:12" x14ac:dyDescent="0.3">
      <c r="C17" s="11"/>
      <c r="D17" s="11"/>
      <c r="E17" s="11"/>
      <c r="F17" s="11"/>
      <c r="G17" s="11"/>
      <c r="H17" s="37"/>
      <c r="I17" s="130"/>
    </row>
    <row r="18" spans="3:12" x14ac:dyDescent="0.3">
      <c r="C18" s="11"/>
      <c r="D18" s="11"/>
      <c r="E18" s="11"/>
      <c r="F18" s="11"/>
      <c r="G18" s="11"/>
      <c r="L18" s="6" t="s">
        <v>23</v>
      </c>
    </row>
    <row r="46" spans="2:2" x14ac:dyDescent="0.3">
      <c r="B46" s="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opLeftCell="B1" zoomScaleNormal="100" workbookViewId="0">
      <selection activeCell="B12" sqref="B12"/>
    </sheetView>
  </sheetViews>
  <sheetFormatPr defaultColWidth="9.125" defaultRowHeight="18.75" x14ac:dyDescent="0.3"/>
  <cols>
    <col min="1" max="1" width="2" style="6" customWidth="1"/>
    <col min="2" max="2" width="37.125" style="6" bestFit="1" customWidth="1"/>
    <col min="3" max="12" width="14.625" style="6" customWidth="1"/>
    <col min="13" max="13" width="2" style="6" customWidth="1"/>
    <col min="14" max="16384" width="9.125" style="6"/>
  </cols>
  <sheetData>
    <row r="1" spans="2:14" x14ac:dyDescent="0.3">
      <c r="B1" s="5" t="s">
        <v>24</v>
      </c>
    </row>
    <row r="3" spans="2:14" ht="38.25" thickBot="1" x14ac:dyDescent="0.35">
      <c r="B3" s="7" t="s">
        <v>61</v>
      </c>
      <c r="C3" s="8" t="s">
        <v>63</v>
      </c>
      <c r="D3" s="8" t="s">
        <v>62</v>
      </c>
      <c r="E3" s="8" t="s">
        <v>1</v>
      </c>
      <c r="F3" s="8" t="s">
        <v>2</v>
      </c>
      <c r="G3" s="8" t="s">
        <v>3</v>
      </c>
      <c r="H3" s="10" t="s">
        <v>146</v>
      </c>
      <c r="I3" s="10" t="s">
        <v>4</v>
      </c>
      <c r="J3" s="10" t="s">
        <v>5</v>
      </c>
      <c r="K3" s="10" t="s">
        <v>6</v>
      </c>
      <c r="L3" s="10" t="s">
        <v>7</v>
      </c>
      <c r="N3" s="20" t="s">
        <v>13</v>
      </c>
    </row>
    <row r="4" spans="2:14" x14ac:dyDescent="0.3">
      <c r="B4" s="6" t="s">
        <v>44</v>
      </c>
      <c r="C4" s="11"/>
      <c r="D4" s="11">
        <f>C7</f>
        <v>34214.199999999997</v>
      </c>
      <c r="E4" s="11">
        <f t="shared" ref="E4:L4" si="0">D7</f>
        <v>31286.400000000001</v>
      </c>
      <c r="F4" s="11">
        <f t="shared" si="0"/>
        <v>29183.100000000002</v>
      </c>
      <c r="G4" s="11">
        <f t="shared" si="0"/>
        <v>27103.399999999998</v>
      </c>
      <c r="H4" s="11">
        <f t="shared" si="0"/>
        <v>25058.2</v>
      </c>
      <c r="I4" s="11">
        <f t="shared" si="0"/>
        <v>25809.946</v>
      </c>
      <c r="J4" s="11">
        <f t="shared" si="0"/>
        <v>26584.24438</v>
      </c>
      <c r="K4" s="11">
        <f t="shared" si="0"/>
        <v>27381.771711400001</v>
      </c>
      <c r="L4" s="11">
        <f t="shared" si="0"/>
        <v>28203.224862742001</v>
      </c>
    </row>
    <row r="5" spans="2:14" x14ac:dyDescent="0.3">
      <c r="B5" s="6" t="s">
        <v>148</v>
      </c>
      <c r="C5" s="11">
        <f>'P&amp;L assumptions'!C28</f>
        <v>-3375.4</v>
      </c>
      <c r="D5" s="11">
        <f>'P&amp;L assumptions'!D28</f>
        <v>-3472.6</v>
      </c>
      <c r="E5" s="11">
        <f>'P&amp;L assumptions'!E28</f>
        <v>-3536.7</v>
      </c>
      <c r="F5" s="11">
        <f>'P&amp;L assumptions'!F28</f>
        <v>-3422.5</v>
      </c>
      <c r="G5" s="11">
        <f>'P&amp;L assumptions'!G28</f>
        <v>-3356.7</v>
      </c>
      <c r="H5" s="11">
        <f>'P&amp;L assumptions'!I28</f>
        <v>-3457.4009999999998</v>
      </c>
      <c r="I5" s="11">
        <f>'P&amp;L assumptions'!J28</f>
        <v>-3561.1230299999997</v>
      </c>
      <c r="J5" s="11">
        <f>'P&amp;L assumptions'!K28</f>
        <v>-3667.9567208999997</v>
      </c>
      <c r="K5" s="11">
        <f>'P&amp;L assumptions'!L28</f>
        <v>-3777.9954225269994</v>
      </c>
      <c r="L5" s="11">
        <f>'P&amp;L assumptions'!M28</f>
        <v>-3891.3352852028092</v>
      </c>
    </row>
    <row r="6" spans="2:14" x14ac:dyDescent="0.3">
      <c r="B6" s="6" t="s">
        <v>65</v>
      </c>
      <c r="C6" s="11"/>
      <c r="D6" s="11">
        <f>D7-D4-D5</f>
        <v>544.80000000000427</v>
      </c>
      <c r="E6" s="11">
        <f t="shared" ref="E6:G6" si="1">E7-E4-E5</f>
        <v>1433.4000000000005</v>
      </c>
      <c r="F6" s="11">
        <f t="shared" si="1"/>
        <v>1342.7999999999956</v>
      </c>
      <c r="G6" s="11">
        <f t="shared" si="1"/>
        <v>1311.5000000000027</v>
      </c>
      <c r="H6" s="11">
        <f>H7-H4-H5</f>
        <v>4209.146999999999</v>
      </c>
      <c r="I6" s="11">
        <f t="shared" ref="I6" si="2">I7-I4-I5</f>
        <v>4335.4214099999999</v>
      </c>
      <c r="J6" s="11">
        <f t="shared" ref="J6" si="3">J7-J4-J5</f>
        <v>4465.4840523000003</v>
      </c>
      <c r="K6" s="11">
        <f t="shared" ref="K6:L6" si="4">K7-K4-K5</f>
        <v>4599.448573869</v>
      </c>
      <c r="L6" s="11">
        <f t="shared" si="4"/>
        <v>4737.432031085069</v>
      </c>
    </row>
    <row r="7" spans="2:14" ht="19.5" thickBot="1" x14ac:dyDescent="0.35">
      <c r="B7" s="26" t="s">
        <v>149</v>
      </c>
      <c r="C7" s="27">
        <f>'BS assumptions'!C15</f>
        <v>34214.199999999997</v>
      </c>
      <c r="D7" s="27">
        <f>'BS assumptions'!D15</f>
        <v>31286.400000000001</v>
      </c>
      <c r="E7" s="27">
        <f>'BS assumptions'!E15</f>
        <v>29183.100000000002</v>
      </c>
      <c r="F7" s="27">
        <f>'BS assumptions'!F15</f>
        <v>27103.399999999998</v>
      </c>
      <c r="G7" s="27">
        <f>'BS assumptions'!G15</f>
        <v>25058.2</v>
      </c>
      <c r="H7" s="131">
        <f>'BS assumptions'!H15</f>
        <v>25809.946</v>
      </c>
      <c r="I7" s="131">
        <f>'BS assumptions'!I15</f>
        <v>26584.24438</v>
      </c>
      <c r="J7" s="131">
        <f>'BS assumptions'!J15</f>
        <v>27381.771711400001</v>
      </c>
      <c r="K7" s="131">
        <f>'BS assumptions'!K15</f>
        <v>28203.224862742001</v>
      </c>
      <c r="L7" s="131">
        <f>'BS assumptions'!L15</f>
        <v>29049.321608624261</v>
      </c>
    </row>
    <row r="8" spans="2:14" x14ac:dyDescent="0.3">
      <c r="B8" s="31"/>
      <c r="C8" s="32"/>
      <c r="D8" s="32"/>
      <c r="E8" s="32"/>
      <c r="F8" s="32"/>
      <c r="G8" s="32"/>
    </row>
    <row r="9" spans="2:14" x14ac:dyDescent="0.3">
      <c r="B9" s="6" t="s">
        <v>25</v>
      </c>
      <c r="C9" s="11">
        <f>'BS assumptions'!C7</f>
        <v>8441</v>
      </c>
      <c r="D9" s="11">
        <f>'BS assumptions'!D7</f>
        <v>8208.1</v>
      </c>
      <c r="E9" s="11">
        <f>'BS assumptions'!E7</f>
        <v>9400.6</v>
      </c>
      <c r="F9" s="11">
        <f>'BS assumptions'!F7</f>
        <v>9024.7000000000007</v>
      </c>
      <c r="G9" s="11">
        <f>'BS assumptions'!G7</f>
        <v>9655.5</v>
      </c>
      <c r="H9" s="12">
        <f>'BS assumptions'!H7</f>
        <v>10520.278940501128</v>
      </c>
      <c r="I9" s="12">
        <f>'BS assumptions'!I7</f>
        <v>10835.887308716161</v>
      </c>
      <c r="J9" s="12">
        <f>'BS assumptions'!J7</f>
        <v>11160.963927977647</v>
      </c>
      <c r="K9" s="12">
        <f>'BS assumptions'!K7</f>
        <v>11495.792845816977</v>
      </c>
      <c r="L9" s="12">
        <f>'BS assumptions'!L7</f>
        <v>11840.666631191483</v>
      </c>
    </row>
    <row r="10" spans="2:14" x14ac:dyDescent="0.3">
      <c r="B10" s="6" t="s">
        <v>26</v>
      </c>
      <c r="C10" s="11">
        <f>'BS assumptions'!C4</f>
        <v>991</v>
      </c>
      <c r="D10" s="11">
        <f>'BS assumptions'!D4</f>
        <v>784.2</v>
      </c>
      <c r="E10" s="11">
        <f>'BS assumptions'!E4</f>
        <v>979.3</v>
      </c>
      <c r="F10" s="11">
        <f>'BS assumptions'!F4</f>
        <v>889.7</v>
      </c>
      <c r="G10" s="11">
        <f>'BS assumptions'!G4</f>
        <v>1245.9000000000001</v>
      </c>
      <c r="H10" s="132">
        <f>'BS assumptions'!H4</f>
        <v>1274.634312328767</v>
      </c>
      <c r="I10" s="132">
        <f>'BS assumptions'!I4</f>
        <v>1312.8733416986302</v>
      </c>
      <c r="J10" s="132">
        <f>'BS assumptions'!J4</f>
        <v>1352.259541949589</v>
      </c>
      <c r="K10" s="132">
        <f>'BS assumptions'!K4</f>
        <v>1392.8273282080766</v>
      </c>
      <c r="L10" s="132">
        <f>'BS assumptions'!L4</f>
        <v>1434.6121480543188</v>
      </c>
    </row>
    <row r="11" spans="2:14" x14ac:dyDescent="0.3">
      <c r="B11" s="6" t="s">
        <v>27</v>
      </c>
      <c r="C11" s="11">
        <f>'BS assumptions'!C10</f>
        <v>7287.1</v>
      </c>
      <c r="D11" s="11">
        <f>'BS assumptions'!D10</f>
        <v>7494.1</v>
      </c>
      <c r="E11" s="11">
        <f>'BS assumptions'!E10</f>
        <v>7991.6</v>
      </c>
      <c r="F11" s="11">
        <f>'BS assumptions'!F10</f>
        <v>9846.4</v>
      </c>
      <c r="G11" s="11">
        <f>'BS assumptions'!G10</f>
        <v>12403.7</v>
      </c>
      <c r="H11" s="132">
        <f>'BS assumptions'!H10</f>
        <v>13514.616943119865</v>
      </c>
      <c r="I11" s="132">
        <f>'BS assumptions'!I10</f>
        <v>13920.05545141346</v>
      </c>
      <c r="J11" s="132">
        <f>'BS assumptions'!J10</f>
        <v>14337.657114955864</v>
      </c>
      <c r="K11" s="132">
        <f>'BS assumptions'!K10</f>
        <v>14767.78682840454</v>
      </c>
      <c r="L11" s="132">
        <f>'BS assumptions'!L10</f>
        <v>15210.820433256675</v>
      </c>
    </row>
    <row r="12" spans="2:14" ht="19.5" thickBot="1" x14ac:dyDescent="0.35">
      <c r="B12" s="26" t="s">
        <v>66</v>
      </c>
      <c r="C12" s="27">
        <f>C9+C10-C11</f>
        <v>2144.8999999999996</v>
      </c>
      <c r="D12" s="27">
        <f t="shared" ref="D12:G12" si="5">D9+D10-D11</f>
        <v>1498.2000000000007</v>
      </c>
      <c r="E12" s="27">
        <f t="shared" si="5"/>
        <v>2388.2999999999993</v>
      </c>
      <c r="F12" s="27">
        <f t="shared" si="5"/>
        <v>68.000000000001819</v>
      </c>
      <c r="G12" s="27">
        <f t="shared" si="5"/>
        <v>-1502.3000000000011</v>
      </c>
      <c r="H12" s="28">
        <f>H9+H10-H11</f>
        <v>-1719.7036902899708</v>
      </c>
      <c r="I12" s="28">
        <f t="shared" ref="I12:L12" si="6">I9+I10-I11</f>
        <v>-1771.2948009986685</v>
      </c>
      <c r="J12" s="28">
        <f t="shared" si="6"/>
        <v>-1824.4336450286282</v>
      </c>
      <c r="K12" s="28">
        <f t="shared" si="6"/>
        <v>-1879.1666543794854</v>
      </c>
      <c r="L12" s="28">
        <f t="shared" si="6"/>
        <v>-1935.5416540108727</v>
      </c>
    </row>
    <row r="13" spans="2:14" x14ac:dyDescent="0.3">
      <c r="B13" s="133" t="s">
        <v>157</v>
      </c>
      <c r="D13" s="6">
        <f>D12-C12</f>
        <v>-646.69999999999891</v>
      </c>
      <c r="E13" s="6">
        <f t="shared" ref="E13:L13" si="7">E12-D12</f>
        <v>890.09999999999854</v>
      </c>
      <c r="F13" s="6">
        <f t="shared" si="7"/>
        <v>-2320.2999999999975</v>
      </c>
      <c r="G13" s="6">
        <f t="shared" si="7"/>
        <v>-1570.3000000000029</v>
      </c>
      <c r="H13" s="6">
        <f t="shared" si="7"/>
        <v>-217.40369028996975</v>
      </c>
      <c r="I13" s="6">
        <f t="shared" si="7"/>
        <v>-51.59111070869767</v>
      </c>
      <c r="J13" s="6">
        <f t="shared" si="7"/>
        <v>-53.138844029959728</v>
      </c>
      <c r="K13" s="6">
        <f t="shared" si="7"/>
        <v>-54.733009350857174</v>
      </c>
      <c r="L13" s="6">
        <f t="shared" si="7"/>
        <v>-56.374999631387254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zoomScaleNormal="100" workbookViewId="0">
      <selection activeCell="I15" sqref="I15"/>
    </sheetView>
  </sheetViews>
  <sheetFormatPr defaultColWidth="9.125" defaultRowHeight="18.75" x14ac:dyDescent="0.3"/>
  <cols>
    <col min="1" max="1" width="2" style="30" customWidth="1"/>
    <col min="2" max="2" width="34.375" style="30" bestFit="1" customWidth="1"/>
    <col min="3" max="11" width="14.5" style="30" customWidth="1"/>
    <col min="12" max="12" width="2" style="30" customWidth="1"/>
    <col min="13" max="16384" width="9.125" style="30"/>
  </cols>
  <sheetData>
    <row r="1" spans="2:13" x14ac:dyDescent="0.3">
      <c r="B1" s="29" t="s">
        <v>28</v>
      </c>
    </row>
    <row r="3" spans="2:13" ht="38.25" thickBot="1" x14ac:dyDescent="0.35">
      <c r="B3" s="7" t="s">
        <v>61</v>
      </c>
      <c r="C3" s="8" t="s">
        <v>62</v>
      </c>
      <c r="D3" s="8" t="s">
        <v>1</v>
      </c>
      <c r="E3" s="8" t="s">
        <v>2</v>
      </c>
      <c r="F3" s="8" t="s">
        <v>3</v>
      </c>
      <c r="G3" s="10" t="s">
        <v>146</v>
      </c>
      <c r="H3" s="10" t="s">
        <v>4</v>
      </c>
      <c r="I3" s="10" t="s">
        <v>5</v>
      </c>
      <c r="J3" s="10" t="s">
        <v>6</v>
      </c>
      <c r="K3" s="10" t="s">
        <v>7</v>
      </c>
      <c r="L3" s="6"/>
      <c r="M3" s="20" t="s">
        <v>13</v>
      </c>
    </row>
    <row r="4" spans="2:13" x14ac:dyDescent="0.3">
      <c r="B4" s="30" t="s">
        <v>85</v>
      </c>
      <c r="C4" s="30">
        <f>'P&amp;L'!D14</f>
        <v>8905.9218300000011</v>
      </c>
      <c r="D4" s="30">
        <f>'P&amp;L'!E14</f>
        <v>10065.875039999992</v>
      </c>
      <c r="E4" s="30">
        <f>'P&amp;L'!F14</f>
        <v>11819.795000000002</v>
      </c>
      <c r="F4" s="30">
        <f>'P&amp;L'!G14</f>
        <v>15082.794999999995</v>
      </c>
      <c r="G4" s="30">
        <f>'P&amp;L'!H14</f>
        <v>14385.073833000006</v>
      </c>
      <c r="H4" s="30">
        <f>'P&amp;L'!I14</f>
        <v>14816.626047990003</v>
      </c>
      <c r="I4" s="30">
        <f>'P&amp;L'!J14</f>
        <v>15261.1248294297</v>
      </c>
      <c r="J4" s="30">
        <f>'P&amp;L'!K14</f>
        <v>15718.958574312599</v>
      </c>
      <c r="K4" s="30">
        <f>'P&amp;L'!L14</f>
        <v>16190.527331541969</v>
      </c>
    </row>
    <row r="5" spans="2:13" x14ac:dyDescent="0.3">
      <c r="B5" s="30" t="s">
        <v>86</v>
      </c>
      <c r="C5" s="30">
        <f>'P&amp;L assumptions'!D28</f>
        <v>-3472.6</v>
      </c>
      <c r="D5" s="30">
        <f>'P&amp;L assumptions'!E28</f>
        <v>-3536.7</v>
      </c>
      <c r="E5" s="30">
        <f>'P&amp;L assumptions'!F28</f>
        <v>-3422.5</v>
      </c>
      <c r="F5" s="30">
        <f>'P&amp;L assumptions'!G28</f>
        <v>-3356.7</v>
      </c>
      <c r="G5" s="30">
        <f>'P&amp;L assumptions'!I28</f>
        <v>-3457.4009999999998</v>
      </c>
      <c r="H5" s="30">
        <f>'P&amp;L assumptions'!J28</f>
        <v>-3561.1230299999997</v>
      </c>
      <c r="I5" s="30">
        <f>'P&amp;L assumptions'!K28</f>
        <v>-3667.9567208999997</v>
      </c>
      <c r="J5" s="30">
        <f>'P&amp;L assumptions'!L28</f>
        <v>-3777.9954225269994</v>
      </c>
      <c r="K5" s="30">
        <f>'P&amp;L assumptions'!M28</f>
        <v>-3891.3352852028092</v>
      </c>
    </row>
    <row r="6" spans="2:13" x14ac:dyDescent="0.3">
      <c r="B6" s="21" t="s">
        <v>87</v>
      </c>
      <c r="C6" s="22">
        <f t="shared" ref="C6:E6" si="0">C4-C5</f>
        <v>12378.521830000002</v>
      </c>
      <c r="D6" s="22">
        <f t="shared" si="0"/>
        <v>13602.575039999992</v>
      </c>
      <c r="E6" s="22">
        <f t="shared" si="0"/>
        <v>15242.295000000002</v>
      </c>
      <c r="F6" s="22">
        <f>F4-F5</f>
        <v>18439.494999999995</v>
      </c>
      <c r="G6" s="22">
        <f t="shared" ref="G6:K6" si="1">G4-G5</f>
        <v>17842.474833000007</v>
      </c>
      <c r="H6" s="22">
        <f t="shared" si="1"/>
        <v>18377.749077990004</v>
      </c>
      <c r="I6" s="22">
        <f t="shared" si="1"/>
        <v>18929.081550329698</v>
      </c>
      <c r="J6" s="22">
        <f t="shared" si="1"/>
        <v>19496.953996839598</v>
      </c>
      <c r="K6" s="22">
        <f t="shared" si="1"/>
        <v>20081.86261674478</v>
      </c>
    </row>
    <row r="7" spans="2:13" x14ac:dyDescent="0.3">
      <c r="B7" s="30" t="s">
        <v>88</v>
      </c>
      <c r="C7" s="30">
        <f>BS!D6</f>
        <v>544.80000000000427</v>
      </c>
      <c r="D7" s="30">
        <f>BS!E6</f>
        <v>1433.4000000000005</v>
      </c>
      <c r="E7" s="30">
        <f>BS!F6</f>
        <v>1342.7999999999956</v>
      </c>
      <c r="F7" s="30">
        <f>BS!G6</f>
        <v>1311.5000000000027</v>
      </c>
      <c r="G7" s="30">
        <f>BS!H6</f>
        <v>4209.146999999999</v>
      </c>
      <c r="H7" s="30">
        <f>BS!I6</f>
        <v>4335.4214099999999</v>
      </c>
      <c r="I7" s="30">
        <f>BS!J6</f>
        <v>4465.4840523000003</v>
      </c>
      <c r="J7" s="30">
        <f>BS!K6</f>
        <v>4599.448573869</v>
      </c>
      <c r="K7" s="30">
        <f>BS!L6</f>
        <v>4737.432031085069</v>
      </c>
    </row>
    <row r="8" spans="2:13" x14ac:dyDescent="0.3">
      <c r="B8" s="30" t="s">
        <v>89</v>
      </c>
      <c r="C8" s="30">
        <f>BS!D13</f>
        <v>-646.69999999999891</v>
      </c>
      <c r="D8" s="30">
        <f>BS!E13</f>
        <v>890.09999999999854</v>
      </c>
      <c r="E8" s="30">
        <f>BS!F13</f>
        <v>-2320.2999999999975</v>
      </c>
      <c r="F8" s="30">
        <f>BS!G13</f>
        <v>-1570.3000000000029</v>
      </c>
      <c r="G8" s="30">
        <f>BS!H13</f>
        <v>-217.40369028996975</v>
      </c>
      <c r="H8" s="30">
        <f>BS!I13</f>
        <v>-51.59111070869767</v>
      </c>
      <c r="I8" s="30">
        <f>BS!J13</f>
        <v>-53.138844029959728</v>
      </c>
      <c r="J8" s="30">
        <f>BS!K13</f>
        <v>-54.733009350857174</v>
      </c>
      <c r="K8" s="30">
        <f>BS!L13</f>
        <v>-56.374999631387254</v>
      </c>
    </row>
    <row r="9" spans="2:13" ht="19.5" thickBot="1" x14ac:dyDescent="0.35">
      <c r="B9" s="47" t="s">
        <v>90</v>
      </c>
      <c r="C9" s="48">
        <f t="shared" ref="C9:E9" si="2">C6-C7-C8</f>
        <v>12480.421829999996</v>
      </c>
      <c r="D9" s="48">
        <f t="shared" si="2"/>
        <v>11279.075039999992</v>
      </c>
      <c r="E9" s="48">
        <f t="shared" si="2"/>
        <v>16219.795000000004</v>
      </c>
      <c r="F9" s="48">
        <f>F6-F7-F8</f>
        <v>18698.294999999995</v>
      </c>
      <c r="G9" s="48">
        <f t="shared" ref="G9:K9" si="3">G6-G7-G8</f>
        <v>13850.731523289978</v>
      </c>
      <c r="H9" s="48">
        <f t="shared" si="3"/>
        <v>14093.918778698702</v>
      </c>
      <c r="I9" s="48">
        <f t="shared" si="3"/>
        <v>14516.736342059658</v>
      </c>
      <c r="J9" s="48">
        <f t="shared" si="3"/>
        <v>14952.238432321456</v>
      </c>
      <c r="K9" s="48">
        <f t="shared" si="3"/>
        <v>15400.805585291098</v>
      </c>
    </row>
    <row r="10" spans="2:13" ht="19.5" thickTop="1" x14ac:dyDescent="0.3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opLeftCell="B5" zoomScaleNormal="100" workbookViewId="0">
      <selection activeCell="B13" sqref="B13"/>
    </sheetView>
  </sheetViews>
  <sheetFormatPr defaultColWidth="9.125" defaultRowHeight="18.75" x14ac:dyDescent="0.3"/>
  <cols>
    <col min="1" max="1" width="2" style="6" customWidth="1"/>
    <col min="2" max="2" width="43" style="6" bestFit="1" customWidth="1"/>
    <col min="3" max="3" width="17.875" style="6" customWidth="1"/>
    <col min="4" max="7" width="12.375" style="6" customWidth="1"/>
    <col min="8" max="8" width="14.375" style="6" customWidth="1"/>
    <col min="9" max="10" width="12.375" style="6" customWidth="1"/>
    <col min="11" max="11" width="15.125" style="6" customWidth="1"/>
    <col min="12" max="12" width="12.375" style="6" customWidth="1"/>
    <col min="13" max="13" width="2" style="6" customWidth="1"/>
    <col min="14" max="14" width="31.125" style="6" customWidth="1"/>
    <col min="15" max="16384" width="9.125" style="6"/>
  </cols>
  <sheetData>
    <row r="1" spans="2:14" x14ac:dyDescent="0.3">
      <c r="B1" s="5" t="s">
        <v>29</v>
      </c>
    </row>
    <row r="2" spans="2:14" x14ac:dyDescent="0.3">
      <c r="B2" s="5"/>
    </row>
    <row r="3" spans="2:14" x14ac:dyDescent="0.3">
      <c r="B3" s="6" t="s">
        <v>91</v>
      </c>
      <c r="C3" s="76">
        <f>WACC!C22</f>
        <v>9.3279181743109965E-2</v>
      </c>
    </row>
    <row r="4" spans="2:14" x14ac:dyDescent="0.3">
      <c r="B4" s="6" t="s">
        <v>92</v>
      </c>
      <c r="C4" s="77">
        <v>0.02</v>
      </c>
    </row>
    <row r="6" spans="2:14" ht="38.25" thickBot="1" x14ac:dyDescent="0.35">
      <c r="B6" s="7" t="s">
        <v>61</v>
      </c>
      <c r="C6" s="8"/>
      <c r="D6" s="8" t="s">
        <v>62</v>
      </c>
      <c r="E6" s="8" t="s">
        <v>1</v>
      </c>
      <c r="F6" s="8" t="s">
        <v>2</v>
      </c>
      <c r="G6" s="8" t="s">
        <v>3</v>
      </c>
      <c r="H6" s="10" t="s">
        <v>146</v>
      </c>
      <c r="I6" s="10" t="s">
        <v>4</v>
      </c>
      <c r="J6" s="10" t="s">
        <v>5</v>
      </c>
      <c r="K6" s="10" t="s">
        <v>6</v>
      </c>
      <c r="L6" s="10" t="s">
        <v>7</v>
      </c>
      <c r="N6" s="20" t="s">
        <v>13</v>
      </c>
    </row>
    <row r="7" spans="2:14" x14ac:dyDescent="0.3">
      <c r="B7" s="6" t="str">
        <f>'Cash Flow'!B9</f>
        <v>Net Cash Flow</v>
      </c>
      <c r="D7" s="6">
        <f>'Cash Flow'!C9</f>
        <v>12480.421829999996</v>
      </c>
      <c r="E7" s="6">
        <f>'Cash Flow'!D9</f>
        <v>11279.075039999992</v>
      </c>
      <c r="F7" s="6">
        <f>'Cash Flow'!E9</f>
        <v>16219.795000000004</v>
      </c>
      <c r="G7" s="6">
        <f>'Cash Flow'!F9</f>
        <v>18698.294999999995</v>
      </c>
      <c r="H7" s="6">
        <f>'Cash Flow'!G9</f>
        <v>13850.731523289978</v>
      </c>
      <c r="I7" s="6">
        <f>'Cash Flow'!H9</f>
        <v>14093.918778698702</v>
      </c>
      <c r="J7" s="6">
        <f>'Cash Flow'!I9</f>
        <v>14516.736342059658</v>
      </c>
      <c r="K7" s="6">
        <f>'Cash Flow'!J9</f>
        <v>14952.238432321456</v>
      </c>
      <c r="L7" s="6">
        <f>'Cash Flow'!K9</f>
        <v>15400.805585291098</v>
      </c>
    </row>
    <row r="8" spans="2:14" x14ac:dyDescent="0.3">
      <c r="B8" s="6" t="s">
        <v>114</v>
      </c>
      <c r="H8" s="44">
        <f>1/(1+$C$3)^1</f>
        <v>0.91467944940249668</v>
      </c>
      <c r="I8" s="44">
        <f>1/(1+$C$3)^2</f>
        <v>0.83663849515925459</v>
      </c>
      <c r="J8" s="44">
        <f>1/(1+$C$3)^3</f>
        <v>0.76525603810120035</v>
      </c>
      <c r="K8" s="44">
        <f>1/(1+$C$3)^4</f>
        <v>0.69996397158234203</v>
      </c>
      <c r="L8" s="44">
        <f>1/(1+$C$3)^5</f>
        <v>0.64024266012852138</v>
      </c>
    </row>
    <row r="9" spans="2:14" ht="19.5" thickBot="1" x14ac:dyDescent="0.35">
      <c r="B9" s="67" t="s">
        <v>115</v>
      </c>
      <c r="C9" s="67"/>
      <c r="D9" s="67"/>
      <c r="E9" s="67"/>
      <c r="F9" s="67"/>
      <c r="G9" s="67"/>
      <c r="H9" s="67">
        <f>H7*H8</f>
        <v>12668.979483544681</v>
      </c>
      <c r="I9" s="67">
        <f t="shared" ref="I9:L9" si="0">I7*I8</f>
        <v>11791.514997907241</v>
      </c>
      <c r="J9" s="67">
        <f t="shared" si="0"/>
        <v>11109.020139284285</v>
      </c>
      <c r="K9" s="67">
        <f t="shared" si="0"/>
        <v>10466.028197133857</v>
      </c>
      <c r="L9" s="67">
        <f t="shared" si="0"/>
        <v>9860.2527360489621</v>
      </c>
    </row>
    <row r="10" spans="2:14" ht="19.5" thickTop="1" x14ac:dyDescent="0.3"/>
    <row r="11" spans="2:14" x14ac:dyDescent="0.3">
      <c r="B11" s="6" t="s">
        <v>116</v>
      </c>
      <c r="C11" s="45">
        <f>SUM(H9:L9)</f>
        <v>55895.795553919022</v>
      </c>
      <c r="D11" s="37">
        <f>C11/C14</f>
        <v>0.2893991527587636</v>
      </c>
    </row>
    <row r="12" spans="2:14" x14ac:dyDescent="0.3">
      <c r="B12" s="6" t="s">
        <v>117</v>
      </c>
      <c r="C12" s="45">
        <f>L7*(1+C4)/(C3-C4)</f>
        <v>214369.50199671046</v>
      </c>
    </row>
    <row r="13" spans="2:14" x14ac:dyDescent="0.3">
      <c r="B13" s="6" t="s">
        <v>151</v>
      </c>
      <c r="C13" s="6">
        <f>C12*L8</f>
        <v>137248.50020880028</v>
      </c>
      <c r="D13" s="37">
        <f>1-D11</f>
        <v>0.7106008472412364</v>
      </c>
      <c r="F13" s="80">
        <f>C14</f>
        <v>193144.2957627193</v>
      </c>
      <c r="G13" s="37">
        <v>0</v>
      </c>
      <c r="H13" s="37">
        <v>0.01</v>
      </c>
      <c r="I13" s="37">
        <v>0.02</v>
      </c>
      <c r="J13" s="37">
        <v>0.03</v>
      </c>
      <c r="K13" s="37">
        <v>0.04</v>
      </c>
    </row>
    <row r="14" spans="2:14" x14ac:dyDescent="0.3">
      <c r="B14" s="46" t="s">
        <v>118</v>
      </c>
      <c r="C14" s="46">
        <f>C11+C13</f>
        <v>193144.2957627193</v>
      </c>
      <c r="E14" s="79"/>
      <c r="F14" s="78">
        <v>7.1999999999999995E-2</v>
      </c>
      <c r="G14" s="43">
        <f t="dataTable" ref="G14:K18" dt2D="1" dtr="1" r1="C4" r2="C3"/>
        <v>210259.58743302367</v>
      </c>
      <c r="H14" s="43">
        <v>236383.61366322555</v>
      </c>
      <c r="I14" s="43">
        <v>272555.34228965896</v>
      </c>
      <c r="J14" s="43">
        <v>325951.70359534642</v>
      </c>
      <c r="K14" s="43">
        <v>412720.79071708856</v>
      </c>
    </row>
    <row r="15" spans="2:14" x14ac:dyDescent="0.3">
      <c r="B15" s="6" t="s">
        <v>119</v>
      </c>
      <c r="C15" s="6">
        <f>WACC!C29</f>
        <v>351.4</v>
      </c>
      <c r="E15" s="79"/>
      <c r="F15" s="78">
        <v>8.2000000000000003E-2</v>
      </c>
      <c r="G15" s="43">
        <v>184240.59759038879</v>
      </c>
      <c r="H15" s="43">
        <v>203272.75612347285</v>
      </c>
      <c r="I15" s="43">
        <v>228444.32063497114</v>
      </c>
      <c r="J15" s="43">
        <v>263297.2561124303</v>
      </c>
      <c r="K15" s="43">
        <v>314746.82753153669</v>
      </c>
    </row>
    <row r="16" spans="2:14" x14ac:dyDescent="0.3">
      <c r="B16" s="15" t="s">
        <v>120</v>
      </c>
      <c r="E16" s="79"/>
      <c r="F16" s="78">
        <v>9.1999999999999998E-2</v>
      </c>
      <c r="G16" s="43">
        <v>163890.24976437277</v>
      </c>
      <c r="H16" s="43">
        <v>178246.83670522712</v>
      </c>
      <c r="I16" s="43">
        <v>196591.36446298542</v>
      </c>
      <c r="J16" s="43">
        <v>220853.48182002062</v>
      </c>
      <c r="K16" s="43">
        <v>254447.18277591551</v>
      </c>
    </row>
    <row r="17" spans="2:11" x14ac:dyDescent="0.3">
      <c r="B17" s="6" t="str">
        <f>'BS Source '!B9</f>
        <v>Investments</v>
      </c>
      <c r="C17" s="6">
        <f>'BS Source '!G9</f>
        <v>7333.6</v>
      </c>
      <c r="E17" s="79"/>
      <c r="F17" s="78">
        <v>0.10199999999999999</v>
      </c>
      <c r="G17" s="43">
        <v>147540.77062841697</v>
      </c>
      <c r="H17" s="43">
        <v>158669.07668471272</v>
      </c>
      <c r="I17" s="43">
        <v>172511.60373034887</v>
      </c>
      <c r="J17" s="43">
        <v>190199.27717755066</v>
      </c>
      <c r="K17" s="43">
        <v>213592.651736753</v>
      </c>
    </row>
    <row r="18" spans="2:11" x14ac:dyDescent="0.3">
      <c r="B18" s="6" t="str">
        <f>'BS Source '!B10</f>
        <v>Loans</v>
      </c>
      <c r="C18" s="6">
        <f>'BS Source '!G10</f>
        <v>401.4</v>
      </c>
      <c r="E18" s="79"/>
      <c r="F18" s="78">
        <v>0.112</v>
      </c>
      <c r="G18" s="43">
        <v>134120.04741666856</v>
      </c>
      <c r="H18" s="43">
        <v>142936.74805605991</v>
      </c>
      <c r="I18" s="43">
        <v>153670.12274749283</v>
      </c>
      <c r="J18" s="43">
        <v>167021.3937051289</v>
      </c>
      <c r="K18" s="43">
        <v>184081.3510398861</v>
      </c>
    </row>
    <row r="19" spans="2:11" x14ac:dyDescent="0.3">
      <c r="B19" s="6" t="str">
        <f>'BS Source '!B15</f>
        <v>Investments</v>
      </c>
      <c r="C19" s="6">
        <f>'BS Source '!G15</f>
        <v>19251.3</v>
      </c>
    </row>
    <row r="20" spans="2:11" x14ac:dyDescent="0.3">
      <c r="B20" s="6" t="str">
        <f>'BS Source '!B18</f>
        <v>Other current assets</v>
      </c>
      <c r="C20" s="6">
        <f>'BS Source '!G18</f>
        <v>223.9</v>
      </c>
    </row>
    <row r="21" spans="2:11" x14ac:dyDescent="0.3">
      <c r="B21" s="6" t="str">
        <f>'BS Source '!B19</f>
        <v>Current tax assets</v>
      </c>
      <c r="C21" s="6">
        <f>'BS Source '!G19</f>
        <v>188.5</v>
      </c>
    </row>
    <row r="22" spans="2:11" x14ac:dyDescent="0.3">
      <c r="B22" s="6" t="str">
        <f>'BS Source '!B20</f>
        <v>Other non operating financial assets</v>
      </c>
      <c r="C22" s="6">
        <f>'BS Source '!G20</f>
        <v>703.8</v>
      </c>
    </row>
    <row r="23" spans="2:11" x14ac:dyDescent="0.3">
      <c r="B23" s="46" t="s">
        <v>121</v>
      </c>
      <c r="C23" s="46">
        <f>C14-C15+SUM(C17:C22)</f>
        <v>220895.3957627193</v>
      </c>
    </row>
    <row r="24" spans="2:11" x14ac:dyDescent="0.3">
      <c r="B24" s="6" t="s">
        <v>109</v>
      </c>
      <c r="C24" s="6">
        <f>WACC!C25</f>
        <v>9.64</v>
      </c>
    </row>
    <row r="25" spans="2:11" x14ac:dyDescent="0.3">
      <c r="B25" s="46" t="s">
        <v>122</v>
      </c>
      <c r="C25" s="46">
        <f>C23/C24</f>
        <v>22914.460141360923</v>
      </c>
    </row>
  </sheetData>
  <conditionalFormatting sqref="G14:K18">
    <cfRule type="cellIs" dxfId="0" priority="2" operator="greaterThan">
      <formula>$C$14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3"/>
  <sheetViews>
    <sheetView showGridLines="0" topLeftCell="A5" zoomScaleNormal="100" workbookViewId="0">
      <selection activeCell="L5" sqref="L5"/>
    </sheetView>
  </sheetViews>
  <sheetFormatPr defaultColWidth="10.875" defaultRowHeight="18.75" outlineLevelCol="1" x14ac:dyDescent="0.3"/>
  <cols>
    <col min="1" max="1" width="3.375" style="49" customWidth="1"/>
    <col min="2" max="2" width="46.625" style="49" bestFit="1" customWidth="1"/>
    <col min="3" max="3" width="42.125" style="49" customWidth="1"/>
    <col min="4" max="4" width="11.125" style="49" customWidth="1"/>
    <col min="5" max="5" width="12.5" style="49" hidden="1" customWidth="1" outlineLevel="1"/>
    <col min="6" max="6" width="19.5" style="49" hidden="1" customWidth="1" outlineLevel="1"/>
    <col min="7" max="7" width="16.625" style="49" hidden="1" customWidth="1" outlineLevel="1"/>
    <col min="8" max="8" width="3.375" style="49" hidden="1" customWidth="1" outlineLevel="1"/>
    <col min="9" max="10" width="20.375" style="49" hidden="1" customWidth="1" outlineLevel="1"/>
    <col min="11" max="11" width="10.875" style="49" collapsed="1"/>
    <col min="12" max="16384" width="10.875" style="49"/>
  </cols>
  <sheetData>
    <row r="1" spans="1:15" ht="19.5" thickBot="1" x14ac:dyDescent="0.35">
      <c r="A1" s="81"/>
    </row>
    <row r="2" spans="1:15" ht="37.5" x14ac:dyDescent="0.3">
      <c r="B2" s="134" t="s">
        <v>105</v>
      </c>
      <c r="C2" s="135"/>
      <c r="E2" s="49" t="s">
        <v>107</v>
      </c>
      <c r="F2" s="68" t="s">
        <v>145</v>
      </c>
      <c r="G2" s="69" t="s">
        <v>108</v>
      </c>
      <c r="I2" s="68" t="s">
        <v>147</v>
      </c>
      <c r="J2" s="69" t="s">
        <v>108</v>
      </c>
    </row>
    <row r="3" spans="1:15" x14ac:dyDescent="0.3">
      <c r="B3" s="50"/>
      <c r="C3" s="51"/>
      <c r="E3" s="70">
        <v>41883</v>
      </c>
      <c r="F3" s="71">
        <v>5616.3627930000002</v>
      </c>
      <c r="G3" s="72">
        <v>6415.7001950000003</v>
      </c>
      <c r="I3" s="73"/>
      <c r="J3" s="73"/>
    </row>
    <row r="4" spans="1:15" ht="19.5" thickBot="1" x14ac:dyDescent="0.35">
      <c r="B4" s="61" t="s">
        <v>93</v>
      </c>
      <c r="C4" s="53"/>
      <c r="E4" s="70">
        <v>41913</v>
      </c>
      <c r="F4" s="71">
        <v>5906.3833009999998</v>
      </c>
      <c r="G4" s="72">
        <v>6685.75</v>
      </c>
      <c r="I4" s="73">
        <f>F4/F3-1</f>
        <v>5.1638492506479228E-2</v>
      </c>
      <c r="J4" s="73">
        <f>G4/G3-1</f>
        <v>4.2092023752989594E-2</v>
      </c>
    </row>
    <row r="5" spans="1:15" x14ac:dyDescent="0.3">
      <c r="B5" s="117" t="s">
        <v>94</v>
      </c>
      <c r="C5" s="118">
        <f>C27/SUM(C27,C29)</f>
        <v>0.9970780793086107</v>
      </c>
      <c r="E5" s="70">
        <v>41944</v>
      </c>
      <c r="F5" s="71">
        <v>5856.2138670000004</v>
      </c>
      <c r="G5" s="72">
        <v>6918.0498049999997</v>
      </c>
      <c r="I5" s="73">
        <f t="shared" ref="I5:I63" si="0">F5/F4-1</f>
        <v>-8.4941039961807796E-3</v>
      </c>
      <c r="J5" s="73">
        <f t="shared" ref="J5:J63" si="1">G5/G4-1</f>
        <v>3.47455117226938E-2</v>
      </c>
    </row>
    <row r="6" spans="1:15" x14ac:dyDescent="0.3">
      <c r="B6" s="119" t="s">
        <v>95</v>
      </c>
      <c r="C6" s="120">
        <f>1-C5</f>
        <v>2.9219206913893014E-3</v>
      </c>
      <c r="E6" s="70">
        <v>41974</v>
      </c>
      <c r="F6" s="71">
        <v>6026.8759769999997</v>
      </c>
      <c r="G6" s="72">
        <v>6773.6499020000001</v>
      </c>
      <c r="I6" s="73">
        <f t="shared" si="0"/>
        <v>2.9142055579917781E-2</v>
      </c>
      <c r="J6" s="73">
        <f t="shared" si="1"/>
        <v>-2.0872920414021112E-2</v>
      </c>
    </row>
    <row r="7" spans="1:15" x14ac:dyDescent="0.3">
      <c r="B7" s="121"/>
      <c r="C7" s="122"/>
      <c r="E7" s="70">
        <v>42005</v>
      </c>
      <c r="F7" s="71">
        <v>6722.7817379999997</v>
      </c>
      <c r="G7" s="72">
        <v>7257.25</v>
      </c>
      <c r="I7" s="73">
        <f t="shared" si="0"/>
        <v>0.11546707840940185</v>
      </c>
      <c r="J7" s="73">
        <f t="shared" si="1"/>
        <v>7.1394315471960068E-2</v>
      </c>
    </row>
    <row r="8" spans="1:15" ht="19.5" thickBot="1" x14ac:dyDescent="0.35">
      <c r="B8" s="123" t="s">
        <v>96</v>
      </c>
      <c r="C8" s="124"/>
      <c r="E8" s="70">
        <v>42036</v>
      </c>
      <c r="F8" s="71">
        <v>6635.6884769999997</v>
      </c>
      <c r="G8" s="72">
        <v>7210.2998049999997</v>
      </c>
      <c r="I8" s="73">
        <f t="shared" si="0"/>
        <v>-1.2954944008922942E-2</v>
      </c>
      <c r="J8" s="73">
        <f t="shared" si="1"/>
        <v>-6.4694195459713555E-3</v>
      </c>
    </row>
    <row r="9" spans="1:15" x14ac:dyDescent="0.3">
      <c r="B9" s="52" t="s">
        <v>97</v>
      </c>
      <c r="C9" s="56">
        <v>6.5699999999999995E-2</v>
      </c>
      <c r="E9" s="70">
        <v>42064</v>
      </c>
      <c r="F9" s="71">
        <v>6566.1733400000003</v>
      </c>
      <c r="G9" s="72">
        <v>6978.1499020000001</v>
      </c>
      <c r="I9" s="73">
        <f t="shared" si="0"/>
        <v>-1.0475949442314225E-2</v>
      </c>
      <c r="J9" s="73">
        <f t="shared" si="1"/>
        <v>-3.2196983381885813E-2</v>
      </c>
    </row>
    <row r="10" spans="1:15" x14ac:dyDescent="0.3">
      <c r="B10" s="52" t="s">
        <v>106</v>
      </c>
      <c r="C10" s="74">
        <f>SLOPE(I4:I63,J4:J63)</f>
        <v>0.5536220311096679</v>
      </c>
      <c r="E10" s="70">
        <v>42095</v>
      </c>
      <c r="F10" s="71">
        <v>6211.9838870000003</v>
      </c>
      <c r="G10" s="72">
        <v>6781.7001950000003</v>
      </c>
      <c r="I10" s="73">
        <f t="shared" si="0"/>
        <v>-5.3941532557835292E-2</v>
      </c>
      <c r="J10" s="73">
        <f t="shared" si="1"/>
        <v>-2.815211908011539E-2</v>
      </c>
    </row>
    <row r="11" spans="1:15" x14ac:dyDescent="0.3">
      <c r="B11" s="52" t="s">
        <v>98</v>
      </c>
      <c r="C11" s="56">
        <v>0.05</v>
      </c>
      <c r="E11" s="70">
        <v>42125</v>
      </c>
      <c r="F11" s="71">
        <v>6381.1166990000002</v>
      </c>
      <c r="G11" s="72">
        <v>6959.8500979999999</v>
      </c>
      <c r="I11" s="73">
        <f t="shared" si="0"/>
        <v>2.7226859418284954E-2</v>
      </c>
      <c r="J11" s="73">
        <f t="shared" si="1"/>
        <v>2.626920947218303E-2</v>
      </c>
    </row>
    <row r="12" spans="1:15" x14ac:dyDescent="0.3">
      <c r="B12" s="59" t="s">
        <v>99</v>
      </c>
      <c r="C12" s="60">
        <f>C9+C10*C11</f>
        <v>9.338110155548339E-2</v>
      </c>
      <c r="E12" s="70">
        <v>42156</v>
      </c>
      <c r="F12" s="71">
        <v>6026.2431640000004</v>
      </c>
      <c r="G12" s="72">
        <v>6897.2001950000003</v>
      </c>
      <c r="I12" s="73">
        <f t="shared" si="0"/>
        <v>-5.5613077105393316E-2</v>
      </c>
      <c r="J12" s="73">
        <f t="shared" si="1"/>
        <v>-9.0016167184409079E-3</v>
      </c>
      <c r="K12" s="81"/>
      <c r="L12" s="81"/>
      <c r="M12" s="81"/>
      <c r="N12" s="81"/>
      <c r="O12" s="81"/>
    </row>
    <row r="13" spans="1:15" x14ac:dyDescent="0.3">
      <c r="B13" s="52"/>
      <c r="C13" s="54"/>
      <c r="E13" s="70">
        <v>42186</v>
      </c>
      <c r="F13" s="71">
        <v>6031.1748049999997</v>
      </c>
      <c r="G13" s="72">
        <v>7106.2001950000003</v>
      </c>
      <c r="I13" s="73">
        <f t="shared" si="0"/>
        <v>8.1836077068042634E-4</v>
      </c>
      <c r="J13" s="73">
        <f t="shared" si="1"/>
        <v>3.0302150741037037E-2</v>
      </c>
      <c r="K13" s="81"/>
      <c r="L13" s="81"/>
      <c r="M13" s="82"/>
      <c r="N13" s="81"/>
      <c r="O13" s="81"/>
    </row>
    <row r="14" spans="1:15" x14ac:dyDescent="0.3">
      <c r="B14" s="52" t="s">
        <v>113</v>
      </c>
      <c r="C14" s="55">
        <v>0.09</v>
      </c>
      <c r="E14" s="70">
        <v>42217</v>
      </c>
      <c r="F14" s="71">
        <v>5659.2900390000004</v>
      </c>
      <c r="G14" s="72">
        <v>6669.3500979999999</v>
      </c>
      <c r="I14" s="73">
        <f t="shared" si="0"/>
        <v>-6.1660419076511763E-2</v>
      </c>
      <c r="J14" s="73">
        <f t="shared" si="1"/>
        <v>-6.1474499030772178E-2</v>
      </c>
      <c r="K14" s="81"/>
      <c r="L14" s="81"/>
      <c r="M14" s="81"/>
      <c r="N14" s="81"/>
      <c r="O14" s="81"/>
    </row>
    <row r="15" spans="1:15" x14ac:dyDescent="0.3">
      <c r="B15" s="52" t="s">
        <v>100</v>
      </c>
      <c r="C15" s="55">
        <f>'P&amp;L assumptions'!I36</f>
        <v>0.35</v>
      </c>
      <c r="E15" s="70">
        <v>42248</v>
      </c>
      <c r="F15" s="71">
        <v>6040.8984380000002</v>
      </c>
      <c r="G15" s="72">
        <v>6646.1000979999999</v>
      </c>
      <c r="I15" s="73">
        <f t="shared" si="0"/>
        <v>6.7430436745636424E-2</v>
      </c>
      <c r="J15" s="73">
        <f t="shared" si="1"/>
        <v>-3.4860967947945021E-3</v>
      </c>
    </row>
    <row r="16" spans="1:15" x14ac:dyDescent="0.3">
      <c r="B16" s="59" t="s">
        <v>101</v>
      </c>
      <c r="C16" s="60">
        <f>C14*(1-C15)</f>
        <v>5.8499999999999996E-2</v>
      </c>
      <c r="E16" s="70">
        <v>42278</v>
      </c>
      <c r="F16" s="71">
        <v>5857.0913090000004</v>
      </c>
      <c r="G16" s="72">
        <v>6750.9501950000003</v>
      </c>
      <c r="I16" s="73">
        <f t="shared" si="0"/>
        <v>-3.0427117900835632E-2</v>
      </c>
      <c r="J16" s="73">
        <f t="shared" si="1"/>
        <v>1.5776183845252811E-2</v>
      </c>
    </row>
    <row r="17" spans="2:10" x14ac:dyDescent="0.3">
      <c r="B17" s="57"/>
      <c r="C17" s="58"/>
      <c r="E17" s="70">
        <v>42309</v>
      </c>
      <c r="F17" s="71">
        <v>5559.3461909999996</v>
      </c>
      <c r="G17" s="72">
        <v>6661.7001950000003</v>
      </c>
      <c r="I17" s="73">
        <f t="shared" si="0"/>
        <v>-5.0834979735160712E-2</v>
      </c>
      <c r="J17" s="73">
        <f t="shared" si="1"/>
        <v>-1.3220361196872976E-2</v>
      </c>
    </row>
    <row r="18" spans="2:10" x14ac:dyDescent="0.3">
      <c r="B18" s="57"/>
      <c r="C18" s="58"/>
      <c r="E18" s="70">
        <v>42339</v>
      </c>
      <c r="F18" s="71">
        <v>5528.9414059999999</v>
      </c>
      <c r="G18" s="72">
        <v>6712.5</v>
      </c>
      <c r="I18" s="73">
        <f t="shared" si="0"/>
        <v>-5.4691296342044282E-3</v>
      </c>
      <c r="J18" s="73">
        <f t="shared" si="1"/>
        <v>7.6256516374195726E-3</v>
      </c>
    </row>
    <row r="19" spans="2:10" x14ac:dyDescent="0.3">
      <c r="B19" s="61" t="s">
        <v>102</v>
      </c>
      <c r="C19" s="62">
        <f>IF(ISNUMBER($C$5*$C$12),$C$5*$C$12,"n/a")</f>
        <v>9.3108249382663696E-2</v>
      </c>
      <c r="E19" s="70">
        <v>42370</v>
      </c>
      <c r="F19" s="71">
        <v>5220.8627930000002</v>
      </c>
      <c r="G19" s="72">
        <v>6753.65</v>
      </c>
      <c r="I19" s="73">
        <f t="shared" si="0"/>
        <v>-5.57210848112214E-2</v>
      </c>
      <c r="J19" s="73">
        <f t="shared" si="1"/>
        <v>6.1303538175045968E-3</v>
      </c>
    </row>
    <row r="20" spans="2:10" x14ac:dyDescent="0.3">
      <c r="B20" s="61" t="s">
        <v>103</v>
      </c>
      <c r="C20" s="62">
        <f>IF(ISNUMBER($C$6*$C$16),$C$6*$C$16,"n/a")</f>
        <v>1.7093236044627412E-4</v>
      </c>
      <c r="E20" s="70">
        <v>42401</v>
      </c>
      <c r="F20" s="71">
        <v>4764.2280270000001</v>
      </c>
      <c r="G20" s="72">
        <v>6341.6</v>
      </c>
      <c r="I20" s="73">
        <f t="shared" si="0"/>
        <v>-8.7463468032955127E-2</v>
      </c>
      <c r="J20" s="73">
        <f t="shared" si="1"/>
        <v>-6.1011453066119659E-2</v>
      </c>
    </row>
    <row r="21" spans="2:10" x14ac:dyDescent="0.3">
      <c r="B21" s="52"/>
      <c r="C21" s="54"/>
      <c r="E21" s="70">
        <v>42430</v>
      </c>
      <c r="F21" s="71">
        <v>5477.1015630000002</v>
      </c>
      <c r="G21" s="72">
        <v>6020.05</v>
      </c>
      <c r="I21" s="73">
        <f t="shared" si="0"/>
        <v>0.14963044001252213</v>
      </c>
      <c r="J21" s="73">
        <f t="shared" si="1"/>
        <v>-5.0704869433581434E-2</v>
      </c>
    </row>
    <row r="22" spans="2:10" ht="19.5" thickBot="1" x14ac:dyDescent="0.35">
      <c r="B22" s="63" t="s">
        <v>104</v>
      </c>
      <c r="C22" s="64">
        <f>IF(ISNUMBER(C19+C20),(C19+C20),"n/a")</f>
        <v>9.3279181743109965E-2</v>
      </c>
      <c r="E22" s="70">
        <v>42461</v>
      </c>
      <c r="F22" s="71">
        <v>5446.7548829999996</v>
      </c>
      <c r="G22" s="72">
        <v>6445.5</v>
      </c>
      <c r="I22" s="73">
        <f t="shared" si="0"/>
        <v>-5.5406458417722737E-3</v>
      </c>
      <c r="J22" s="73">
        <f t="shared" si="1"/>
        <v>7.0672170496922648E-2</v>
      </c>
    </row>
    <row r="23" spans="2:10" ht="20.25" thickTop="1" thickBot="1" x14ac:dyDescent="0.35">
      <c r="B23" s="65"/>
      <c r="C23" s="66"/>
      <c r="E23" s="70">
        <v>42491</v>
      </c>
      <c r="F23" s="71">
        <v>5800.5517579999996</v>
      </c>
      <c r="G23" s="72">
        <v>6580.15</v>
      </c>
      <c r="I23" s="73">
        <f t="shared" si="0"/>
        <v>6.4955534552187055E-2</v>
      </c>
      <c r="J23" s="73">
        <f t="shared" si="1"/>
        <v>2.0890543790241134E-2</v>
      </c>
    </row>
    <row r="24" spans="2:10" x14ac:dyDescent="0.3">
      <c r="E24" s="70">
        <v>42522</v>
      </c>
      <c r="F24" s="71">
        <v>6245.8110349999997</v>
      </c>
      <c r="G24" s="72">
        <v>6815.45</v>
      </c>
      <c r="I24" s="73">
        <f t="shared" si="0"/>
        <v>7.6761538483973935E-2</v>
      </c>
      <c r="J24" s="73">
        <f t="shared" si="1"/>
        <v>3.5759063243239186E-2</v>
      </c>
    </row>
    <row r="25" spans="2:10" x14ac:dyDescent="0.3">
      <c r="B25" s="49" t="s">
        <v>109</v>
      </c>
      <c r="C25" s="49">
        <v>9.64</v>
      </c>
      <c r="E25" s="70">
        <v>42552</v>
      </c>
      <c r="F25" s="71">
        <v>6915.3818359999996</v>
      </c>
      <c r="G25" s="72">
        <v>7027.85</v>
      </c>
      <c r="I25" s="73">
        <f t="shared" si="0"/>
        <v>0.10720317941863566</v>
      </c>
      <c r="J25" s="73">
        <f t="shared" si="1"/>
        <v>3.1164486570952832E-2</v>
      </c>
    </row>
    <row r="26" spans="2:10" x14ac:dyDescent="0.3">
      <c r="B26" s="49" t="s">
        <v>110</v>
      </c>
      <c r="C26" s="75">
        <v>12439</v>
      </c>
      <c r="E26" s="70">
        <v>42583</v>
      </c>
      <c r="F26" s="71">
        <v>6277.7504879999997</v>
      </c>
      <c r="G26" s="72">
        <v>7335.05</v>
      </c>
      <c r="I26" s="73">
        <f t="shared" si="0"/>
        <v>-9.2204792608938435E-2</v>
      </c>
      <c r="J26" s="73">
        <f t="shared" si="1"/>
        <v>4.3711803752214395E-2</v>
      </c>
    </row>
    <row r="27" spans="2:10" x14ac:dyDescent="0.3">
      <c r="B27" s="49" t="s">
        <v>112</v>
      </c>
      <c r="C27" s="49">
        <f>C25*C26</f>
        <v>119911.96</v>
      </c>
      <c r="E27" s="70">
        <v>42614</v>
      </c>
      <c r="F27" s="71">
        <v>6199.5014650000003</v>
      </c>
      <c r="G27" s="72">
        <v>7474.3</v>
      </c>
      <c r="I27" s="73">
        <f t="shared" si="0"/>
        <v>-1.246450032532731E-2</v>
      </c>
      <c r="J27" s="73">
        <f t="shared" si="1"/>
        <v>1.8984192336793937E-2</v>
      </c>
    </row>
    <row r="28" spans="2:10" x14ac:dyDescent="0.3">
      <c r="E28" s="70">
        <v>42644</v>
      </c>
      <c r="F28" s="71">
        <v>6732.345703</v>
      </c>
      <c r="G28" s="72">
        <v>7532.25</v>
      </c>
      <c r="I28" s="73">
        <f t="shared" si="0"/>
        <v>8.5949530136936625E-2</v>
      </c>
      <c r="J28" s="73">
        <f t="shared" si="1"/>
        <v>7.7532344166009182E-3</v>
      </c>
    </row>
    <row r="29" spans="2:10" x14ac:dyDescent="0.3">
      <c r="B29" s="49" t="s">
        <v>111</v>
      </c>
      <c r="C29" s="49">
        <v>351.4</v>
      </c>
      <c r="E29" s="70">
        <v>42675</v>
      </c>
      <c r="F29" s="71">
        <v>6061.544922</v>
      </c>
      <c r="G29" s="72">
        <v>7502.2</v>
      </c>
      <c r="I29" s="73">
        <f t="shared" si="0"/>
        <v>-9.9638493118540339E-2</v>
      </c>
      <c r="J29" s="73">
        <f t="shared" si="1"/>
        <v>-3.9895117660725399E-3</v>
      </c>
    </row>
    <row r="30" spans="2:10" x14ac:dyDescent="0.3">
      <c r="E30" s="70">
        <v>42705</v>
      </c>
      <c r="F30" s="71">
        <v>5809.6752930000002</v>
      </c>
      <c r="G30" s="72">
        <v>7040.25</v>
      </c>
      <c r="I30" s="73">
        <f t="shared" si="0"/>
        <v>-4.155205186813915E-2</v>
      </c>
      <c r="J30" s="73">
        <f t="shared" si="1"/>
        <v>-6.1575271253765496E-2</v>
      </c>
    </row>
    <row r="31" spans="2:10" x14ac:dyDescent="0.3">
      <c r="E31" s="70">
        <v>42736</v>
      </c>
      <c r="F31" s="71">
        <v>5653.8671880000002</v>
      </c>
      <c r="G31" s="72">
        <v>7379.2998049999997</v>
      </c>
      <c r="I31" s="73">
        <f t="shared" si="0"/>
        <v>-2.6818728610828124E-2</v>
      </c>
      <c r="J31" s="73">
        <f t="shared" si="1"/>
        <v>4.815877348105535E-2</v>
      </c>
    </row>
    <row r="32" spans="2:10" x14ac:dyDescent="0.3">
      <c r="E32" s="70">
        <v>42767</v>
      </c>
      <c r="F32" s="71">
        <v>6042.6528319999998</v>
      </c>
      <c r="G32" s="72">
        <v>7709.1000979999999</v>
      </c>
      <c r="I32" s="73">
        <f t="shared" si="0"/>
        <v>6.8764551955725839E-2</v>
      </c>
      <c r="J32" s="73">
        <f t="shared" si="1"/>
        <v>4.4692626904321964E-2</v>
      </c>
    </row>
    <row r="33" spans="5:10" x14ac:dyDescent="0.3">
      <c r="E33" s="70">
        <v>42795</v>
      </c>
      <c r="F33" s="71">
        <v>6454.6254879999997</v>
      </c>
      <c r="G33" s="72">
        <v>7995.0498049999997</v>
      </c>
      <c r="I33" s="73">
        <f t="shared" si="0"/>
        <v>6.817744911942003E-2</v>
      </c>
      <c r="J33" s="73">
        <f t="shared" si="1"/>
        <v>3.7092488534969936E-2</v>
      </c>
    </row>
    <row r="34" spans="5:10" x14ac:dyDescent="0.3">
      <c r="E34" s="70">
        <v>42826</v>
      </c>
      <c r="F34" s="71">
        <v>6471.1479490000002</v>
      </c>
      <c r="G34" s="72">
        <v>8214.2998050000006</v>
      </c>
      <c r="I34" s="73">
        <f t="shared" si="0"/>
        <v>2.5597861612138839E-3</v>
      </c>
      <c r="J34" s="73">
        <f t="shared" si="1"/>
        <v>2.7423218785064263E-2</v>
      </c>
    </row>
    <row r="35" spans="5:10" x14ac:dyDescent="0.3">
      <c r="E35" s="70">
        <v>42856</v>
      </c>
      <c r="F35" s="71">
        <v>6420.279297</v>
      </c>
      <c r="G35" s="72">
        <v>8350.9501949999994</v>
      </c>
      <c r="I35" s="73">
        <f t="shared" si="0"/>
        <v>-7.8608389733788586E-3</v>
      </c>
      <c r="J35" s="73">
        <f t="shared" si="1"/>
        <v>1.6635671115488249E-2</v>
      </c>
    </row>
    <row r="36" spans="5:10" x14ac:dyDescent="0.3">
      <c r="E36" s="70">
        <v>42887</v>
      </c>
      <c r="F36" s="71">
        <v>6546.9780270000001</v>
      </c>
      <c r="G36" s="72">
        <v>8331.5996090000008</v>
      </c>
      <c r="I36" s="73">
        <f t="shared" si="0"/>
        <v>1.9734146154545495E-2</v>
      </c>
      <c r="J36" s="73">
        <f t="shared" si="1"/>
        <v>-2.3171717646675027E-3</v>
      </c>
    </row>
    <row r="37" spans="5:10" x14ac:dyDescent="0.3">
      <c r="E37" s="70">
        <v>42917</v>
      </c>
      <c r="F37" s="71">
        <v>6576.4736329999996</v>
      </c>
      <c r="G37" s="72">
        <v>8793.2998050000006</v>
      </c>
      <c r="I37" s="73">
        <f t="shared" si="0"/>
        <v>4.5052245292955817E-3</v>
      </c>
      <c r="J37" s="73">
        <f t="shared" si="1"/>
        <v>5.5415552555029057E-2</v>
      </c>
    </row>
    <row r="38" spans="5:10" x14ac:dyDescent="0.3">
      <c r="E38" s="70">
        <v>42948</v>
      </c>
      <c r="F38" s="71">
        <v>6920.5961909999996</v>
      </c>
      <c r="G38" s="72">
        <v>8694.9501949999994</v>
      </c>
      <c r="I38" s="73">
        <f t="shared" si="0"/>
        <v>5.2326303913579508E-2</v>
      </c>
      <c r="J38" s="73">
        <f t="shared" si="1"/>
        <v>-1.1184607846997152E-2</v>
      </c>
    </row>
    <row r="39" spans="5:10" x14ac:dyDescent="0.3">
      <c r="E39" s="70">
        <v>42979</v>
      </c>
      <c r="F39" s="71">
        <v>7028.8911129999997</v>
      </c>
      <c r="G39" s="72">
        <v>8600</v>
      </c>
      <c r="I39" s="73">
        <f t="shared" si="0"/>
        <v>1.5648207034653083E-2</v>
      </c>
      <c r="J39" s="73">
        <f t="shared" si="1"/>
        <v>-1.092015398254953E-2</v>
      </c>
    </row>
    <row r="40" spans="5:10" x14ac:dyDescent="0.3">
      <c r="E40" s="70">
        <v>43009</v>
      </c>
      <c r="F40" s="71">
        <v>7050.8071289999998</v>
      </c>
      <c r="G40" s="72">
        <v>9153.5996090000008</v>
      </c>
      <c r="I40" s="73">
        <f t="shared" si="0"/>
        <v>3.1179905404234987E-3</v>
      </c>
      <c r="J40" s="73">
        <f t="shared" si="1"/>
        <v>6.4372047558139522E-2</v>
      </c>
    </row>
    <row r="41" spans="5:10" x14ac:dyDescent="0.3">
      <c r="E41" s="70">
        <v>43040</v>
      </c>
      <c r="F41" s="71">
        <v>7464.2709960000002</v>
      </c>
      <c r="G41" s="72">
        <v>9154.5</v>
      </c>
      <c r="I41" s="73">
        <f t="shared" si="0"/>
        <v>5.8640643466110642E-2</v>
      </c>
      <c r="J41" s="73">
        <f t="shared" si="1"/>
        <v>9.8364691319297037E-5</v>
      </c>
    </row>
    <row r="42" spans="5:10" x14ac:dyDescent="0.3">
      <c r="E42" s="70">
        <v>43070</v>
      </c>
      <c r="F42" s="71">
        <v>7666.279297</v>
      </c>
      <c r="G42" s="72">
        <v>9490.6503909999992</v>
      </c>
      <c r="I42" s="73">
        <f t="shared" si="0"/>
        <v>2.7063366416928414E-2</v>
      </c>
      <c r="J42" s="73">
        <f t="shared" si="1"/>
        <v>3.6719688786935212E-2</v>
      </c>
    </row>
    <row r="43" spans="5:10" x14ac:dyDescent="0.3">
      <c r="E43" s="70">
        <v>43101</v>
      </c>
      <c r="F43" s="71">
        <v>7305.4086909999996</v>
      </c>
      <c r="G43" s="72">
        <v>9697.9003909999992</v>
      </c>
      <c r="I43" s="73">
        <f t="shared" si="0"/>
        <v>-4.7072457448976257E-2</v>
      </c>
      <c r="J43" s="73">
        <f t="shared" si="1"/>
        <v>2.1837281056789948E-2</v>
      </c>
    </row>
    <row r="44" spans="5:10" x14ac:dyDescent="0.3">
      <c r="E44" s="70">
        <v>43132</v>
      </c>
      <c r="F44" s="71">
        <v>7591.4960940000001</v>
      </c>
      <c r="G44" s="72">
        <v>9261.9003909999992</v>
      </c>
      <c r="I44" s="73">
        <f t="shared" si="0"/>
        <v>3.916104014173083E-2</v>
      </c>
      <c r="J44" s="73">
        <f t="shared" si="1"/>
        <v>-4.4958185011327201E-2</v>
      </c>
    </row>
    <row r="45" spans="5:10" x14ac:dyDescent="0.3">
      <c r="E45" s="70">
        <v>43160</v>
      </c>
      <c r="F45" s="71">
        <v>8023.7089839999999</v>
      </c>
      <c r="G45" s="72">
        <v>8912.0996090000008</v>
      </c>
      <c r="I45" s="73">
        <f t="shared" si="0"/>
        <v>5.6933822351776353E-2</v>
      </c>
      <c r="J45" s="73">
        <f t="shared" si="1"/>
        <v>-3.7767711509822277E-2</v>
      </c>
    </row>
    <row r="46" spans="5:10" x14ac:dyDescent="0.3">
      <c r="E46" s="70">
        <v>43191</v>
      </c>
      <c r="F46" s="71">
        <v>9190.5546880000002</v>
      </c>
      <c r="G46" s="72">
        <v>9496.5</v>
      </c>
      <c r="I46" s="73">
        <f t="shared" si="0"/>
        <v>0.14542472892857861</v>
      </c>
      <c r="J46" s="73">
        <f t="shared" si="1"/>
        <v>6.5573817241656007E-2</v>
      </c>
    </row>
    <row r="47" spans="5:10" x14ac:dyDescent="0.3">
      <c r="E47" s="70">
        <v>43221</v>
      </c>
      <c r="F47" s="71">
        <v>9442.3613280000009</v>
      </c>
      <c r="G47" s="72">
        <v>9315.3496090000008</v>
      </c>
      <c r="I47" s="73">
        <f t="shared" si="0"/>
        <v>2.7398415933347575E-2</v>
      </c>
      <c r="J47" s="73">
        <f t="shared" si="1"/>
        <v>-1.9075490022639863E-2</v>
      </c>
    </row>
    <row r="48" spans="5:10" x14ac:dyDescent="0.3">
      <c r="E48" s="70">
        <v>43252</v>
      </c>
      <c r="F48" s="71">
        <v>9661.4472659999992</v>
      </c>
      <c r="G48" s="72">
        <v>9162.4501949999994</v>
      </c>
      <c r="I48" s="73">
        <f t="shared" si="0"/>
        <v>2.3202452266927187E-2</v>
      </c>
      <c r="J48" s="73">
        <f t="shared" si="1"/>
        <v>-1.6413706454160182E-2</v>
      </c>
    </row>
    <row r="49" spans="5:10" x14ac:dyDescent="0.3">
      <c r="E49" s="70">
        <v>43282</v>
      </c>
      <c r="F49" s="71">
        <v>10370.834961</v>
      </c>
      <c r="G49" s="72">
        <v>9650.5996090000008</v>
      </c>
      <c r="I49" s="73">
        <f t="shared" si="0"/>
        <v>7.342457868568375E-2</v>
      </c>
      <c r="J49" s="73">
        <f t="shared" si="1"/>
        <v>5.3277169710170602E-2</v>
      </c>
    </row>
    <row r="50" spans="5:10" x14ac:dyDescent="0.3">
      <c r="E50" s="70">
        <v>43313</v>
      </c>
      <c r="F50" s="71">
        <v>11406.696289</v>
      </c>
      <c r="G50" s="72">
        <v>9992</v>
      </c>
      <c r="I50" s="73">
        <f t="shared" si="0"/>
        <v>9.9882153355578707E-2</v>
      </c>
      <c r="J50" s="73">
        <f t="shared" si="1"/>
        <v>3.5376080744414562E-2</v>
      </c>
    </row>
    <row r="51" spans="5:10" x14ac:dyDescent="0.3">
      <c r="E51" s="70">
        <v>43344</v>
      </c>
      <c r="F51" s="71">
        <v>9570.2597659999992</v>
      </c>
      <c r="G51" s="72">
        <v>9116</v>
      </c>
      <c r="I51" s="73">
        <f t="shared" si="0"/>
        <v>-0.16099635481405428</v>
      </c>
      <c r="J51" s="73">
        <f t="shared" si="1"/>
        <v>-8.7670136108887076E-2</v>
      </c>
    </row>
    <row r="52" spans="5:10" x14ac:dyDescent="0.3">
      <c r="E52" s="70">
        <v>43374</v>
      </c>
      <c r="F52" s="71">
        <v>10012.431640999999</v>
      </c>
      <c r="G52" s="72">
        <v>8753.4501949999994</v>
      </c>
      <c r="I52" s="73">
        <f t="shared" si="0"/>
        <v>4.6202703564107273E-2</v>
      </c>
      <c r="J52" s="73">
        <f t="shared" si="1"/>
        <v>-3.9770711386573065E-2</v>
      </c>
    </row>
    <row r="53" spans="5:10" x14ac:dyDescent="0.3">
      <c r="E53" s="70">
        <v>43405</v>
      </c>
      <c r="F53" s="71">
        <v>10621.201171999999</v>
      </c>
      <c r="G53" s="72">
        <v>9109.1503909999992</v>
      </c>
      <c r="I53" s="73">
        <f t="shared" si="0"/>
        <v>6.0801367023285646E-2</v>
      </c>
      <c r="J53" s="73">
        <f t="shared" si="1"/>
        <v>4.0635428097046455E-2</v>
      </c>
    </row>
    <row r="54" spans="5:10" x14ac:dyDescent="0.3">
      <c r="E54" s="70">
        <v>43435</v>
      </c>
      <c r="F54" s="71">
        <v>10936.932617</v>
      </c>
      <c r="G54" s="72">
        <v>9170</v>
      </c>
      <c r="I54" s="73">
        <f t="shared" si="0"/>
        <v>2.9726529032549021E-2</v>
      </c>
      <c r="J54" s="73">
        <f t="shared" si="1"/>
        <v>6.6800531759934056E-3</v>
      </c>
    </row>
    <row r="55" spans="5:10" x14ac:dyDescent="0.3">
      <c r="E55" s="70">
        <v>43466</v>
      </c>
      <c r="F55" s="71">
        <v>11398.012694999999</v>
      </c>
      <c r="G55" s="72">
        <v>9003.8496090000008</v>
      </c>
      <c r="I55" s="73">
        <f t="shared" si="0"/>
        <v>4.2158079796826398E-2</v>
      </c>
      <c r="J55" s="73">
        <f t="shared" si="1"/>
        <v>-1.8118908505997733E-2</v>
      </c>
    </row>
    <row r="56" spans="5:10" x14ac:dyDescent="0.3">
      <c r="E56" s="70">
        <v>43497</v>
      </c>
      <c r="F56" s="71">
        <v>10547.459961</v>
      </c>
      <c r="G56" s="72">
        <v>8955.9501949999994</v>
      </c>
      <c r="I56" s="73">
        <f t="shared" si="0"/>
        <v>-7.4622897583989656E-2</v>
      </c>
      <c r="J56" s="73">
        <f t="shared" si="1"/>
        <v>-5.3198816150952233E-3</v>
      </c>
    </row>
    <row r="57" spans="5:10" x14ac:dyDescent="0.3">
      <c r="E57" s="70">
        <v>43525</v>
      </c>
      <c r="F57" s="71">
        <v>10865.872069999999</v>
      </c>
      <c r="G57" s="72">
        <v>9663.7001949999994</v>
      </c>
      <c r="I57" s="73">
        <f t="shared" si="0"/>
        <v>3.0188510805194024E-2</v>
      </c>
      <c r="J57" s="73">
        <f t="shared" si="1"/>
        <v>7.9025673947486608E-2</v>
      </c>
    </row>
    <row r="58" spans="5:10" x14ac:dyDescent="0.3">
      <c r="E58" s="70">
        <v>43556</v>
      </c>
      <c r="F58" s="71">
        <v>10810.655273</v>
      </c>
      <c r="G58" s="72">
        <v>9664.2998050000006</v>
      </c>
      <c r="I58" s="73">
        <f t="shared" si="0"/>
        <v>-5.0816719214327177E-3</v>
      </c>
      <c r="J58" s="73">
        <f t="shared" si="1"/>
        <v>6.2047661651520869E-5</v>
      </c>
    </row>
    <row r="59" spans="5:10" x14ac:dyDescent="0.3">
      <c r="E59" s="70">
        <v>43586</v>
      </c>
      <c r="F59" s="71">
        <v>11424.342773</v>
      </c>
      <c r="G59" s="72">
        <v>9805.0498050000006</v>
      </c>
      <c r="I59" s="73">
        <f t="shared" si="0"/>
        <v>5.6766910469590703E-2</v>
      </c>
      <c r="J59" s="73">
        <f t="shared" si="1"/>
        <v>1.4563910768494726E-2</v>
      </c>
    </row>
    <row r="60" spans="5:10" x14ac:dyDescent="0.3">
      <c r="E60" s="70">
        <v>43617</v>
      </c>
      <c r="F60" s="71">
        <v>11889.458984000001</v>
      </c>
      <c r="G60" s="72">
        <v>9657.9501949999994</v>
      </c>
      <c r="I60" s="73">
        <f t="shared" si="0"/>
        <v>4.0712732473262569E-2</v>
      </c>
      <c r="J60" s="73">
        <f t="shared" si="1"/>
        <v>-1.5002433738275256E-2</v>
      </c>
    </row>
    <row r="61" spans="5:10" x14ac:dyDescent="0.3">
      <c r="E61" s="70">
        <v>43647</v>
      </c>
      <c r="F61" s="71">
        <v>11653.219727</v>
      </c>
      <c r="G61" s="72">
        <v>9044.9501949999994</v>
      </c>
      <c r="I61" s="73">
        <f t="shared" si="0"/>
        <v>-1.9869638922840438E-2</v>
      </c>
      <c r="J61" s="73">
        <f t="shared" si="1"/>
        <v>-6.3471025178547191E-2</v>
      </c>
    </row>
    <row r="62" spans="5:10" x14ac:dyDescent="0.3">
      <c r="E62" s="70">
        <v>43678</v>
      </c>
      <c r="F62" s="71">
        <v>12414.538086</v>
      </c>
      <c r="G62" s="72">
        <v>8790.5498050000006</v>
      </c>
      <c r="I62" s="73">
        <f t="shared" si="0"/>
        <v>6.5331159699671737E-2</v>
      </c>
      <c r="J62" s="73">
        <f t="shared" si="1"/>
        <v>-2.8126234475080891E-2</v>
      </c>
    </row>
    <row r="63" spans="5:10" x14ac:dyDescent="0.3">
      <c r="E63" s="70">
        <v>43700</v>
      </c>
      <c r="F63" s="71">
        <v>12438.650390999999</v>
      </c>
      <c r="G63" s="72">
        <v>8790.5498050000006</v>
      </c>
      <c r="I63" s="73">
        <f t="shared" si="0"/>
        <v>1.9422635649399833E-3</v>
      </c>
      <c r="J63" s="73">
        <f t="shared" si="1"/>
        <v>0</v>
      </c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0.25" x14ac:dyDescent="0.7">
      <c r="B11" s="3" t="s">
        <v>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showGridLines="0" topLeftCell="A4" workbookViewId="0"/>
  </sheetViews>
  <sheetFormatPr defaultColWidth="10.875" defaultRowHeight="18" x14ac:dyDescent="0.25"/>
  <cols>
    <col min="1" max="1" width="2.125" style="84" customWidth="1"/>
    <col min="2" max="2" width="39.125" style="84" customWidth="1"/>
    <col min="3" max="7" width="13.5" style="84" customWidth="1"/>
    <col min="8" max="8" width="20.625" style="84" customWidth="1"/>
    <col min="9" max="16384" width="10.875" style="84"/>
  </cols>
  <sheetData>
    <row r="1" spans="2:8" x14ac:dyDescent="0.25">
      <c r="B1" s="83" t="s">
        <v>31</v>
      </c>
      <c r="C1" s="83"/>
      <c r="D1" s="83"/>
    </row>
    <row r="2" spans="2:8" ht="18.75" x14ac:dyDescent="0.3">
      <c r="B2" s="85" t="s">
        <v>32</v>
      </c>
      <c r="C2" s="85"/>
      <c r="D2" s="85"/>
    </row>
    <row r="4" spans="2:8" x14ac:dyDescent="0.25">
      <c r="B4" s="86" t="s">
        <v>33</v>
      </c>
      <c r="C4" s="87">
        <v>41974</v>
      </c>
      <c r="D4" s="87">
        <v>42339</v>
      </c>
      <c r="E4" s="87">
        <v>42705</v>
      </c>
      <c r="F4" s="87">
        <v>43070</v>
      </c>
      <c r="G4" s="87">
        <v>43435</v>
      </c>
    </row>
    <row r="5" spans="2:8" x14ac:dyDescent="0.25">
      <c r="B5" s="88" t="s">
        <v>123</v>
      </c>
      <c r="C5" s="89">
        <v>101295</v>
      </c>
      <c r="D5" s="89">
        <v>84304.4</v>
      </c>
      <c r="E5" s="89">
        <v>94096</v>
      </c>
      <c r="F5" s="89">
        <v>101351.1</v>
      </c>
      <c r="G5" s="89">
        <v>112162.3</v>
      </c>
    </row>
    <row r="6" spans="2:8" x14ac:dyDescent="0.25">
      <c r="B6" s="88" t="s">
        <v>124</v>
      </c>
      <c r="C6" s="89">
        <f>485.7</f>
        <v>485.7</v>
      </c>
      <c r="D6" s="89">
        <v>520.4</v>
      </c>
      <c r="E6" s="89">
        <v>649.70000000000005</v>
      </c>
      <c r="F6" s="89">
        <v>570.70000000000005</v>
      </c>
      <c r="G6" s="89">
        <v>760.4</v>
      </c>
    </row>
    <row r="7" spans="2:8" x14ac:dyDescent="0.25">
      <c r="B7" s="88" t="s">
        <v>125</v>
      </c>
      <c r="C7" s="89">
        <v>-3232.3</v>
      </c>
      <c r="D7" s="89">
        <v>-3071.7</v>
      </c>
      <c r="E7" s="89">
        <v>-3332.3</v>
      </c>
      <c r="F7" s="89">
        <f>-1825.8</f>
        <v>-1825.8</v>
      </c>
      <c r="G7" s="89">
        <v>0</v>
      </c>
    </row>
    <row r="8" spans="2:8" ht="18.75" x14ac:dyDescent="0.3">
      <c r="B8" s="90" t="s">
        <v>126</v>
      </c>
      <c r="C8" s="91">
        <f>SUM(C5:C7)</f>
        <v>98548.4</v>
      </c>
      <c r="D8" s="91">
        <f t="shared" ref="D8:G8" si="0">SUM(D5:D7)</f>
        <v>81753.099999999991</v>
      </c>
      <c r="E8" s="91">
        <f t="shared" si="0"/>
        <v>91413.4</v>
      </c>
      <c r="F8" s="91">
        <f t="shared" si="0"/>
        <v>100096</v>
      </c>
      <c r="G8" s="91">
        <f t="shared" si="0"/>
        <v>112922.7</v>
      </c>
      <c r="H8" s="92" t="s">
        <v>34</v>
      </c>
    </row>
    <row r="9" spans="2:8" x14ac:dyDescent="0.25">
      <c r="B9" s="84" t="s">
        <v>17</v>
      </c>
      <c r="C9" s="93"/>
      <c r="D9" s="93"/>
      <c r="E9" s="93"/>
      <c r="F9" s="93"/>
      <c r="G9" s="93"/>
    </row>
    <row r="10" spans="2:8" ht="18.75" x14ac:dyDescent="0.3">
      <c r="B10" s="84" t="s">
        <v>35</v>
      </c>
      <c r="C10" s="93">
        <f>-44825.4-1088.5+674.3</f>
        <v>-45239.6</v>
      </c>
      <c r="D10" s="93">
        <f>-33588.7-980.7-119.7</f>
        <v>-34689.099999999991</v>
      </c>
      <c r="E10" s="93">
        <f>-37750.9-1153.8+76.6</f>
        <v>-38828.100000000006</v>
      </c>
      <c r="F10" s="93">
        <f>(-42316-1747.6+795.6)</f>
        <v>-43268</v>
      </c>
      <c r="G10" s="93">
        <f>(-43656.8-2305.6+60.1)</f>
        <v>-45902.3</v>
      </c>
      <c r="H10" s="92" t="s">
        <v>34</v>
      </c>
    </row>
    <row r="11" spans="2:8" ht="18.75" x14ac:dyDescent="0.3">
      <c r="B11" s="84" t="s">
        <v>127</v>
      </c>
      <c r="C11" s="93">
        <f>-7722.2-23840.3-364.3</f>
        <v>-31926.799999999999</v>
      </c>
      <c r="D11" s="93">
        <f>-8374.3-21264.3- 333.1</f>
        <v>-29971.699999999997</v>
      </c>
      <c r="E11" s="93">
        <f>-9015.7-22954.6-1684.7</f>
        <v>-33655</v>
      </c>
      <c r="F11" s="93">
        <f>(-10174.5-24170.2-876.5)</f>
        <v>-35221.199999999997</v>
      </c>
      <c r="G11" s="93">
        <f>(-11241.5-28181.1-1036.8)</f>
        <v>-40459.4</v>
      </c>
      <c r="H11" s="92" t="s">
        <v>34</v>
      </c>
    </row>
    <row r="12" spans="2:8" ht="18.75" x14ac:dyDescent="0.3">
      <c r="B12" s="94" t="s">
        <v>36</v>
      </c>
      <c r="C12" s="95">
        <f>SUM(C10:C11)</f>
        <v>-77166.399999999994</v>
      </c>
      <c r="D12" s="95">
        <f>SUM(D10:D11)</f>
        <v>-64660.799999999988</v>
      </c>
      <c r="E12" s="95">
        <f>SUM(E10:E11)</f>
        <v>-72483.100000000006</v>
      </c>
      <c r="F12" s="95">
        <f>SUM(F10:F11)</f>
        <v>-78489.2</v>
      </c>
      <c r="G12" s="95">
        <f>SUM(G10:G11)</f>
        <v>-86361.700000000012</v>
      </c>
    </row>
    <row r="13" spans="2:8" x14ac:dyDescent="0.25">
      <c r="B13" s="86" t="s">
        <v>18</v>
      </c>
      <c r="C13" s="96">
        <f>C8+C12</f>
        <v>21382</v>
      </c>
      <c r="D13" s="96">
        <f>D8+D12</f>
        <v>17092.300000000003</v>
      </c>
      <c r="E13" s="96">
        <f>E8+E12</f>
        <v>18930.299999999988</v>
      </c>
      <c r="F13" s="96">
        <f>F8+F12</f>
        <v>21606.800000000003</v>
      </c>
      <c r="G13" s="96">
        <f>G8+G12</f>
        <v>26560.999999999985</v>
      </c>
    </row>
    <row r="14" spans="2:8" ht="18.75" x14ac:dyDescent="0.3">
      <c r="B14" s="84" t="s">
        <v>37</v>
      </c>
      <c r="C14" s="93">
        <v>-3375.4</v>
      </c>
      <c r="D14" s="93">
        <v>-3472.6</v>
      </c>
      <c r="E14" s="93">
        <v>-3536.7</v>
      </c>
      <c r="F14" s="93">
        <v>-3422.5</v>
      </c>
      <c r="G14" s="93">
        <v>-3356.7</v>
      </c>
      <c r="H14" s="92" t="s">
        <v>34</v>
      </c>
    </row>
    <row r="15" spans="2:8" x14ac:dyDescent="0.25">
      <c r="B15" s="97" t="s">
        <v>20</v>
      </c>
      <c r="C15" s="98">
        <f t="shared" ref="C15:D15" si="1">C13+C14</f>
        <v>18006.599999999999</v>
      </c>
      <c r="D15" s="98">
        <f t="shared" si="1"/>
        <v>13619.700000000003</v>
      </c>
      <c r="E15" s="98">
        <f>E13+E14</f>
        <v>15393.599999999988</v>
      </c>
      <c r="F15" s="98">
        <f>F13+F14</f>
        <v>18184.300000000003</v>
      </c>
      <c r="G15" s="98">
        <f>G13+G14</f>
        <v>23204.299999999985</v>
      </c>
    </row>
    <row r="16" spans="2:8" ht="18.75" x14ac:dyDescent="0.3">
      <c r="B16" s="84" t="s">
        <v>128</v>
      </c>
      <c r="C16" s="93">
        <f>873.2</f>
        <v>873.2</v>
      </c>
      <c r="D16" s="93">
        <f>1100.9</f>
        <v>1100.9000000000001</v>
      </c>
      <c r="E16" s="93">
        <v>1509</v>
      </c>
      <c r="F16" s="93">
        <v>1769.2</v>
      </c>
      <c r="G16" s="93">
        <v>2589.1999999999998</v>
      </c>
      <c r="H16" s="92" t="s">
        <v>38</v>
      </c>
    </row>
    <row r="17" spans="2:8" ht="18.75" x14ac:dyDescent="0.3">
      <c r="B17" s="84" t="s">
        <v>129</v>
      </c>
      <c r="C17" s="93">
        <f>-142.3</f>
        <v>-142.30000000000001</v>
      </c>
      <c r="D17" s="93">
        <v>-32.9</v>
      </c>
      <c r="E17" s="93">
        <v>-909.1</v>
      </c>
      <c r="F17" s="93">
        <v>-919</v>
      </c>
      <c r="G17" s="93">
        <v>-1119.5</v>
      </c>
      <c r="H17" s="92" t="s">
        <v>38</v>
      </c>
    </row>
    <row r="18" spans="2:8" ht="18.75" x14ac:dyDescent="0.3">
      <c r="B18" s="84" t="s">
        <v>130</v>
      </c>
      <c r="C18" s="93">
        <f>-81.1-648.3-249.5+70-85.1</f>
        <v>-994</v>
      </c>
      <c r="D18" s="93">
        <f>-282.2-301.5-753.2-5008.4-206.1</f>
        <v>-6551.4</v>
      </c>
      <c r="E18" s="93">
        <f>-118.3-313.6-107.8</f>
        <v>-539.70000000000005</v>
      </c>
      <c r="F18" s="93">
        <f>(-371.8-269.1)</f>
        <v>-640.90000000000009</v>
      </c>
      <c r="G18" s="93">
        <f>(-110.8-273.7)</f>
        <v>-384.5</v>
      </c>
      <c r="H18" s="92" t="s">
        <v>38</v>
      </c>
    </row>
    <row r="19" spans="2:8" x14ac:dyDescent="0.25">
      <c r="B19" s="99" t="s">
        <v>39</v>
      </c>
      <c r="C19" s="100">
        <f>C15+SUM(C16:C18)</f>
        <v>17743.5</v>
      </c>
      <c r="D19" s="100">
        <f>D15+SUM(D16:D18)</f>
        <v>8136.3000000000029</v>
      </c>
      <c r="E19" s="100">
        <f>E15+SUM(E16:E18)</f>
        <v>15453.799999999988</v>
      </c>
      <c r="F19" s="100">
        <f>F15+SUM(F16:F18)</f>
        <v>18393.600000000002</v>
      </c>
      <c r="G19" s="100">
        <f>G15+SUM(G16:G18)</f>
        <v>24289.499999999985</v>
      </c>
    </row>
    <row r="20" spans="2:8" ht="18.75" x14ac:dyDescent="0.3">
      <c r="B20" s="84" t="s">
        <v>40</v>
      </c>
      <c r="C20" s="93">
        <v>-5896.6</v>
      </c>
      <c r="D20" s="93">
        <v>-2503.6</v>
      </c>
      <c r="E20" s="93">
        <v>-5440.2</v>
      </c>
      <c r="F20" s="93">
        <v>-6141.1</v>
      </c>
      <c r="G20" s="93">
        <v>-8220.2000000000007</v>
      </c>
      <c r="H20" s="92" t="s">
        <v>34</v>
      </c>
    </row>
    <row r="21" spans="2:8" ht="18.75" thickBot="1" x14ac:dyDescent="0.3">
      <c r="B21" s="101" t="s">
        <v>41</v>
      </c>
      <c r="C21" s="102">
        <f t="shared" ref="C21:D21" si="2">SUM(C19:C20)</f>
        <v>11846.9</v>
      </c>
      <c r="D21" s="102">
        <f t="shared" si="2"/>
        <v>5632.7000000000025</v>
      </c>
      <c r="E21" s="102">
        <f>SUM(E19:E20)</f>
        <v>10013.599999999988</v>
      </c>
      <c r="F21" s="102">
        <f>SUM(F19:F20)</f>
        <v>12252.500000000002</v>
      </c>
      <c r="G21" s="102">
        <f>SUM(G19:G20)</f>
        <v>16069.299999999985</v>
      </c>
    </row>
    <row r="22" spans="2:8" ht="18.75" thickTop="1" x14ac:dyDescent="0.25">
      <c r="C22" s="103"/>
      <c r="D22" s="103"/>
      <c r="E22" s="103"/>
      <c r="F22" s="103"/>
      <c r="G22" s="103"/>
    </row>
    <row r="23" spans="2:8" x14ac:dyDescent="0.25">
      <c r="E23" s="93"/>
      <c r="F23" s="93"/>
      <c r="G23" s="93"/>
    </row>
    <row r="24" spans="2:8" x14ac:dyDescent="0.25">
      <c r="E24" s="104"/>
      <c r="F24" s="104"/>
      <c r="G24" s="104"/>
    </row>
    <row r="25" spans="2:8" x14ac:dyDescent="0.25">
      <c r="E25" s="104"/>
      <c r="F25" s="104"/>
      <c r="G25" s="10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showGridLines="0" tabSelected="1" zoomScaleNormal="100" workbookViewId="0">
      <selection activeCell="G15" sqref="G15"/>
    </sheetView>
  </sheetViews>
  <sheetFormatPr defaultColWidth="10.875" defaultRowHeight="18" x14ac:dyDescent="0.25"/>
  <cols>
    <col min="1" max="1" width="2.125" style="84" customWidth="1"/>
    <col min="2" max="2" width="37.375" style="84" bestFit="1" customWidth="1"/>
    <col min="3" max="3" width="15.375" style="84" customWidth="1"/>
    <col min="4" max="4" width="14.375" style="84" customWidth="1"/>
    <col min="5" max="7" width="12.875" style="84" bestFit="1" customWidth="1"/>
    <col min="8" max="8" width="23" style="84" bestFit="1" customWidth="1"/>
    <col min="9" max="16384" width="10.875" style="84"/>
  </cols>
  <sheetData>
    <row r="1" spans="2:8" x14ac:dyDescent="0.25">
      <c r="B1" s="83" t="s">
        <v>24</v>
      </c>
      <c r="C1" s="83"/>
      <c r="D1" s="83"/>
    </row>
    <row r="2" spans="2:8" ht="18.75" x14ac:dyDescent="0.3">
      <c r="B2" s="85" t="s">
        <v>32</v>
      </c>
      <c r="C2" s="85"/>
      <c r="D2" s="85"/>
    </row>
    <row r="4" spans="2:8" x14ac:dyDescent="0.25">
      <c r="B4" s="86" t="s">
        <v>33</v>
      </c>
      <c r="C4" s="87">
        <v>41974</v>
      </c>
      <c r="D4" s="87">
        <v>42339</v>
      </c>
      <c r="E4" s="87">
        <v>42705</v>
      </c>
      <c r="F4" s="87">
        <v>43070</v>
      </c>
      <c r="G4" s="87">
        <v>43435</v>
      </c>
    </row>
    <row r="5" spans="2:8" x14ac:dyDescent="0.25">
      <c r="B5" s="84" t="s">
        <v>42</v>
      </c>
    </row>
    <row r="6" spans="2:8" ht="18.75" x14ac:dyDescent="0.3">
      <c r="B6" s="85" t="s">
        <v>43</v>
      </c>
      <c r="C6" s="85"/>
      <c r="D6" s="85"/>
    </row>
    <row r="7" spans="2:8" ht="18.75" x14ac:dyDescent="0.3">
      <c r="B7" s="84" t="s">
        <v>135</v>
      </c>
      <c r="C7" s="93">
        <v>34214.199999999997</v>
      </c>
      <c r="D7" s="93">
        <v>31286.400000000001</v>
      </c>
      <c r="E7" s="105">
        <v>29183.100000000002</v>
      </c>
      <c r="F7" s="105">
        <v>27103.399999999998</v>
      </c>
      <c r="G7" s="105">
        <v>25058.2</v>
      </c>
      <c r="H7" s="92" t="s">
        <v>34</v>
      </c>
    </row>
    <row r="8" spans="2:8" ht="18.75" x14ac:dyDescent="0.3">
      <c r="B8" s="84" t="s">
        <v>46</v>
      </c>
      <c r="C8" s="93"/>
      <c r="D8" s="93">
        <v>676.9</v>
      </c>
      <c r="E8" s="105">
        <v>706.7</v>
      </c>
      <c r="F8" s="105">
        <v>832.3</v>
      </c>
      <c r="G8" s="105">
        <v>718.1</v>
      </c>
      <c r="H8" s="92" t="s">
        <v>34</v>
      </c>
    </row>
    <row r="9" spans="2:8" ht="18.75" x14ac:dyDescent="0.3">
      <c r="B9" s="84" t="s">
        <v>45</v>
      </c>
      <c r="C9" s="93">
        <v>3044.6</v>
      </c>
      <c r="D9" s="93">
        <v>3417.8</v>
      </c>
      <c r="E9" s="105">
        <v>4743.1000000000004</v>
      </c>
      <c r="F9" s="105">
        <v>5852.8</v>
      </c>
      <c r="G9" s="105">
        <v>7333.6</v>
      </c>
      <c r="H9" s="92" t="s">
        <v>38</v>
      </c>
    </row>
    <row r="10" spans="2:8" ht="18.75" x14ac:dyDescent="0.3">
      <c r="B10" s="84" t="s">
        <v>136</v>
      </c>
      <c r="C10" s="93">
        <v>1299.5</v>
      </c>
      <c r="D10" s="93">
        <v>627.4</v>
      </c>
      <c r="E10" s="105">
        <v>643.70000000000005</v>
      </c>
      <c r="F10" s="105">
        <v>463.5</v>
      </c>
      <c r="G10" s="105">
        <v>401.4</v>
      </c>
      <c r="H10" s="92" t="s">
        <v>38</v>
      </c>
    </row>
    <row r="11" spans="2:8" ht="18.75" x14ac:dyDescent="0.3">
      <c r="B11" s="94" t="s">
        <v>47</v>
      </c>
      <c r="C11" s="106">
        <f>SUM(C7:C10)</f>
        <v>38558.299999999996</v>
      </c>
      <c r="D11" s="106">
        <f>SUM(D7:D10)</f>
        <v>36008.500000000007</v>
      </c>
      <c r="E11" s="106">
        <f>SUM(E7:E10)</f>
        <v>35276.6</v>
      </c>
      <c r="F11" s="106">
        <f>SUM(F7:F10)</f>
        <v>34252</v>
      </c>
      <c r="G11" s="106">
        <f>SUM(G7:G10)</f>
        <v>33511.300000000003</v>
      </c>
    </row>
    <row r="12" spans="2:8" x14ac:dyDescent="0.25">
      <c r="B12" s="83"/>
      <c r="C12" s="107"/>
      <c r="D12" s="107"/>
      <c r="E12" s="83"/>
      <c r="F12" s="83"/>
      <c r="G12" s="83"/>
    </row>
    <row r="13" spans="2:8" ht="18.75" x14ac:dyDescent="0.3">
      <c r="B13" s="85" t="s">
        <v>48</v>
      </c>
      <c r="C13" s="108"/>
      <c r="D13" s="108"/>
    </row>
    <row r="14" spans="2:8" ht="18.75" x14ac:dyDescent="0.3">
      <c r="B14" s="84" t="s">
        <v>131</v>
      </c>
      <c r="C14" s="93">
        <v>4458.2</v>
      </c>
      <c r="D14" s="93">
        <f>4892.7+102.8</f>
        <v>4995.5</v>
      </c>
      <c r="E14" s="105">
        <f>8693.2+106.8</f>
        <v>8800</v>
      </c>
      <c r="F14" s="105">
        <f>(14476.9+97.3)</f>
        <v>14574.199999999999</v>
      </c>
      <c r="G14" s="105">
        <f>(15987.7+112.9)</f>
        <v>16100.6</v>
      </c>
      <c r="H14" s="92" t="s">
        <v>34</v>
      </c>
    </row>
    <row r="15" spans="2:8" ht="18.75" x14ac:dyDescent="0.3">
      <c r="B15" s="84" t="s">
        <v>45</v>
      </c>
      <c r="C15" s="93">
        <v>5073.6000000000004</v>
      </c>
      <c r="D15" s="93">
        <v>9879.4</v>
      </c>
      <c r="E15" s="105">
        <v>12813.5</v>
      </c>
      <c r="F15" s="105">
        <v>13935.9</v>
      </c>
      <c r="G15" s="105">
        <v>19251.3</v>
      </c>
      <c r="H15" s="92" t="s">
        <v>50</v>
      </c>
    </row>
    <row r="16" spans="2:8" ht="18.75" x14ac:dyDescent="0.3">
      <c r="B16" s="84" t="s">
        <v>49</v>
      </c>
      <c r="C16" s="93">
        <v>8441</v>
      </c>
      <c r="D16" s="93">
        <v>8208.1</v>
      </c>
      <c r="E16" s="105">
        <v>9400.6</v>
      </c>
      <c r="F16" s="105">
        <v>9024.7000000000007</v>
      </c>
      <c r="G16" s="105">
        <v>9655.5</v>
      </c>
      <c r="H16" s="92" t="s">
        <v>34</v>
      </c>
    </row>
    <row r="17" spans="2:8" ht="18.75" x14ac:dyDescent="0.3">
      <c r="B17" s="84" t="s">
        <v>132</v>
      </c>
      <c r="C17" s="93">
        <v>991</v>
      </c>
      <c r="D17" s="93">
        <v>784.2</v>
      </c>
      <c r="E17" s="105">
        <v>979.3</v>
      </c>
      <c r="F17" s="105">
        <v>889.7</v>
      </c>
      <c r="G17" s="105">
        <v>1245.9000000000001</v>
      </c>
      <c r="H17" s="92" t="s">
        <v>34</v>
      </c>
    </row>
    <row r="18" spans="2:8" ht="18.75" x14ac:dyDescent="0.3">
      <c r="B18" s="84" t="s">
        <v>51</v>
      </c>
      <c r="C18" s="93">
        <v>152.19999999999999</v>
      </c>
      <c r="D18" s="93">
        <f>304.8</f>
        <v>304.8</v>
      </c>
      <c r="E18" s="105">
        <f>314.6</f>
        <v>314.60000000000002</v>
      </c>
      <c r="F18" s="105">
        <f>169.6</f>
        <v>169.6</v>
      </c>
      <c r="G18" s="105">
        <f>(223.9)</f>
        <v>223.9</v>
      </c>
      <c r="H18" s="92" t="s">
        <v>34</v>
      </c>
    </row>
    <row r="19" spans="2:8" ht="18.75" x14ac:dyDescent="0.3">
      <c r="B19" s="84" t="s">
        <v>133</v>
      </c>
      <c r="C19" s="93">
        <v>0</v>
      </c>
      <c r="D19" s="93">
        <f>327.6</f>
        <v>327.60000000000002</v>
      </c>
      <c r="E19" s="105">
        <f>27.3</f>
        <v>27.3</v>
      </c>
      <c r="F19" s="105">
        <v>63.9</v>
      </c>
      <c r="G19" s="105">
        <v>188.5</v>
      </c>
      <c r="H19" s="92" t="s">
        <v>34</v>
      </c>
    </row>
    <row r="20" spans="2:8" ht="18.75" x14ac:dyDescent="0.3">
      <c r="B20" s="84" t="s">
        <v>134</v>
      </c>
      <c r="C20" s="93">
        <v>520.70000000000005</v>
      </c>
      <c r="D20" s="93">
        <f>181.7+222.7</f>
        <v>404.4</v>
      </c>
      <c r="E20" s="105">
        <f>166+326.7</f>
        <v>492.7</v>
      </c>
      <c r="F20" s="105">
        <f>(288+427.9)</f>
        <v>715.9</v>
      </c>
      <c r="G20" s="105">
        <f>(178.9+524.9)</f>
        <v>703.8</v>
      </c>
      <c r="H20" s="92" t="s">
        <v>50</v>
      </c>
    </row>
    <row r="21" spans="2:8" ht="18.75" x14ac:dyDescent="0.3">
      <c r="B21" s="94" t="s">
        <v>52</v>
      </c>
      <c r="C21" s="106">
        <f>SUM(C14:C20)</f>
        <v>19636.7</v>
      </c>
      <c r="D21" s="106">
        <f>SUM(D14:D20)</f>
        <v>24904</v>
      </c>
      <c r="E21" s="106">
        <f>SUM(E14:E20)</f>
        <v>32827.999999999993</v>
      </c>
      <c r="F21" s="106">
        <f>SUM(F14:F20)</f>
        <v>39373.9</v>
      </c>
      <c r="G21" s="106">
        <f>SUM(G14:G20)</f>
        <v>47369.500000000007</v>
      </c>
    </row>
    <row r="22" spans="2:8" ht="18.75" thickBot="1" x14ac:dyDescent="0.3">
      <c r="B22" s="109" t="s">
        <v>53</v>
      </c>
      <c r="C22" s="110">
        <f>C11+C21</f>
        <v>58195</v>
      </c>
      <c r="D22" s="110">
        <f>D11+D21</f>
        <v>60912.500000000007</v>
      </c>
      <c r="E22" s="110">
        <f>E11+E21</f>
        <v>68104.599999999991</v>
      </c>
      <c r="F22" s="110">
        <f>F11+F21</f>
        <v>73625.899999999994</v>
      </c>
      <c r="G22" s="110">
        <f>G11+G21</f>
        <v>80880.800000000017</v>
      </c>
    </row>
    <row r="23" spans="2:8" x14ac:dyDescent="0.25">
      <c r="C23" s="93"/>
      <c r="D23" s="93"/>
    </row>
    <row r="24" spans="2:8" x14ac:dyDescent="0.25">
      <c r="B24" s="86" t="s">
        <v>33</v>
      </c>
      <c r="C24" s="111">
        <v>41974</v>
      </c>
      <c r="D24" s="111">
        <v>42339</v>
      </c>
      <c r="E24" s="111">
        <v>42705</v>
      </c>
      <c r="F24" s="111">
        <v>43070</v>
      </c>
      <c r="G24" s="111">
        <v>43435</v>
      </c>
    </row>
    <row r="25" spans="2:8" x14ac:dyDescent="0.25">
      <c r="B25" s="84" t="s">
        <v>54</v>
      </c>
      <c r="C25" s="93"/>
      <c r="D25" s="93"/>
    </row>
    <row r="26" spans="2:8" ht="18.75" x14ac:dyDescent="0.3">
      <c r="B26" s="85" t="s">
        <v>55</v>
      </c>
      <c r="C26" s="108"/>
      <c r="D26" s="108"/>
    </row>
    <row r="27" spans="2:8" ht="18.75" x14ac:dyDescent="0.3">
      <c r="B27" s="84" t="s">
        <v>137</v>
      </c>
      <c r="C27" s="105">
        <v>154.6</v>
      </c>
      <c r="D27" s="105">
        <v>167.9</v>
      </c>
      <c r="E27" s="105">
        <v>331.5</v>
      </c>
      <c r="F27" s="105">
        <v>351.4</v>
      </c>
      <c r="G27" s="105">
        <v>351.4</v>
      </c>
      <c r="H27" s="92" t="s">
        <v>50</v>
      </c>
    </row>
    <row r="28" spans="2:8" ht="18.75" x14ac:dyDescent="0.3">
      <c r="B28" s="84" t="s">
        <v>138</v>
      </c>
      <c r="C28" s="105">
        <v>2227.1999999999998</v>
      </c>
      <c r="D28" s="105">
        <v>1747</v>
      </c>
      <c r="E28" s="105">
        <v>1553.4</v>
      </c>
      <c r="F28" s="105">
        <v>1219.5999999999999</v>
      </c>
      <c r="G28" s="105">
        <v>588.20000000000005</v>
      </c>
      <c r="H28" s="92" t="s">
        <v>50</v>
      </c>
    </row>
    <row r="29" spans="2:8" ht="18.75" x14ac:dyDescent="0.3">
      <c r="B29" s="84" t="s">
        <v>139</v>
      </c>
      <c r="C29" s="105">
        <v>0</v>
      </c>
      <c r="D29" s="105">
        <v>0</v>
      </c>
      <c r="E29" s="105">
        <v>6.8</v>
      </c>
      <c r="F29" s="105">
        <v>6</v>
      </c>
      <c r="G29" s="105">
        <v>5.0999999999999996</v>
      </c>
      <c r="H29" s="92" t="s">
        <v>50</v>
      </c>
    </row>
    <row r="30" spans="2:8" ht="18.75" x14ac:dyDescent="0.3">
      <c r="B30" s="84" t="s">
        <v>140</v>
      </c>
      <c r="C30" s="105">
        <v>13886.6</v>
      </c>
      <c r="D30" s="105">
        <v>15971.7</v>
      </c>
      <c r="E30" s="105">
        <v>19722.099999999999</v>
      </c>
      <c r="F30" s="105">
        <v>22915.9</v>
      </c>
      <c r="G30" s="105">
        <v>24649.200000000001</v>
      </c>
      <c r="H30" s="92" t="s">
        <v>50</v>
      </c>
    </row>
    <row r="31" spans="2:8" ht="18.75" x14ac:dyDescent="0.3">
      <c r="B31" s="84" t="s">
        <v>141</v>
      </c>
      <c r="C31" s="105">
        <v>28372.1</v>
      </c>
      <c r="D31" s="105">
        <v>30358.6</v>
      </c>
      <c r="E31" s="105">
        <v>32823.300000000003</v>
      </c>
      <c r="F31" s="105">
        <v>34205.9</v>
      </c>
      <c r="G31" s="105">
        <v>36737.4</v>
      </c>
      <c r="H31" s="92" t="s">
        <v>50</v>
      </c>
    </row>
    <row r="32" spans="2:8" ht="18.75" x14ac:dyDescent="0.3">
      <c r="B32" s="94" t="s">
        <v>56</v>
      </c>
      <c r="C32" s="106">
        <f>SUM(C27:C31)</f>
        <v>44640.5</v>
      </c>
      <c r="D32" s="106">
        <f>SUM(D27:D31)</f>
        <v>48245.2</v>
      </c>
      <c r="E32" s="106">
        <f>SUM(E27:E31)</f>
        <v>54437.100000000006</v>
      </c>
      <c r="F32" s="106">
        <f>SUM(F27:F31)</f>
        <v>58698.8</v>
      </c>
      <c r="G32" s="106">
        <f>SUM(G27:G31)</f>
        <v>62331.3</v>
      </c>
    </row>
    <row r="33" spans="2:8" x14ac:dyDescent="0.25">
      <c r="B33" s="83"/>
      <c r="C33" s="112"/>
      <c r="D33" s="112"/>
      <c r="E33" s="113"/>
      <c r="F33" s="113"/>
      <c r="G33" s="113"/>
    </row>
    <row r="34" spans="2:8" ht="18.75" x14ac:dyDescent="0.3">
      <c r="B34" s="85" t="s">
        <v>57</v>
      </c>
      <c r="C34" s="114"/>
      <c r="D34" s="114"/>
      <c r="E34" s="115"/>
      <c r="F34" s="115"/>
      <c r="G34" s="115"/>
    </row>
    <row r="35" spans="2:8" ht="18.75" x14ac:dyDescent="0.3">
      <c r="B35" s="84" t="s">
        <v>142</v>
      </c>
      <c r="C35" s="105">
        <v>41.1</v>
      </c>
      <c r="D35" s="105">
        <v>9.4</v>
      </c>
      <c r="E35" s="105">
        <v>0</v>
      </c>
      <c r="F35" s="105">
        <v>0</v>
      </c>
      <c r="G35" s="105">
        <v>0</v>
      </c>
      <c r="H35" s="92" t="s">
        <v>50</v>
      </c>
    </row>
    <row r="36" spans="2:8" ht="18.75" x14ac:dyDescent="0.3">
      <c r="B36" s="84" t="s">
        <v>143</v>
      </c>
      <c r="C36" s="105">
        <v>0</v>
      </c>
      <c r="D36" s="105">
        <v>2492.6999999999998</v>
      </c>
      <c r="E36" s="105">
        <v>3116.4</v>
      </c>
      <c r="F36" s="105">
        <v>3140.2</v>
      </c>
      <c r="G36" s="105">
        <v>3161.8</v>
      </c>
      <c r="H36" s="92" t="s">
        <v>50</v>
      </c>
    </row>
    <row r="37" spans="2:8" ht="18.75" x14ac:dyDescent="0.3">
      <c r="B37" s="84" t="s">
        <v>144</v>
      </c>
      <c r="C37" s="105">
        <v>7287.1</v>
      </c>
      <c r="D37" s="105">
        <v>7494.1</v>
      </c>
      <c r="E37" s="105">
        <v>7991.6</v>
      </c>
      <c r="F37" s="105">
        <v>9846.4</v>
      </c>
      <c r="G37" s="105">
        <v>12403.7</v>
      </c>
      <c r="H37" s="92" t="s">
        <v>34</v>
      </c>
    </row>
    <row r="38" spans="2:8" ht="18.75" x14ac:dyDescent="0.3">
      <c r="B38" s="84" t="s">
        <v>58</v>
      </c>
      <c r="C38" s="105">
        <v>4095.7</v>
      </c>
      <c r="D38" s="105">
        <v>2164.6999999999998</v>
      </c>
      <c r="E38" s="105">
        <v>2021.5</v>
      </c>
      <c r="F38" s="105">
        <v>1065.9000000000001</v>
      </c>
      <c r="G38" s="105">
        <v>1411.4</v>
      </c>
      <c r="H38" s="92" t="s">
        <v>34</v>
      </c>
    </row>
    <row r="39" spans="2:8" ht="18.75" x14ac:dyDescent="0.3">
      <c r="B39" s="84" t="s">
        <v>140</v>
      </c>
      <c r="C39" s="105">
        <v>2130.6</v>
      </c>
      <c r="D39" s="105">
        <v>506.4</v>
      </c>
      <c r="E39" s="105">
        <v>538</v>
      </c>
      <c r="F39" s="105">
        <v>874.6</v>
      </c>
      <c r="G39" s="105">
        <v>1572.6</v>
      </c>
      <c r="H39" s="92" t="s">
        <v>34</v>
      </c>
    </row>
    <row r="40" spans="2:8" ht="18.75" x14ac:dyDescent="0.3">
      <c r="B40" s="94" t="s">
        <v>59</v>
      </c>
      <c r="C40" s="106">
        <f>SUM(C35:C39)</f>
        <v>13554.500000000002</v>
      </c>
      <c r="D40" s="106">
        <f>SUM(D35:D39)</f>
        <v>12667.300000000001</v>
      </c>
      <c r="E40" s="106">
        <f>SUM(E35:E39)</f>
        <v>13667.5</v>
      </c>
      <c r="F40" s="106">
        <f>SUM(F35:F39)</f>
        <v>14927.099999999999</v>
      </c>
      <c r="G40" s="106">
        <f>SUM(G35:G39)</f>
        <v>18549.5</v>
      </c>
    </row>
    <row r="41" spans="2:8" ht="18.75" thickBot="1" x14ac:dyDescent="0.3">
      <c r="B41" s="109" t="s">
        <v>60</v>
      </c>
      <c r="C41" s="110">
        <f>C32+C40</f>
        <v>58195</v>
      </c>
      <c r="D41" s="110">
        <f>D32+D40</f>
        <v>60912.5</v>
      </c>
      <c r="E41" s="110">
        <f>E32+E40</f>
        <v>68104.600000000006</v>
      </c>
      <c r="F41" s="110">
        <f>F32+F40</f>
        <v>73625.899999999994</v>
      </c>
      <c r="G41" s="110">
        <f>G32+G40</f>
        <v>80880.800000000003</v>
      </c>
    </row>
    <row r="42" spans="2:8" x14ac:dyDescent="0.25">
      <c r="C42" s="116">
        <f>C22-C41</f>
        <v>0</v>
      </c>
      <c r="D42" s="116">
        <f>D22-D41</f>
        <v>0</v>
      </c>
      <c r="E42" s="116">
        <f>E22-E41</f>
        <v>0</v>
      </c>
      <c r="F42" s="116">
        <f>F22-F41</f>
        <v>0</v>
      </c>
      <c r="G42" s="116">
        <f>G22-G41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Exercise</vt:lpstr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DCF valuation</vt:lpstr>
      <vt:lpstr>WACC</vt:lpstr>
      <vt:lpstr>3.Sources --&gt;</vt:lpstr>
      <vt:lpstr>P&amp;L Source</vt:lpstr>
      <vt:lpstr>BS Source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2019-08-20T10:00:26Z</dcterms:created>
  <dcterms:modified xsi:type="dcterms:W3CDTF">2020-07-19T18:23:43Z</dcterms:modified>
</cp:coreProperties>
</file>