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Internshala\"/>
    </mc:Choice>
  </mc:AlternateContent>
  <bookViews>
    <workbookView minimized="1" xWindow="0" yWindow="0" windowWidth="20700" windowHeight="8430" firstSheet="4" activeTab="8"/>
  </bookViews>
  <sheets>
    <sheet name="1.Input --&gt;" sheetId="4" r:id="rId1"/>
    <sheet name="P&amp;L assumptions" sheetId="2" r:id="rId2"/>
    <sheet name="BS assumptions" sheetId="3" r:id="rId3"/>
    <sheet name="2.Output--&gt;" sheetId="5" r:id="rId4"/>
    <sheet name="P&amp;L" sheetId="6" r:id="rId5"/>
    <sheet name="BS" sheetId="7" r:id="rId6"/>
    <sheet name="Cash Flow" sheetId="8" r:id="rId7"/>
    <sheet name="WACC" sheetId="15" r:id="rId8"/>
    <sheet name="DCF valuation" sheetId="9" r:id="rId9"/>
    <sheet name="3.Sources --&gt;" sheetId="10" r:id="rId10"/>
    <sheet name="P&amp;L Source" sheetId="13" r:id="rId11"/>
    <sheet name="BS Source " sheetId="14" r:id="rId1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1" i="9" l="1"/>
  <c r="C29" i="9"/>
  <c r="C16" i="9"/>
  <c r="C3" i="9"/>
  <c r="D7" i="9"/>
  <c r="E7" i="9"/>
  <c r="F7" i="9"/>
  <c r="G7" i="9"/>
  <c r="C7" i="9"/>
  <c r="C27" i="15"/>
  <c r="C29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D9" i="8"/>
  <c r="E9" i="8"/>
  <c r="F9" i="8"/>
  <c r="G9" i="8"/>
  <c r="M9" i="8"/>
  <c r="D5" i="8"/>
  <c r="E5" i="8"/>
  <c r="F5" i="8"/>
  <c r="G5" i="8"/>
  <c r="C5" i="8"/>
  <c r="D8" i="8"/>
  <c r="E8" i="8"/>
  <c r="F8" i="8"/>
  <c r="G8" i="8"/>
  <c r="C8" i="8"/>
  <c r="D5" i="7"/>
  <c r="E5" i="7"/>
  <c r="F5" i="7"/>
  <c r="G5" i="7"/>
  <c r="G6" i="7" s="1"/>
  <c r="F7" i="8" s="1"/>
  <c r="H5" i="7"/>
  <c r="E7" i="8"/>
  <c r="G6" i="8"/>
  <c r="D4" i="8"/>
  <c r="E4" i="8"/>
  <c r="F4" i="8"/>
  <c r="G4" i="8"/>
  <c r="C4" i="8"/>
  <c r="D6" i="8"/>
  <c r="E6" i="8"/>
  <c r="F6" i="8"/>
  <c r="C6" i="8"/>
  <c r="C9" i="8" s="1"/>
  <c r="E13" i="7"/>
  <c r="F13" i="7"/>
  <c r="G13" i="7"/>
  <c r="H13" i="7"/>
  <c r="D13" i="7"/>
  <c r="D12" i="7"/>
  <c r="E12" i="7"/>
  <c r="F12" i="7"/>
  <c r="G12" i="7"/>
  <c r="H12" i="7"/>
  <c r="C12" i="7"/>
  <c r="D11" i="7"/>
  <c r="E11" i="7"/>
  <c r="F11" i="7"/>
  <c r="G11" i="7"/>
  <c r="H11" i="7"/>
  <c r="C11" i="7"/>
  <c r="E6" i="7"/>
  <c r="D7" i="8" s="1"/>
  <c r="F6" i="7"/>
  <c r="H6" i="7"/>
  <c r="G7" i="8" s="1"/>
  <c r="D6" i="7"/>
  <c r="C7" i="8" s="1"/>
  <c r="I4" i="7"/>
  <c r="D10" i="7"/>
  <c r="E10" i="7"/>
  <c r="F10" i="7"/>
  <c r="G10" i="7"/>
  <c r="H10" i="7"/>
  <c r="C10" i="7"/>
  <c r="D9" i="7"/>
  <c r="E9" i="7"/>
  <c r="F9" i="7"/>
  <c r="G9" i="7"/>
  <c r="H9" i="7"/>
  <c r="C9" i="7"/>
  <c r="E4" i="7"/>
  <c r="F4" i="7"/>
  <c r="G4" i="7"/>
  <c r="H4" i="7"/>
  <c r="D4" i="7"/>
  <c r="D7" i="7"/>
  <c r="E7" i="7"/>
  <c r="F7" i="7"/>
  <c r="G7" i="7"/>
  <c r="H7" i="7"/>
  <c r="D4" i="6"/>
  <c r="E4" i="6"/>
  <c r="F4" i="6"/>
  <c r="G4" i="6"/>
  <c r="H4" i="6"/>
  <c r="N5" i="7"/>
  <c r="D14" i="6"/>
  <c r="E14" i="6"/>
  <c r="F14" i="6"/>
  <c r="G14" i="6"/>
  <c r="H14" i="6"/>
  <c r="C14" i="6"/>
  <c r="D5" i="6"/>
  <c r="E5" i="6"/>
  <c r="F5" i="6"/>
  <c r="G5" i="6"/>
  <c r="H5" i="6"/>
  <c r="C5" i="6"/>
  <c r="D6" i="6"/>
  <c r="E6" i="6"/>
  <c r="F6" i="6"/>
  <c r="G6" i="6"/>
  <c r="H6" i="6"/>
  <c r="C4" i="6"/>
  <c r="C6" i="6" s="1"/>
  <c r="D16" i="3"/>
  <c r="E16" i="3"/>
  <c r="F16" i="3"/>
  <c r="G16" i="3"/>
  <c r="H16" i="3"/>
  <c r="C16" i="3"/>
  <c r="J14" i="3"/>
  <c r="L12" i="3"/>
  <c r="L9" i="3"/>
  <c r="L6" i="3"/>
  <c r="L14" i="3" s="1"/>
  <c r="K6" i="3"/>
  <c r="M6" i="3" s="1"/>
  <c r="C12" i="3"/>
  <c r="D11" i="3"/>
  <c r="D12" i="3" s="1"/>
  <c r="E11" i="3"/>
  <c r="E12" i="3" s="1"/>
  <c r="F11" i="3"/>
  <c r="F12" i="3" s="1"/>
  <c r="G11" i="3"/>
  <c r="G12" i="3" s="1"/>
  <c r="H11" i="3"/>
  <c r="H12" i="3" s="1"/>
  <c r="I12" i="3" s="1"/>
  <c r="C11" i="3"/>
  <c r="D8" i="3"/>
  <c r="D9" i="3" s="1"/>
  <c r="E8" i="3"/>
  <c r="E9" i="3" s="1"/>
  <c r="F8" i="3"/>
  <c r="F9" i="3" s="1"/>
  <c r="G8" i="3"/>
  <c r="G9" i="3" s="1"/>
  <c r="H8" i="3"/>
  <c r="H9" i="3" s="1"/>
  <c r="I9" i="3" s="1"/>
  <c r="C8" i="3"/>
  <c r="C9" i="3" s="1"/>
  <c r="D5" i="3"/>
  <c r="E5" i="3"/>
  <c r="F5" i="3"/>
  <c r="G5" i="3"/>
  <c r="H5" i="3"/>
  <c r="C5" i="3"/>
  <c r="K9" i="3" l="1"/>
  <c r="M9" i="3" s="1"/>
  <c r="I14" i="3"/>
  <c r="C7" i="7"/>
  <c r="E17" i="3"/>
  <c r="K12" i="3"/>
  <c r="J49" i="2"/>
  <c r="K49" i="2"/>
  <c r="L49" i="2"/>
  <c r="M49" i="2"/>
  <c r="I49" i="2"/>
  <c r="C15" i="15" s="1"/>
  <c r="J43" i="2"/>
  <c r="K43" i="2"/>
  <c r="L43" i="2"/>
  <c r="M43" i="2"/>
  <c r="I43" i="2"/>
  <c r="D42" i="2"/>
  <c r="E42" i="2"/>
  <c r="F42" i="2"/>
  <c r="G42" i="2"/>
  <c r="H42" i="2"/>
  <c r="C42" i="2"/>
  <c r="J36" i="2"/>
  <c r="K36" i="2"/>
  <c r="L36" i="2"/>
  <c r="M36" i="2"/>
  <c r="I36" i="2"/>
  <c r="F36" i="2"/>
  <c r="G36" i="2"/>
  <c r="D35" i="2"/>
  <c r="D9" i="6" s="1"/>
  <c r="E35" i="2"/>
  <c r="E9" i="6" s="1"/>
  <c r="F35" i="2"/>
  <c r="F9" i="6" s="1"/>
  <c r="G35" i="2"/>
  <c r="G9" i="6" s="1"/>
  <c r="H35" i="2"/>
  <c r="H9" i="6" s="1"/>
  <c r="C35" i="2"/>
  <c r="C9" i="6" s="1"/>
  <c r="L29" i="2"/>
  <c r="J31" i="2"/>
  <c r="J29" i="2" s="1"/>
  <c r="K31" i="2"/>
  <c r="K29" i="2" s="1"/>
  <c r="L31" i="2"/>
  <c r="M31" i="2"/>
  <c r="M29" i="2" s="1"/>
  <c r="I31" i="2"/>
  <c r="I29" i="2" s="1"/>
  <c r="D28" i="2"/>
  <c r="D8" i="6" s="1"/>
  <c r="E28" i="2"/>
  <c r="E8" i="6" s="1"/>
  <c r="F28" i="2"/>
  <c r="F8" i="6" s="1"/>
  <c r="G28" i="2"/>
  <c r="G8" i="6" s="1"/>
  <c r="H28" i="2"/>
  <c r="H8" i="6" s="1"/>
  <c r="C28" i="2"/>
  <c r="C8" i="6" s="1"/>
  <c r="J22" i="2"/>
  <c r="K22" i="2"/>
  <c r="L22" i="2"/>
  <c r="M22" i="2"/>
  <c r="I22" i="2"/>
  <c r="E15" i="2"/>
  <c r="C15" i="2"/>
  <c r="D21" i="2"/>
  <c r="D7" i="6" s="1"/>
  <c r="E21" i="2"/>
  <c r="E7" i="6" s="1"/>
  <c r="F21" i="2"/>
  <c r="F7" i="6" s="1"/>
  <c r="G21" i="2"/>
  <c r="G7" i="6" s="1"/>
  <c r="H21" i="2"/>
  <c r="H7" i="6" s="1"/>
  <c r="C21" i="2"/>
  <c r="C7" i="6" s="1"/>
  <c r="J15" i="2"/>
  <c r="K15" i="2"/>
  <c r="L15" i="2"/>
  <c r="M15" i="2"/>
  <c r="I15" i="2"/>
  <c r="D14" i="2"/>
  <c r="D15" i="2" s="1"/>
  <c r="E14" i="2"/>
  <c r="F14" i="2"/>
  <c r="F15" i="2" s="1"/>
  <c r="G14" i="2"/>
  <c r="G15" i="2" s="1"/>
  <c r="H14" i="2"/>
  <c r="H15" i="2" s="1"/>
  <c r="C14" i="2"/>
  <c r="J8" i="2"/>
  <c r="K8" i="2"/>
  <c r="L8" i="2"/>
  <c r="M8" i="2"/>
  <c r="I8" i="2"/>
  <c r="F8" i="2"/>
  <c r="D7" i="2"/>
  <c r="D17" i="3" s="1"/>
  <c r="E7" i="2"/>
  <c r="E6" i="3" s="1"/>
  <c r="E14" i="3" s="1"/>
  <c r="F7" i="2"/>
  <c r="F6" i="3" s="1"/>
  <c r="F14" i="3" s="1"/>
  <c r="G7" i="2"/>
  <c r="G17" i="3" s="1"/>
  <c r="H7" i="2"/>
  <c r="H17" i="3" s="1"/>
  <c r="C7" i="2"/>
  <c r="C6" i="3" s="1"/>
  <c r="C14" i="3" s="1"/>
  <c r="G10" i="6" l="1"/>
  <c r="G22" i="2"/>
  <c r="H29" i="2"/>
  <c r="D29" i="2"/>
  <c r="F11" i="6"/>
  <c r="H43" i="2"/>
  <c r="D43" i="2"/>
  <c r="H6" i="3"/>
  <c r="H14" i="3" s="1"/>
  <c r="D8" i="2"/>
  <c r="E8" i="2"/>
  <c r="F10" i="6"/>
  <c r="F12" i="6" s="1"/>
  <c r="F13" i="6" s="1"/>
  <c r="F16" i="6" s="1"/>
  <c r="F22" i="2"/>
  <c r="G29" i="2"/>
  <c r="C5" i="7"/>
  <c r="C11" i="6"/>
  <c r="E11" i="6"/>
  <c r="G43" i="2"/>
  <c r="I42" i="2"/>
  <c r="G6" i="3"/>
  <c r="G14" i="3" s="1"/>
  <c r="H8" i="2"/>
  <c r="I7" i="2"/>
  <c r="I28" i="2" s="1"/>
  <c r="I8" i="6" s="1"/>
  <c r="C10" i="6"/>
  <c r="E10" i="6"/>
  <c r="C22" i="2"/>
  <c r="E22" i="2"/>
  <c r="G8" i="2"/>
  <c r="H10" i="6"/>
  <c r="H12" i="6" s="1"/>
  <c r="H13" i="6" s="1"/>
  <c r="H16" i="6" s="1"/>
  <c r="D10" i="6"/>
  <c r="H22" i="2"/>
  <c r="D22" i="2"/>
  <c r="C29" i="2"/>
  <c r="E29" i="2"/>
  <c r="H36" i="2"/>
  <c r="D36" i="2"/>
  <c r="G11" i="6"/>
  <c r="G12" i="6" s="1"/>
  <c r="G13" i="6" s="1"/>
  <c r="G16" i="6" s="1"/>
  <c r="C43" i="2"/>
  <c r="E43" i="2"/>
  <c r="K14" i="3"/>
  <c r="M12" i="3"/>
  <c r="M14" i="3" s="1"/>
  <c r="C17" i="3"/>
  <c r="F17" i="3"/>
  <c r="D6" i="3"/>
  <c r="D14" i="3" s="1"/>
  <c r="F29" i="2"/>
  <c r="C36" i="2"/>
  <c r="E36" i="2"/>
  <c r="H11" i="6"/>
  <c r="D11" i="6"/>
  <c r="F43" i="2"/>
  <c r="B7" i="9"/>
  <c r="C16" i="15"/>
  <c r="C5" i="15"/>
  <c r="C6" i="15" s="1"/>
  <c r="J4" i="15"/>
  <c r="I4" i="15"/>
  <c r="B4" i="8"/>
  <c r="I14" i="2" l="1"/>
  <c r="I5" i="6" s="1"/>
  <c r="I5" i="7"/>
  <c r="I11" i="6"/>
  <c r="H5" i="8"/>
  <c r="J7" i="2"/>
  <c r="I4" i="6"/>
  <c r="I6" i="6" s="1"/>
  <c r="I21" i="2"/>
  <c r="I7" i="6" s="1"/>
  <c r="I35" i="2"/>
  <c r="I9" i="6" s="1"/>
  <c r="C10" i="15"/>
  <c r="C12" i="15" s="1"/>
  <c r="C19" i="15" s="1"/>
  <c r="I8" i="3"/>
  <c r="I11" i="7" s="1"/>
  <c r="D12" i="6"/>
  <c r="D13" i="6" s="1"/>
  <c r="D16" i="6" s="1"/>
  <c r="E12" i="6"/>
  <c r="E13" i="6" s="1"/>
  <c r="E16" i="6" s="1"/>
  <c r="C12" i="6"/>
  <c r="C13" i="6" s="1"/>
  <c r="C16" i="6" s="1"/>
  <c r="I5" i="3"/>
  <c r="I9" i="7" s="1"/>
  <c r="I16" i="3"/>
  <c r="C20" i="15"/>
  <c r="I11" i="3" l="1"/>
  <c r="I10" i="7" s="1"/>
  <c r="I10" i="6"/>
  <c r="I12" i="6" s="1"/>
  <c r="I13" i="6" s="1"/>
  <c r="I16" i="6" s="1"/>
  <c r="H4" i="8" s="1"/>
  <c r="H6" i="8" s="1"/>
  <c r="J4" i="6"/>
  <c r="K7" i="2"/>
  <c r="K16" i="3" s="1"/>
  <c r="J35" i="2"/>
  <c r="J9" i="6" s="1"/>
  <c r="J28" i="2"/>
  <c r="J8" i="6" s="1"/>
  <c r="J16" i="3"/>
  <c r="J21" i="2"/>
  <c r="J7" i="6" s="1"/>
  <c r="J42" i="2"/>
  <c r="J14" i="2"/>
  <c r="J5" i="3"/>
  <c r="J9" i="7" s="1"/>
  <c r="J4" i="7"/>
  <c r="I7" i="7"/>
  <c r="I6" i="7" s="1"/>
  <c r="H7" i="8" s="1"/>
  <c r="I12" i="7"/>
  <c r="I13" i="7" s="1"/>
  <c r="H8" i="8" s="1"/>
  <c r="K5" i="3"/>
  <c r="K9" i="7" s="1"/>
  <c r="K35" i="2"/>
  <c r="K9" i="6" s="1"/>
  <c r="K21" i="2"/>
  <c r="K7" i="6" s="1"/>
  <c r="K14" i="2"/>
  <c r="K5" i="6" s="1"/>
  <c r="C22" i="15"/>
  <c r="K28" i="2" l="1"/>
  <c r="K8" i="6" s="1"/>
  <c r="K8" i="9"/>
  <c r="L8" i="9"/>
  <c r="J8" i="9"/>
  <c r="I8" i="9"/>
  <c r="H8" i="9"/>
  <c r="H9" i="8"/>
  <c r="H7" i="9" s="1"/>
  <c r="K7" i="7"/>
  <c r="L4" i="7"/>
  <c r="K4" i="7"/>
  <c r="J7" i="7"/>
  <c r="J6" i="7" s="1"/>
  <c r="I7" i="8" s="1"/>
  <c r="J6" i="6"/>
  <c r="J10" i="6" s="1"/>
  <c r="J12" i="6" s="1"/>
  <c r="J13" i="6" s="1"/>
  <c r="J16" i="6" s="1"/>
  <c r="I4" i="8" s="1"/>
  <c r="J5" i="6"/>
  <c r="J11" i="3"/>
  <c r="J10" i="7" s="1"/>
  <c r="J8" i="3"/>
  <c r="J11" i="7" s="1"/>
  <c r="I5" i="8"/>
  <c r="J5" i="7"/>
  <c r="J11" i="6"/>
  <c r="L7" i="2"/>
  <c r="K4" i="6"/>
  <c r="K42" i="2"/>
  <c r="K8" i="3"/>
  <c r="K11" i="7" s="1"/>
  <c r="K11" i="3"/>
  <c r="K10" i="7" s="1"/>
  <c r="K12" i="7" s="1"/>
  <c r="K6" i="6"/>
  <c r="K10" i="6" s="1"/>
  <c r="H11" i="13"/>
  <c r="H12" i="13" s="1"/>
  <c r="H14" i="13" s="1"/>
  <c r="H7" i="13"/>
  <c r="H49" i="14"/>
  <c r="H54" i="14"/>
  <c r="H44" i="14"/>
  <c r="H30" i="14"/>
  <c r="H18" i="14"/>
  <c r="F54" i="14"/>
  <c r="E53" i="14"/>
  <c r="D53" i="14"/>
  <c r="E52" i="14"/>
  <c r="D52" i="14"/>
  <c r="C52" i="14"/>
  <c r="E51" i="14"/>
  <c r="D51" i="14"/>
  <c r="C51" i="14"/>
  <c r="G49" i="14"/>
  <c r="G54" i="14" s="1"/>
  <c r="F49" i="14"/>
  <c r="E49" i="14"/>
  <c r="E54" i="14" s="1"/>
  <c r="D49" i="14"/>
  <c r="C49" i="14"/>
  <c r="G44" i="14"/>
  <c r="F44" i="14"/>
  <c r="D44" i="14"/>
  <c r="C44" i="14"/>
  <c r="E40" i="14"/>
  <c r="E44" i="14" s="1"/>
  <c r="D40" i="14"/>
  <c r="G31" i="14"/>
  <c r="G30" i="14"/>
  <c r="F30" i="14"/>
  <c r="E30" i="14"/>
  <c r="E29" i="14"/>
  <c r="D29" i="14"/>
  <c r="D30" i="14" s="1"/>
  <c r="C29" i="14"/>
  <c r="C28" i="14"/>
  <c r="C30" i="14" s="1"/>
  <c r="G18" i="14"/>
  <c r="F18" i="14"/>
  <c r="F31" i="14" s="1"/>
  <c r="C12" i="14"/>
  <c r="C18" i="14" s="1"/>
  <c r="E11" i="14"/>
  <c r="E18" i="14" s="1"/>
  <c r="E31" i="14" s="1"/>
  <c r="D11" i="14"/>
  <c r="D18" i="14" s="1"/>
  <c r="D19" i="13"/>
  <c r="D15" i="13"/>
  <c r="D11" i="13"/>
  <c r="D12" i="13" s="1"/>
  <c r="D14" i="13" s="1"/>
  <c r="C11" i="13"/>
  <c r="C12" i="13" s="1"/>
  <c r="C14" i="13" s="1"/>
  <c r="C20" i="13" s="1"/>
  <c r="C22" i="13" s="1"/>
  <c r="D10" i="13"/>
  <c r="C10" i="13"/>
  <c r="G7" i="13"/>
  <c r="G11" i="13" s="1"/>
  <c r="G12" i="13" s="1"/>
  <c r="G14" i="13" s="1"/>
  <c r="G20" i="13" s="1"/>
  <c r="G22" i="13" s="1"/>
  <c r="F7" i="13"/>
  <c r="F11" i="13" s="1"/>
  <c r="F12" i="13" s="1"/>
  <c r="F14" i="13" s="1"/>
  <c r="F20" i="13" s="1"/>
  <c r="F22" i="13" s="1"/>
  <c r="E7" i="13"/>
  <c r="E11" i="13" s="1"/>
  <c r="E12" i="13" s="1"/>
  <c r="E14" i="13" s="1"/>
  <c r="E20" i="13" s="1"/>
  <c r="E22" i="13" s="1"/>
  <c r="D7" i="13"/>
  <c r="C7" i="13"/>
  <c r="H9" i="9" l="1"/>
  <c r="J12" i="7"/>
  <c r="J13" i="7" s="1"/>
  <c r="I8" i="8" s="1"/>
  <c r="M7" i="2"/>
  <c r="L4" i="6"/>
  <c r="L35" i="2"/>
  <c r="L9" i="6" s="1"/>
  <c r="L42" i="2"/>
  <c r="L5" i="3"/>
  <c r="L9" i="7" s="1"/>
  <c r="L14" i="2"/>
  <c r="L16" i="3"/>
  <c r="L21" i="2"/>
  <c r="L7" i="6" s="1"/>
  <c r="L28" i="2"/>
  <c r="L8" i="6" s="1"/>
  <c r="I6" i="8"/>
  <c r="I9" i="8" s="1"/>
  <c r="I7" i="9" s="1"/>
  <c r="I9" i="9" s="1"/>
  <c r="K13" i="7"/>
  <c r="J8" i="8" s="1"/>
  <c r="K11" i="6"/>
  <c r="K12" i="6" s="1"/>
  <c r="K13" i="6" s="1"/>
  <c r="K16" i="6" s="1"/>
  <c r="J4" i="8" s="1"/>
  <c r="J5" i="8"/>
  <c r="K5" i="7"/>
  <c r="K6" i="7" s="1"/>
  <c r="J7" i="8" s="1"/>
  <c r="E55" i="14"/>
  <c r="D31" i="14"/>
  <c r="C54" i="14"/>
  <c r="C55" i="14" s="1"/>
  <c r="D20" i="13"/>
  <c r="D22" i="13" s="1"/>
  <c r="D54" i="14"/>
  <c r="D55" i="14" s="1"/>
  <c r="H20" i="13"/>
  <c r="H22" i="13" s="1"/>
  <c r="G55" i="14"/>
  <c r="G56" i="14"/>
  <c r="F55" i="14"/>
  <c r="F56" i="14" s="1"/>
  <c r="H31" i="14"/>
  <c r="H55" i="14"/>
  <c r="E56" i="14"/>
  <c r="C31" i="14"/>
  <c r="J6" i="8" l="1"/>
  <c r="J9" i="8" s="1"/>
  <c r="J7" i="9" s="1"/>
  <c r="J9" i="9" s="1"/>
  <c r="L5" i="6"/>
  <c r="L6" i="6" s="1"/>
  <c r="L10" i="6" s="1"/>
  <c r="L12" i="6" s="1"/>
  <c r="L13" i="6" s="1"/>
  <c r="L16" i="6" s="1"/>
  <c r="K4" i="8" s="1"/>
  <c r="L11" i="3"/>
  <c r="L10" i="7" s="1"/>
  <c r="L12" i="7" s="1"/>
  <c r="L13" i="7" s="1"/>
  <c r="K8" i="8" s="1"/>
  <c r="L8" i="3"/>
  <c r="L11" i="7" s="1"/>
  <c r="M4" i="6"/>
  <c r="M42" i="2"/>
  <c r="M28" i="2"/>
  <c r="M8" i="6" s="1"/>
  <c r="M35" i="2"/>
  <c r="M9" i="6" s="1"/>
  <c r="M5" i="3"/>
  <c r="M9" i="7" s="1"/>
  <c r="M21" i="2"/>
  <c r="M7" i="6" s="1"/>
  <c r="M16" i="3"/>
  <c r="M14" i="2"/>
  <c r="L11" i="6"/>
  <c r="K5" i="8"/>
  <c r="L5" i="7"/>
  <c r="M4" i="7"/>
  <c r="L7" i="7"/>
  <c r="C56" i="14"/>
  <c r="D56" i="14"/>
  <c r="H56" i="14"/>
  <c r="K6" i="8" l="1"/>
  <c r="K9" i="8" s="1"/>
  <c r="K7" i="9" s="1"/>
  <c r="K9" i="9" s="1"/>
  <c r="L6" i="7"/>
  <c r="K7" i="8" s="1"/>
  <c r="M5" i="6"/>
  <c r="M6" i="6" s="1"/>
  <c r="M10" i="6" s="1"/>
  <c r="M12" i="6" s="1"/>
  <c r="M13" i="6" s="1"/>
  <c r="M16" i="6" s="1"/>
  <c r="L4" i="8" s="1"/>
  <c r="M11" i="3"/>
  <c r="M10" i="7" s="1"/>
  <c r="M8" i="3"/>
  <c r="M11" i="7" s="1"/>
  <c r="N4" i="7"/>
  <c r="M7" i="7"/>
  <c r="M5" i="7"/>
  <c r="L5" i="8"/>
  <c r="M11" i="6"/>
  <c r="L6" i="8" l="1"/>
  <c r="M12" i="7"/>
  <c r="M13" i="7" s="1"/>
  <c r="L8" i="8" s="1"/>
  <c r="M6" i="7"/>
  <c r="L7" i="8" s="1"/>
  <c r="L9" i="8" l="1"/>
  <c r="L7" i="9" s="1"/>
  <c r="C12" i="9"/>
  <c r="C13" i="9" s="1"/>
  <c r="L9" i="9"/>
  <c r="C11" i="9" s="1"/>
  <c r="C14" i="9" l="1"/>
  <c r="D11" i="9" l="1"/>
  <c r="F16" i="9"/>
  <c r="D13" i="9"/>
</calcChain>
</file>

<file path=xl/sharedStrings.xml><?xml version="1.0" encoding="utf-8"?>
<sst xmlns="http://schemas.openxmlformats.org/spreadsheetml/2006/main" count="333" uniqueCount="171">
  <si>
    <t>P&amp;L assumptions</t>
  </si>
  <si>
    <t>FY16
Actual</t>
  </si>
  <si>
    <t>FY17
Actual</t>
  </si>
  <si>
    <t>FY18
Actual</t>
  </si>
  <si>
    <t>FY20
Forecast</t>
  </si>
  <si>
    <t>FY21
Forecast</t>
  </si>
  <si>
    <t>FY22
Forecast</t>
  </si>
  <si>
    <t>FY23
Forecast</t>
  </si>
  <si>
    <t>BS assumptions</t>
  </si>
  <si>
    <t>1.Input --&gt;</t>
  </si>
  <si>
    <t>2.Output --&gt;</t>
  </si>
  <si>
    <t>P&amp;L</t>
  </si>
  <si>
    <t>Note</t>
  </si>
  <si>
    <t>Cost of goods sold</t>
  </si>
  <si>
    <t>Gross Margin</t>
  </si>
  <si>
    <t>Operating expenses</t>
  </si>
  <si>
    <t>EBITDA</t>
  </si>
  <si>
    <t>D&amp;A</t>
  </si>
  <si>
    <t>EBIT</t>
  </si>
  <si>
    <t>Taxes</t>
  </si>
  <si>
    <t>Tax rate</t>
  </si>
  <si>
    <t xml:space="preserve"> </t>
  </si>
  <si>
    <t>Balance Sheet</t>
  </si>
  <si>
    <t>Intangible assets</t>
  </si>
  <si>
    <t>Inventory</t>
  </si>
  <si>
    <t>Cash Flow</t>
  </si>
  <si>
    <t>.</t>
  </si>
  <si>
    <t>DCF Valuation</t>
  </si>
  <si>
    <t>4.Sources --&gt;</t>
  </si>
  <si>
    <t>Trade receivables</t>
  </si>
  <si>
    <t>Income Statement</t>
  </si>
  <si>
    <t>INR (cr)</t>
  </si>
  <si>
    <t>Particulars</t>
  </si>
  <si>
    <t>Revenue from operations</t>
  </si>
  <si>
    <t>Operating item</t>
  </si>
  <si>
    <t>Cost of materials consumed</t>
  </si>
  <si>
    <t>Excise duty on sale of goods</t>
  </si>
  <si>
    <t>Employee benefits expenses</t>
  </si>
  <si>
    <t>Other expenses</t>
  </si>
  <si>
    <t>Total operating expenses</t>
  </si>
  <si>
    <t>Depreciation and amortisation expenses</t>
  </si>
  <si>
    <t>Other income</t>
  </si>
  <si>
    <t>Non Operating item</t>
  </si>
  <si>
    <t>Finance costs</t>
  </si>
  <si>
    <t>Share in profit/(loss) of associates, net of tax</t>
  </si>
  <si>
    <t>Gain on dilution of interest in an associate</t>
  </si>
  <si>
    <t>Minority interest profit/(loss)</t>
  </si>
  <si>
    <t>Profit before tax</t>
  </si>
  <si>
    <t>Tax expense</t>
  </si>
  <si>
    <t>Profit after tax / Net profit</t>
  </si>
  <si>
    <t>ASSETS</t>
  </si>
  <si>
    <t>NON-CURRENT ASSETS</t>
  </si>
  <si>
    <t>Property, plant and equipment</t>
  </si>
  <si>
    <t>Capital work-in-progress</t>
  </si>
  <si>
    <t>Intangible assets under development</t>
  </si>
  <si>
    <t>Equity accounted investments in associates</t>
  </si>
  <si>
    <t>Investments</t>
  </si>
  <si>
    <t>Loans to employees</t>
  </si>
  <si>
    <t>Security deposits</t>
  </si>
  <si>
    <t>Deferred tax assets (net)</t>
  </si>
  <si>
    <t>Income tax assets (net)</t>
  </si>
  <si>
    <t>Other non-current assets</t>
  </si>
  <si>
    <t>Total Non-Current Assets</t>
  </si>
  <si>
    <t>CURRENT ASSETS</t>
  </si>
  <si>
    <t>Inventories</t>
  </si>
  <si>
    <t>Non-Operating item</t>
  </si>
  <si>
    <t>Cash and cash equivalents</t>
  </si>
  <si>
    <t xml:space="preserve">Bank balances  </t>
  </si>
  <si>
    <t>Others Financial Assets</t>
  </si>
  <si>
    <t>Other current assets</t>
  </si>
  <si>
    <t>Total Current Assets</t>
  </si>
  <si>
    <t>TOTAL ASSETS</t>
  </si>
  <si>
    <t>LIABILITIES</t>
  </si>
  <si>
    <t>NON-CURRENT LIABILITIES</t>
  </si>
  <si>
    <t>Equity share capital</t>
  </si>
  <si>
    <t>Other equity</t>
  </si>
  <si>
    <t>Non-controlling interests</t>
  </si>
  <si>
    <t>LT Debt</t>
  </si>
  <si>
    <t>Employee benefits</t>
  </si>
  <si>
    <t>Other long - term liabilities</t>
  </si>
  <si>
    <t>Warranties</t>
  </si>
  <si>
    <t>Deferred tax liabilities (net)</t>
  </si>
  <si>
    <t>Total Non-Current Liabilities</t>
  </si>
  <si>
    <t>CURRENT LIABILITIES</t>
  </si>
  <si>
    <t>ST Debt</t>
  </si>
  <si>
    <t>Trade payables</t>
  </si>
  <si>
    <t>Other financial liabilities</t>
  </si>
  <si>
    <t>Security deposits dealers and others</t>
  </si>
  <si>
    <t>Other current liabilities</t>
  </si>
  <si>
    <t>Total Current Liabilities</t>
  </si>
  <si>
    <t>TOTAL LIABILITIES</t>
  </si>
  <si>
    <t>FY15
Actual</t>
  </si>
  <si>
    <t>FY19
Actual</t>
  </si>
  <si>
    <t>FY24
Forecast</t>
  </si>
  <si>
    <t>INR in Crores</t>
  </si>
  <si>
    <t>Net Operating Profit After Taxes (NOPAT)</t>
  </si>
  <si>
    <t>Capex</t>
  </si>
  <si>
    <t xml:space="preserve">Accounts Receivable </t>
  </si>
  <si>
    <t>Accounts Payable</t>
  </si>
  <si>
    <t>Changes in working capital</t>
  </si>
  <si>
    <t>FY14
Actual</t>
  </si>
  <si>
    <t>Scenarios:</t>
  </si>
  <si>
    <t>Case 1</t>
  </si>
  <si>
    <t>Optimistic</t>
  </si>
  <si>
    <t>Case 2</t>
  </si>
  <si>
    <t>Base</t>
  </si>
  <si>
    <t>Case 3</t>
  </si>
  <si>
    <t xml:space="preserve">Worst </t>
  </si>
  <si>
    <t>Higher than historical average</t>
  </si>
  <si>
    <t>Historical average</t>
  </si>
  <si>
    <t>Worse than historical average</t>
  </si>
  <si>
    <t>Net Revenues</t>
  </si>
  <si>
    <t>Ending Value (PPE)</t>
  </si>
  <si>
    <t>Working capital</t>
  </si>
  <si>
    <t xml:space="preserve">Cost of Capital  </t>
  </si>
  <si>
    <t>Date</t>
  </si>
  <si>
    <t>Hero MotoCorp Share price</t>
  </si>
  <si>
    <t>NSE500</t>
  </si>
  <si>
    <t>Hero MotoCorp monthly return</t>
  </si>
  <si>
    <t>Key Inputs:</t>
  </si>
  <si>
    <t>Total Equity to Capital</t>
  </si>
  <si>
    <t>Net Debt to Capital</t>
  </si>
  <si>
    <t>Calculations:</t>
  </si>
  <si>
    <t>Risk Free Rate</t>
  </si>
  <si>
    <t>Equity Beta</t>
  </si>
  <si>
    <t>Market Risk Premium</t>
  </si>
  <si>
    <t>Cost of Equity</t>
  </si>
  <si>
    <t>Pre-tax cost of debt</t>
  </si>
  <si>
    <t>Marginal Tax Rate</t>
  </si>
  <si>
    <t>Cost of Debt</t>
  </si>
  <si>
    <t>Weighted Cost of Equity</t>
  </si>
  <si>
    <t>Weighted Cost of Debt</t>
  </si>
  <si>
    <t>Weighted Average Cost of Capital</t>
  </si>
  <si>
    <t>Shares outstanding</t>
  </si>
  <si>
    <t>Share price</t>
  </si>
  <si>
    <t>Market Cap</t>
  </si>
  <si>
    <t>Debt</t>
  </si>
  <si>
    <t>Add: D&amp;A</t>
  </si>
  <si>
    <t>Gross Cash Flow</t>
  </si>
  <si>
    <t>Less: Capex</t>
  </si>
  <si>
    <t>Net Cash Flow</t>
  </si>
  <si>
    <t>Less: Investment in Working Capital</t>
  </si>
  <si>
    <t>WACC</t>
  </si>
  <si>
    <t>Terminal Growth</t>
  </si>
  <si>
    <t>Discount factor</t>
  </si>
  <si>
    <t>Present Value</t>
  </si>
  <si>
    <t>Excise duty</t>
  </si>
  <si>
    <t>Beginning PP&amp;E</t>
  </si>
  <si>
    <t>Depreciation</t>
  </si>
  <si>
    <t>Revenue</t>
  </si>
  <si>
    <t>Revenue Growth %</t>
  </si>
  <si>
    <t>Selected case</t>
  </si>
  <si>
    <t>Cost of material consumed</t>
  </si>
  <si>
    <t>% sales</t>
  </si>
  <si>
    <t>Excise Duty on sales of good</t>
  </si>
  <si>
    <t>Tax%</t>
  </si>
  <si>
    <t>Accounts Receivable</t>
  </si>
  <si>
    <t>DSO</t>
  </si>
  <si>
    <t>DPO</t>
  </si>
  <si>
    <t>DIO</t>
  </si>
  <si>
    <t>CCC</t>
  </si>
  <si>
    <t>DCF Values</t>
  </si>
  <si>
    <t>Continuing Value</t>
  </si>
  <si>
    <t>Present Value of CV</t>
  </si>
  <si>
    <t>Enterprise Value</t>
  </si>
  <si>
    <t>Sensitivity Analysis</t>
  </si>
  <si>
    <t>Less</t>
  </si>
  <si>
    <t>Add</t>
  </si>
  <si>
    <t>Equity Value</t>
  </si>
  <si>
    <t>Share Outstanding</t>
  </si>
  <si>
    <t>Per Share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</si>
</sst>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3" formatCode="_(* #,##0.00_);_(* \(#,##0.00\);_(* &quot;-&quot;??_);_(@_)"/>
    <numFmt numFmtId="164" formatCode="_(* #,##0.0_);_(* \(#,##0.0\);_(* &quot;-&quot;?_);@_)"/>
    <numFmt numFmtId="165" formatCode="_(* #,##0_);_(* \(#,##0\);_(* &quot;-&quot;?_);@_)"/>
    <numFmt numFmtId="166" formatCode="0.0%"/>
    <numFmt numFmtId="167" formatCode="_(* #,##0_);_(* \(#,##0\);_(* &quot;-&quot;??_);_(@_)"/>
    <numFmt numFmtId="168" formatCode="_(* #,##0.0_);_(* \(#,##0.0\);_(* &quot;-&quot;?_);@_l"/>
    <numFmt numFmtId="169" formatCode="_(* #,##0.0_);_(* \(#,##0.0\);_(* &quot;-&quot;??_);_(@_)"/>
    <numFmt numFmtId="170" formatCode="_(* #,##0.0_);_(* \(#,##0.0\);_(* &quot;-&quot;?_);_(@_)"/>
    <numFmt numFmtId="171" formatCode="_(* #,##0.00_);_(* \(#,##0.00\);_(* &quot;-&quot;?_);@_)"/>
    <numFmt numFmtId="172" formatCode="_(* #,##0_);_(* \(#,##0\);_(* &quot;-&quot;?_);@_l"/>
    <numFmt numFmtId="173" formatCode="0.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40"/>
      <color rgb="FF002060"/>
      <name val="Arial"/>
      <family val="2"/>
    </font>
    <font>
      <b/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8" tint="-0.249977111117893"/>
      <name val="Calibri"/>
      <family val="2"/>
      <scheme val="minor"/>
    </font>
    <font>
      <b/>
      <sz val="14"/>
      <color rgb="FF002060"/>
      <name val="Arial"/>
      <family val="2"/>
    </font>
    <font>
      <sz val="14"/>
      <color theme="1"/>
      <name val="Arial"/>
      <family val="2"/>
    </font>
    <font>
      <b/>
      <sz val="14"/>
      <color theme="0"/>
      <name val="Arial"/>
      <family val="2"/>
    </font>
    <font>
      <sz val="14"/>
      <color theme="1"/>
      <name val="Calibri"/>
      <family val="2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14"/>
      <color indexed="9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0"/>
      <name val="Arial"/>
      <family val="2"/>
    </font>
    <font>
      <b/>
      <sz val="14"/>
      <color theme="4"/>
      <name val="Arial"/>
      <family val="2"/>
    </font>
    <font>
      <sz val="14"/>
      <color theme="0"/>
      <name val="Arial"/>
      <family val="2"/>
    </font>
    <font>
      <b/>
      <sz val="14"/>
      <color theme="4" tint="-0.49998474074526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  <fill>
      <patternFill patternType="lightTrellis">
        <bgColor theme="0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55"/>
      </left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  <border>
      <left style="medium">
        <color indexed="55"/>
      </left>
      <right/>
      <top/>
      <bottom/>
      <diagonal/>
    </border>
    <border>
      <left/>
      <right style="medium">
        <color indexed="55"/>
      </right>
      <top/>
      <bottom/>
      <diagonal/>
    </border>
    <border>
      <left style="medium">
        <color indexed="55"/>
      </left>
      <right/>
      <top style="thin">
        <color auto="1"/>
      </top>
      <bottom/>
      <diagonal/>
    </border>
    <border>
      <left/>
      <right style="medium">
        <color indexed="55"/>
      </right>
      <top style="thin">
        <color auto="1"/>
      </top>
      <bottom/>
      <diagonal/>
    </border>
    <border>
      <left/>
      <right style="hair">
        <color indexed="64"/>
      </right>
      <top/>
      <bottom/>
      <diagonal/>
    </border>
    <border>
      <left style="medium">
        <color indexed="55"/>
      </left>
      <right/>
      <top style="thin">
        <color auto="1"/>
      </top>
      <bottom style="double">
        <color auto="1"/>
      </bottom>
      <diagonal/>
    </border>
    <border>
      <left/>
      <right style="medium">
        <color indexed="55"/>
      </right>
      <top style="thin">
        <color auto="1"/>
      </top>
      <bottom style="double">
        <color auto="1"/>
      </bottom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132">
    <xf numFmtId="0" fontId="0" fillId="0" borderId="0" xfId="0"/>
    <xf numFmtId="0" fontId="4" fillId="2" borderId="0" xfId="2" applyFont="1" applyFill="1"/>
    <xf numFmtId="0" fontId="5" fillId="2" borderId="0" xfId="2" applyFont="1" applyFill="1"/>
    <xf numFmtId="0" fontId="6" fillId="2" borderId="0" xfId="2" applyFont="1" applyFill="1"/>
    <xf numFmtId="0" fontId="7" fillId="0" borderId="0" xfId="0" applyFont="1"/>
    <xf numFmtId="0" fontId="8" fillId="0" borderId="0" xfId="0" applyFont="1"/>
    <xf numFmtId="0" fontId="2" fillId="0" borderId="4" xfId="0" applyFont="1" applyBorder="1"/>
    <xf numFmtId="17" fontId="2" fillId="0" borderId="4" xfId="0" applyNumberFormat="1" applyFont="1" applyBorder="1"/>
    <xf numFmtId="0" fontId="0" fillId="0" borderId="6" xfId="0" applyBorder="1"/>
    <xf numFmtId="167" fontId="0" fillId="0" borderId="6" xfId="1" applyNumberFormat="1" applyFont="1" applyBorder="1"/>
    <xf numFmtId="0" fontId="9" fillId="0" borderId="0" xfId="0" applyFont="1" applyAlignment="1">
      <alignment horizontal="center"/>
    </xf>
    <xf numFmtId="167" fontId="0" fillId="0" borderId="0" xfId="1" applyNumberFormat="1" applyFont="1"/>
    <xf numFmtId="0" fontId="0" fillId="0" borderId="4" xfId="0" applyBorder="1"/>
    <xf numFmtId="167" fontId="0" fillId="0" borderId="4" xfId="0" applyNumberFormat="1" applyBorder="1"/>
    <xf numFmtId="167" fontId="0" fillId="0" borderId="4" xfId="1" applyNumberFormat="1" applyFont="1" applyBorder="1"/>
    <xf numFmtId="0" fontId="0" fillId="0" borderId="7" xfId="0" applyBorder="1"/>
    <xf numFmtId="167" fontId="0" fillId="0" borderId="7" xfId="0" applyNumberFormat="1" applyBorder="1"/>
    <xf numFmtId="167" fontId="0" fillId="0" borderId="0" xfId="0" applyNumberFormat="1"/>
    <xf numFmtId="169" fontId="0" fillId="0" borderId="0" xfId="1" applyNumberFormat="1" applyFont="1"/>
    <xf numFmtId="0" fontId="8" fillId="0" borderId="6" xfId="0" applyFont="1" applyBorder="1"/>
    <xf numFmtId="169" fontId="8" fillId="0" borderId="6" xfId="0" applyNumberFormat="1" applyFont="1" applyBorder="1"/>
    <xf numFmtId="0" fontId="2" fillId="0" borderId="0" xfId="0" applyFont="1"/>
    <xf numFmtId="167" fontId="2" fillId="0" borderId="0" xfId="1" applyNumberFormat="1" applyFont="1"/>
    <xf numFmtId="167" fontId="8" fillId="0" borderId="0" xfId="1" applyNumberFormat="1" applyFont="1"/>
    <xf numFmtId="0" fontId="2" fillId="0" borderId="5" xfId="0" applyFont="1" applyBorder="1"/>
    <xf numFmtId="169" fontId="2" fillId="0" borderId="5" xfId="1" applyNumberFormat="1" applyFont="1" applyBorder="1"/>
    <xf numFmtId="169" fontId="2" fillId="0" borderId="0" xfId="1" applyNumberFormat="1" applyFont="1"/>
    <xf numFmtId="169" fontId="2" fillId="0" borderId="0" xfId="0" applyNumberFormat="1" applyFont="1"/>
    <xf numFmtId="169" fontId="8" fillId="0" borderId="0" xfId="1" applyNumberFormat="1" applyFont="1"/>
    <xf numFmtId="169" fontId="0" fillId="0" borderId="0" xfId="0" applyNumberFormat="1"/>
    <xf numFmtId="170" fontId="0" fillId="0" borderId="0" xfId="0" applyNumberFormat="1"/>
    <xf numFmtId="0" fontId="2" fillId="0" borderId="6" xfId="0" applyFont="1" applyBorder="1"/>
    <xf numFmtId="167" fontId="2" fillId="0" borderId="6" xfId="0" applyNumberFormat="1" applyFont="1" applyBorder="1"/>
    <xf numFmtId="167" fontId="8" fillId="0" borderId="6" xfId="0" applyNumberFormat="1" applyFont="1" applyBorder="1"/>
    <xf numFmtId="167" fontId="2" fillId="0" borderId="4" xfId="0" applyNumberFormat="1" applyFont="1" applyBorder="1"/>
    <xf numFmtId="164" fontId="10" fillId="2" borderId="0" xfId="2" applyNumberFormat="1" applyFont="1" applyFill="1"/>
    <xf numFmtId="164" fontId="11" fillId="2" borderId="0" xfId="2" applyNumberFormat="1" applyFont="1" applyFill="1"/>
    <xf numFmtId="164" fontId="10" fillId="2" borderId="1" xfId="2" applyNumberFormat="1" applyFont="1" applyFill="1" applyBorder="1"/>
    <xf numFmtId="164" fontId="10" fillId="2" borderId="1" xfId="2" applyNumberFormat="1" applyFont="1" applyFill="1" applyBorder="1" applyAlignment="1">
      <alignment horizontal="right" wrapText="1"/>
    </xf>
    <xf numFmtId="164" fontId="10" fillId="3" borderId="1" xfId="2" applyNumberFormat="1" applyFont="1" applyFill="1" applyBorder="1" applyAlignment="1">
      <alignment horizontal="right" wrapText="1"/>
    </xf>
    <xf numFmtId="165" fontId="11" fillId="2" borderId="0" xfId="2" applyNumberFormat="1" applyFont="1" applyFill="1"/>
    <xf numFmtId="164" fontId="10" fillId="2" borderId="1" xfId="2" applyNumberFormat="1" applyFont="1" applyFill="1" applyBorder="1" applyAlignment="1">
      <alignment wrapText="1"/>
    </xf>
    <xf numFmtId="164" fontId="10" fillId="2" borderId="2" xfId="2" applyNumberFormat="1" applyFont="1" applyFill="1" applyBorder="1"/>
    <xf numFmtId="164" fontId="12" fillId="4" borderId="0" xfId="2" applyNumberFormat="1" applyFont="1" applyFill="1"/>
    <xf numFmtId="164" fontId="10" fillId="2" borderId="3" xfId="2" applyNumberFormat="1" applyFont="1" applyFill="1" applyBorder="1"/>
    <xf numFmtId="168" fontId="10" fillId="2" borderId="0" xfId="2" applyNumberFormat="1" applyFont="1" applyFill="1"/>
    <xf numFmtId="168" fontId="11" fillId="2" borderId="0" xfId="2" applyNumberFormat="1" applyFont="1" applyFill="1"/>
    <xf numFmtId="164" fontId="13" fillId="2" borderId="0" xfId="2" applyNumberFormat="1" applyFont="1" applyFill="1"/>
    <xf numFmtId="164" fontId="14" fillId="2" borderId="0" xfId="2" applyNumberFormat="1" applyFont="1" applyFill="1"/>
    <xf numFmtId="9" fontId="11" fillId="2" borderId="0" xfId="5" applyFont="1" applyFill="1"/>
    <xf numFmtId="171" fontId="11" fillId="2" borderId="0" xfId="2" applyNumberFormat="1" applyFont="1" applyFill="1"/>
    <xf numFmtId="167" fontId="11" fillId="2" borderId="0" xfId="1" applyNumberFormat="1" applyFont="1" applyFill="1"/>
    <xf numFmtId="167" fontId="10" fillId="2" borderId="2" xfId="1" applyNumberFormat="1" applyFont="1" applyFill="1" applyBorder="1"/>
    <xf numFmtId="164" fontId="11" fillId="2" borderId="0" xfId="2" applyNumberFormat="1" applyFont="1" applyFill="1" applyBorder="1"/>
    <xf numFmtId="167" fontId="11" fillId="2" borderId="0" xfId="1" applyNumberFormat="1" applyFont="1" applyFill="1" applyBorder="1"/>
    <xf numFmtId="164" fontId="14" fillId="2" borderId="6" xfId="2" applyNumberFormat="1" applyFont="1" applyFill="1" applyBorder="1"/>
    <xf numFmtId="167" fontId="10" fillId="2" borderId="1" xfId="1" applyNumberFormat="1" applyFont="1" applyFill="1" applyBorder="1"/>
    <xf numFmtId="0" fontId="15" fillId="0" borderId="0" xfId="0" applyFont="1"/>
    <xf numFmtId="0" fontId="15" fillId="0" borderId="0" xfId="0" applyFont="1" applyAlignment="1">
      <alignment horizontal="center" wrapText="1"/>
    </xf>
    <xf numFmtId="0" fontId="15" fillId="0" borderId="0" xfId="0" applyFont="1" applyAlignment="1">
      <alignment horizontal="center"/>
    </xf>
    <xf numFmtId="0" fontId="17" fillId="0" borderId="10" xfId="2" applyFont="1" applyBorder="1" applyAlignment="1">
      <alignment horizontal="centerContinuous"/>
    </xf>
    <xf numFmtId="0" fontId="17" fillId="0" borderId="11" xfId="2" applyFont="1" applyBorder="1" applyAlignment="1">
      <alignment horizontal="centerContinuous"/>
    </xf>
    <xf numFmtId="9" fontId="15" fillId="0" borderId="0" xfId="5" applyFont="1"/>
    <xf numFmtId="0" fontId="18" fillId="0" borderId="10" xfId="2" applyFont="1" applyBorder="1" applyAlignment="1">
      <alignment horizontal="left" indent="1"/>
    </xf>
    <xf numFmtId="166" fontId="18" fillId="0" borderId="11" xfId="6" applyNumberFormat="1" applyFont="1" applyBorder="1" applyAlignment="1">
      <alignment horizontal="right" indent="1"/>
    </xf>
    <xf numFmtId="166" fontId="18" fillId="0" borderId="11" xfId="2" applyNumberFormat="1" applyFont="1" applyBorder="1" applyAlignment="1">
      <alignment horizontal="right" indent="1"/>
    </xf>
    <xf numFmtId="0" fontId="18" fillId="0" borderId="10" xfId="2" applyFont="1" applyBorder="1"/>
    <xf numFmtId="0" fontId="18" fillId="0" borderId="11" xfId="2" applyFont="1" applyBorder="1"/>
    <xf numFmtId="2" fontId="18" fillId="0" borderId="11" xfId="6" applyNumberFormat="1" applyFont="1" applyBorder="1" applyAlignment="1">
      <alignment horizontal="right" indent="1"/>
    </xf>
    <xf numFmtId="0" fontId="17" fillId="0" borderId="12" xfId="2" applyFont="1" applyBorder="1" applyAlignment="1">
      <alignment horizontal="left" indent="1"/>
    </xf>
    <xf numFmtId="166" fontId="17" fillId="0" borderId="13" xfId="2" applyNumberFormat="1" applyFont="1" applyBorder="1" applyAlignment="1">
      <alignment horizontal="right" indent="1"/>
    </xf>
    <xf numFmtId="0" fontId="18" fillId="0" borderId="11" xfId="2" applyFont="1" applyBorder="1" applyAlignment="1">
      <alignment horizontal="right" indent="1"/>
    </xf>
    <xf numFmtId="0" fontId="15" fillId="0" borderId="14" xfId="0" applyFont="1" applyBorder="1"/>
    <xf numFmtId="0" fontId="17" fillId="0" borderId="10" xfId="2" applyFont="1" applyBorder="1" applyAlignment="1">
      <alignment horizontal="left" indent="1"/>
    </xf>
    <xf numFmtId="166" fontId="17" fillId="0" borderId="11" xfId="2" applyNumberFormat="1" applyFont="1" applyBorder="1" applyAlignment="1">
      <alignment horizontal="right" indent="1"/>
    </xf>
    <xf numFmtId="0" fontId="17" fillId="0" borderId="15" xfId="2" applyFont="1" applyBorder="1" applyAlignment="1">
      <alignment horizontal="left" indent="1"/>
    </xf>
    <xf numFmtId="166" fontId="17" fillId="0" borderId="16" xfId="2" applyNumberFormat="1" applyFont="1" applyBorder="1" applyAlignment="1">
      <alignment horizontal="right" indent="1"/>
    </xf>
    <xf numFmtId="0" fontId="15" fillId="0" borderId="17" xfId="2" applyFont="1" applyBorder="1" applyAlignment="1">
      <alignment horizontal="left" indent="1"/>
    </xf>
    <xf numFmtId="0" fontId="15" fillId="0" borderId="18" xfId="2" applyFont="1" applyBorder="1" applyAlignment="1">
      <alignment horizontal="right" indent="1"/>
    </xf>
    <xf numFmtId="3" fontId="15" fillId="0" borderId="0" xfId="0" applyNumberFormat="1" applyFont="1"/>
    <xf numFmtId="0" fontId="15" fillId="0" borderId="11" xfId="2" applyFont="1" applyBorder="1" applyAlignment="1">
      <alignment horizontal="right" indent="1"/>
    </xf>
    <xf numFmtId="0" fontId="18" fillId="0" borderId="19" xfId="2" applyFont="1" applyBorder="1" applyAlignment="1">
      <alignment horizontal="left" indent="1"/>
    </xf>
    <xf numFmtId="166" fontId="18" fillId="0" borderId="20" xfId="6" applyNumberFormat="1" applyFont="1" applyBorder="1" applyAlignment="1">
      <alignment horizontal="right" indent="1"/>
    </xf>
    <xf numFmtId="0" fontId="18" fillId="0" borderId="21" xfId="2" applyFont="1" applyBorder="1" applyAlignment="1">
      <alignment horizontal="left" indent="1"/>
    </xf>
    <xf numFmtId="166" fontId="18" fillId="0" borderId="22" xfId="2" applyNumberFormat="1" applyFont="1" applyBorder="1" applyAlignment="1">
      <alignment horizontal="right" indent="1"/>
    </xf>
    <xf numFmtId="0" fontId="18" fillId="0" borderId="21" xfId="2" applyFont="1" applyBorder="1"/>
    <xf numFmtId="0" fontId="18" fillId="0" borderId="22" xfId="2" applyFont="1" applyBorder="1"/>
    <xf numFmtId="0" fontId="17" fillId="0" borderId="23" xfId="2" applyFont="1" applyBorder="1" applyAlignment="1">
      <alignment horizontal="left" indent="1"/>
    </xf>
    <xf numFmtId="0" fontId="18" fillId="0" borderId="24" xfId="2" applyFont="1" applyBorder="1" applyAlignment="1">
      <alignment horizontal="right" indent="1"/>
    </xf>
    <xf numFmtId="168" fontId="11" fillId="2" borderId="0" xfId="2" applyNumberFormat="1" applyFont="1" applyFill="1" applyBorder="1"/>
    <xf numFmtId="168" fontId="11" fillId="2" borderId="25" xfId="2" applyNumberFormat="1" applyFont="1" applyFill="1" applyBorder="1"/>
    <xf numFmtId="167" fontId="11" fillId="2" borderId="25" xfId="1" applyNumberFormat="1" applyFont="1" applyFill="1" applyBorder="1"/>
    <xf numFmtId="168" fontId="20" fillId="2" borderId="0" xfId="2" applyNumberFormat="1" applyFont="1" applyFill="1"/>
    <xf numFmtId="167" fontId="20" fillId="2" borderId="0" xfId="1" applyNumberFormat="1" applyFont="1" applyFill="1"/>
    <xf numFmtId="168" fontId="20" fillId="2" borderId="5" xfId="2" applyNumberFormat="1" applyFont="1" applyFill="1" applyBorder="1"/>
    <xf numFmtId="1" fontId="15" fillId="0" borderId="0" xfId="0" applyNumberFormat="1" applyFont="1"/>
    <xf numFmtId="167" fontId="12" fillId="4" borderId="0" xfId="1" applyNumberFormat="1" applyFont="1" applyFill="1"/>
    <xf numFmtId="167" fontId="10" fillId="2" borderId="3" xfId="1" applyNumberFormat="1" applyFont="1" applyFill="1" applyBorder="1"/>
    <xf numFmtId="167" fontId="14" fillId="2" borderId="6" xfId="1" applyNumberFormat="1" applyFont="1" applyFill="1" applyBorder="1"/>
    <xf numFmtId="172" fontId="11" fillId="2" borderId="0" xfId="2" applyNumberFormat="1" applyFont="1" applyFill="1"/>
    <xf numFmtId="167" fontId="11" fillId="2" borderId="5" xfId="1" applyNumberFormat="1" applyFont="1" applyFill="1" applyBorder="1"/>
    <xf numFmtId="166" fontId="21" fillId="6" borderId="0" xfId="5" applyNumberFormat="1" applyFont="1" applyFill="1"/>
    <xf numFmtId="164" fontId="14" fillId="2" borderId="5" xfId="2" applyNumberFormat="1" applyFont="1" applyFill="1" applyBorder="1"/>
    <xf numFmtId="165" fontId="14" fillId="2" borderId="5" xfId="2" applyNumberFormat="1" applyFont="1" applyFill="1" applyBorder="1"/>
    <xf numFmtId="166" fontId="11" fillId="2" borderId="0" xfId="5" applyNumberFormat="1" applyFont="1" applyFill="1"/>
    <xf numFmtId="164" fontId="11" fillId="7" borderId="0" xfId="2" applyNumberFormat="1" applyFont="1" applyFill="1"/>
    <xf numFmtId="164" fontId="22" fillId="2" borderId="0" xfId="2" applyNumberFormat="1" applyFont="1" applyFill="1"/>
    <xf numFmtId="165" fontId="21" fillId="8" borderId="0" xfId="2" applyNumberFormat="1" applyFont="1" applyFill="1"/>
    <xf numFmtId="0" fontId="11" fillId="0" borderId="0" xfId="0" applyFont="1"/>
    <xf numFmtId="43" fontId="11" fillId="0" borderId="0" xfId="0" applyNumberFormat="1" applyFont="1"/>
    <xf numFmtId="164" fontId="10" fillId="9" borderId="1" xfId="2" applyNumberFormat="1" applyFont="1" applyFill="1" applyBorder="1" applyAlignment="1">
      <alignment horizontal="right" wrapText="1"/>
    </xf>
    <xf numFmtId="43" fontId="11" fillId="9" borderId="0" xfId="0" applyNumberFormat="1" applyFont="1" applyFill="1"/>
    <xf numFmtId="164" fontId="11" fillId="9" borderId="0" xfId="2" applyNumberFormat="1" applyFont="1" applyFill="1"/>
    <xf numFmtId="9" fontId="11" fillId="9" borderId="0" xfId="5" applyFont="1" applyFill="1"/>
    <xf numFmtId="167" fontId="11" fillId="9" borderId="0" xfId="1" applyNumberFormat="1" applyFont="1" applyFill="1"/>
    <xf numFmtId="167" fontId="10" fillId="9" borderId="3" xfId="1" applyNumberFormat="1" applyFont="1" applyFill="1" applyBorder="1"/>
    <xf numFmtId="167" fontId="14" fillId="9" borderId="6" xfId="1" applyNumberFormat="1" applyFont="1" applyFill="1" applyBorder="1"/>
    <xf numFmtId="167" fontId="10" fillId="9" borderId="1" xfId="1" applyNumberFormat="1" applyFont="1" applyFill="1" applyBorder="1"/>
    <xf numFmtId="14" fontId="0" fillId="0" borderId="0" xfId="0" applyNumberFormat="1"/>
    <xf numFmtId="173" fontId="0" fillId="0" borderId="0" xfId="0" applyNumberFormat="1"/>
    <xf numFmtId="166" fontId="11" fillId="9" borderId="0" xfId="5" applyNumberFormat="1" applyFont="1" applyFill="1"/>
    <xf numFmtId="169" fontId="11" fillId="0" borderId="0" xfId="1" applyNumberFormat="1" applyFont="1"/>
    <xf numFmtId="164" fontId="14" fillId="2" borderId="7" xfId="2" applyNumberFormat="1" applyFont="1" applyFill="1" applyBorder="1"/>
    <xf numFmtId="0" fontId="16" fillId="5" borderId="8" xfId="2" applyFont="1" applyFill="1" applyBorder="1" applyAlignment="1">
      <alignment horizontal="center"/>
    </xf>
    <xf numFmtId="0" fontId="16" fillId="5" borderId="9" xfId="2" applyFont="1" applyFill="1" applyBorder="1" applyAlignment="1">
      <alignment horizontal="center"/>
    </xf>
    <xf numFmtId="164" fontId="10" fillId="10" borderId="1" xfId="2" applyNumberFormat="1" applyFont="1" applyFill="1" applyBorder="1" applyAlignment="1">
      <alignment horizontal="right" wrapText="1"/>
    </xf>
    <xf numFmtId="167" fontId="11" fillId="10" borderId="0" xfId="1" applyNumberFormat="1" applyFont="1" applyFill="1"/>
    <xf numFmtId="164" fontId="11" fillId="10" borderId="0" xfId="2" applyNumberFormat="1" applyFont="1" applyFill="1"/>
    <xf numFmtId="167" fontId="10" fillId="10" borderId="2" xfId="1" applyNumberFormat="1" applyFont="1" applyFill="1" applyBorder="1"/>
    <xf numFmtId="167" fontId="11" fillId="10" borderId="0" xfId="1" applyNumberFormat="1" applyFont="1" applyFill="1" applyBorder="1"/>
    <xf numFmtId="9" fontId="11" fillId="10" borderId="0" xfId="5" applyFont="1" applyFill="1"/>
    <xf numFmtId="167" fontId="12" fillId="10" borderId="0" xfId="1" applyNumberFormat="1" applyFont="1" applyFill="1"/>
  </cellXfs>
  <cellStyles count="7">
    <cellStyle name="Comma" xfId="1" builtinId="3"/>
    <cellStyle name="Comma 2" xfId="4"/>
    <cellStyle name="Normal" xfId="0" builtinId="0"/>
    <cellStyle name="Normal 2" xfId="2"/>
    <cellStyle name="Per cent 2" xfId="3"/>
    <cellStyle name="Percent" xfId="5" builtinId="5"/>
    <cellStyle name="Percent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876301</xdr:colOff>
      <xdr:row>13</xdr:row>
      <xdr:rowOff>0</xdr:rowOff>
    </xdr:from>
    <xdr:to>
      <xdr:col>10</xdr:col>
      <xdr:colOff>1095375</xdr:colOff>
      <xdr:row>14</xdr:row>
      <xdr:rowOff>19050</xdr:rowOff>
    </xdr:to>
    <xdr:sp macro="" textlink="">
      <xdr:nvSpPr>
        <xdr:cNvPr id="2" name="Rectangle 1"/>
        <xdr:cNvSpPr/>
      </xdr:nvSpPr>
      <xdr:spPr>
        <a:xfrm>
          <a:off x="8362951" y="3219450"/>
          <a:ext cx="4638674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Growth</a:t>
          </a:r>
        </a:p>
      </xdr:txBody>
    </xdr:sp>
    <xdr:clientData/>
  </xdr:twoCellAnchor>
  <xdr:twoCellAnchor>
    <xdr:from>
      <xdr:col>4</xdr:col>
      <xdr:colOff>533400</xdr:colOff>
      <xdr:row>13</xdr:row>
      <xdr:rowOff>66674</xdr:rowOff>
    </xdr:from>
    <xdr:to>
      <xdr:col>4</xdr:col>
      <xdr:colOff>790575</xdr:colOff>
      <xdr:row>20</xdr:row>
      <xdr:rowOff>219073</xdr:rowOff>
    </xdr:to>
    <xdr:sp macro="" textlink="">
      <xdr:nvSpPr>
        <xdr:cNvPr id="3" name="Rectangle 2"/>
        <xdr:cNvSpPr/>
      </xdr:nvSpPr>
      <xdr:spPr>
        <a:xfrm rot="16200000">
          <a:off x="5548313" y="4043361"/>
          <a:ext cx="1771649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WACC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:B11"/>
  <sheetViews>
    <sheetView workbookViewId="0"/>
  </sheetViews>
  <sheetFormatPr defaultColWidth="9.125" defaultRowHeight="12" x14ac:dyDescent="0.2"/>
  <cols>
    <col min="1" max="1" width="2" style="2" customWidth="1"/>
    <col min="2" max="16384" width="9.125" style="2"/>
  </cols>
  <sheetData>
    <row r="1" spans="2:2" ht="15.75" x14ac:dyDescent="0.25">
      <c r="B1" s="1"/>
    </row>
    <row r="11" spans="2:2" ht="50.25" x14ac:dyDescent="0.7">
      <c r="B11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3"/>
  <sheetViews>
    <sheetView zoomScale="90" zoomScaleNormal="90" workbookViewId="0">
      <pane ySplit="6" topLeftCell="A34" activePane="bottomLeft" state="frozen"/>
      <selection pane="bottomLeft" activeCell="C5" sqref="C5"/>
    </sheetView>
  </sheetViews>
  <sheetFormatPr defaultColWidth="9.125" defaultRowHeight="18" x14ac:dyDescent="0.25"/>
  <cols>
    <col min="1" max="1" width="2" style="36" customWidth="1"/>
    <col min="2" max="2" width="42.375" style="36" customWidth="1"/>
    <col min="3" max="3" width="14.125" style="36" customWidth="1"/>
    <col min="4" max="9" width="12.875" style="36" customWidth="1"/>
    <col min="10" max="10" width="12.625" style="36" customWidth="1"/>
    <col min="11" max="13" width="12.875" style="36" customWidth="1"/>
    <col min="14" max="14" width="9.125" style="36"/>
    <col min="15" max="15" width="22.125" style="36" bestFit="1" customWidth="1"/>
    <col min="16" max="16384" width="9.125" style="36"/>
  </cols>
  <sheetData>
    <row r="1" spans="2:13" ht="18.75" x14ac:dyDescent="0.3">
      <c r="B1" s="35" t="s">
        <v>0</v>
      </c>
      <c r="C1" s="35"/>
      <c r="H1" s="47" t="s">
        <v>101</v>
      </c>
      <c r="I1" s="47"/>
    </row>
    <row r="2" spans="2:13" ht="18.75" x14ac:dyDescent="0.3">
      <c r="B2" s="35"/>
      <c r="C2" s="35"/>
      <c r="H2" s="47" t="s">
        <v>102</v>
      </c>
      <c r="I2" s="47" t="s">
        <v>103</v>
      </c>
      <c r="J2" s="48" t="s">
        <v>108</v>
      </c>
    </row>
    <row r="3" spans="2:13" ht="18.75" x14ac:dyDescent="0.3">
      <c r="B3" s="35"/>
      <c r="C3" s="35"/>
      <c r="H3" s="47" t="s">
        <v>104</v>
      </c>
      <c r="I3" s="47" t="s">
        <v>105</v>
      </c>
      <c r="J3" s="48" t="s">
        <v>109</v>
      </c>
    </row>
    <row r="4" spans="2:13" ht="18.75" x14ac:dyDescent="0.3">
      <c r="B4" s="106" t="s">
        <v>151</v>
      </c>
      <c r="C4" s="107">
        <v>1</v>
      </c>
      <c r="H4" s="47" t="s">
        <v>106</v>
      </c>
      <c r="I4" s="47" t="s">
        <v>107</v>
      </c>
      <c r="J4" s="48" t="s">
        <v>110</v>
      </c>
    </row>
    <row r="6" spans="2:13" ht="36.75" thickBot="1" x14ac:dyDescent="0.3">
      <c r="B6" s="37" t="s">
        <v>94</v>
      </c>
      <c r="C6" s="38" t="s">
        <v>100</v>
      </c>
      <c r="D6" s="38" t="s">
        <v>91</v>
      </c>
      <c r="E6" s="38" t="s">
        <v>1</v>
      </c>
      <c r="F6" s="38" t="s">
        <v>2</v>
      </c>
      <c r="G6" s="38" t="s">
        <v>3</v>
      </c>
      <c r="H6" s="38" t="s">
        <v>92</v>
      </c>
      <c r="I6" s="110" t="s">
        <v>4</v>
      </c>
      <c r="J6" s="110" t="s">
        <v>5</v>
      </c>
      <c r="K6" s="110" t="s">
        <v>6</v>
      </c>
      <c r="L6" s="110" t="s">
        <v>7</v>
      </c>
      <c r="M6" s="110" t="s">
        <v>93</v>
      </c>
    </row>
    <row r="7" spans="2:13" x14ac:dyDescent="0.25">
      <c r="B7" s="36" t="s">
        <v>149</v>
      </c>
      <c r="C7" s="40">
        <f>'P&amp;L Source'!C5</f>
        <v>27005.26</v>
      </c>
      <c r="D7" s="40">
        <f>'P&amp;L Source'!D5</f>
        <v>29020.98</v>
      </c>
      <c r="E7" s="40">
        <f>'P&amp;L Source'!E5</f>
        <v>30715.33</v>
      </c>
      <c r="F7" s="40">
        <f>'P&amp;L Source'!F5</f>
        <v>30983.66</v>
      </c>
      <c r="G7" s="40">
        <f>'P&amp;L Source'!G5</f>
        <v>33100.94</v>
      </c>
      <c r="H7" s="40">
        <f>'P&amp;L Source'!H5</f>
        <v>33972.230000000003</v>
      </c>
      <c r="I7" s="112">
        <f>H7*(1+I8)</f>
        <v>36350.286100000005</v>
      </c>
      <c r="J7" s="112">
        <f t="shared" ref="J7:M7" si="0">I7*(1+J8)</f>
        <v>38894.806127000011</v>
      </c>
      <c r="K7" s="112">
        <f t="shared" si="0"/>
        <v>41617.442555890011</v>
      </c>
      <c r="L7" s="112">
        <f t="shared" si="0"/>
        <v>44530.663534802312</v>
      </c>
      <c r="M7" s="112">
        <f t="shared" si="0"/>
        <v>47647.809982238476</v>
      </c>
    </row>
    <row r="8" spans="2:13" x14ac:dyDescent="0.25">
      <c r="B8" s="36" t="s">
        <v>150</v>
      </c>
      <c r="D8" s="104">
        <f>D7/C7-1</f>
        <v>7.4641754976623176E-2</v>
      </c>
      <c r="E8" s="104">
        <f t="shared" ref="E8:H8" si="1">E7/D7-1</f>
        <v>5.838362453645618E-2</v>
      </c>
      <c r="F8" s="104">
        <f t="shared" si="1"/>
        <v>8.7360285564244133E-3</v>
      </c>
      <c r="G8" s="104">
        <f t="shared" si="1"/>
        <v>6.8335374194010701E-2</v>
      </c>
      <c r="H8" s="104">
        <f t="shared" si="1"/>
        <v>2.6322213206029899E-2</v>
      </c>
      <c r="I8" s="113">
        <f>CHOOSE($C$4,I10,I11,I12)</f>
        <v>7.0000000000000007E-2</v>
      </c>
      <c r="J8" s="113">
        <f t="shared" ref="J8:M8" si="2">CHOOSE($C$4,J10,J11,J12)</f>
        <v>7.0000000000000007E-2</v>
      </c>
      <c r="K8" s="113">
        <f t="shared" si="2"/>
        <v>7.0000000000000007E-2</v>
      </c>
      <c r="L8" s="113">
        <f t="shared" si="2"/>
        <v>7.0000000000000007E-2</v>
      </c>
      <c r="M8" s="113">
        <f t="shared" si="2"/>
        <v>7.0000000000000007E-2</v>
      </c>
    </row>
    <row r="9" spans="2:13" x14ac:dyDescent="0.25">
      <c r="I9" s="112"/>
      <c r="J9" s="112"/>
      <c r="K9" s="112"/>
      <c r="L9" s="112"/>
      <c r="M9" s="112"/>
    </row>
    <row r="10" spans="2:13" x14ac:dyDescent="0.25">
      <c r="B10" s="36" t="s">
        <v>102</v>
      </c>
      <c r="C10" s="105"/>
      <c r="D10" s="105"/>
      <c r="E10" s="105"/>
      <c r="F10" s="105"/>
      <c r="G10" s="105"/>
      <c r="H10" s="105"/>
      <c r="I10" s="113">
        <v>7.0000000000000007E-2</v>
      </c>
      <c r="J10" s="113">
        <v>7.0000000000000007E-2</v>
      </c>
      <c r="K10" s="113">
        <v>7.0000000000000007E-2</v>
      </c>
      <c r="L10" s="113">
        <v>7.0000000000000007E-2</v>
      </c>
      <c r="M10" s="113">
        <v>7.0000000000000007E-2</v>
      </c>
    </row>
    <row r="11" spans="2:13" x14ac:dyDescent="0.25">
      <c r="B11" s="36" t="s">
        <v>104</v>
      </c>
      <c r="C11" s="105"/>
      <c r="D11" s="105"/>
      <c r="E11" s="105"/>
      <c r="F11" s="105"/>
      <c r="G11" s="105"/>
      <c r="H11" s="105"/>
      <c r="I11" s="113">
        <v>0.05</v>
      </c>
      <c r="J11" s="113">
        <v>0.05</v>
      </c>
      <c r="K11" s="113">
        <v>0.05</v>
      </c>
      <c r="L11" s="113">
        <v>0.05</v>
      </c>
      <c r="M11" s="113">
        <v>0.05</v>
      </c>
    </row>
    <row r="12" spans="2:13" x14ac:dyDescent="0.25">
      <c r="B12" s="36" t="s">
        <v>106</v>
      </c>
      <c r="C12" s="105"/>
      <c r="D12" s="105"/>
      <c r="E12" s="105"/>
      <c r="F12" s="105"/>
      <c r="G12" s="105"/>
      <c r="H12" s="105"/>
      <c r="I12" s="113">
        <v>0.03</v>
      </c>
      <c r="J12" s="113">
        <v>0.03</v>
      </c>
      <c r="K12" s="113">
        <v>0.03</v>
      </c>
      <c r="L12" s="113">
        <v>0.03</v>
      </c>
      <c r="M12" s="113">
        <v>0.03</v>
      </c>
    </row>
    <row r="13" spans="2:13" x14ac:dyDescent="0.25">
      <c r="I13" s="112"/>
      <c r="J13" s="112"/>
      <c r="K13" s="112"/>
      <c r="L13" s="112"/>
      <c r="M13" s="112"/>
    </row>
    <row r="14" spans="2:13" x14ac:dyDescent="0.25">
      <c r="B14" s="36" t="s">
        <v>152</v>
      </c>
      <c r="C14" s="36">
        <f>'P&amp;L Source'!C7</f>
        <v>-18229.89</v>
      </c>
      <c r="D14" s="36">
        <f>'P&amp;L Source'!D7</f>
        <v>-19715.300000000003</v>
      </c>
      <c r="E14" s="36">
        <f>'P&amp;L Source'!E7</f>
        <v>-19308.099999999999</v>
      </c>
      <c r="F14" s="36">
        <f>'P&amp;L Source'!F7</f>
        <v>-19116.080000000002</v>
      </c>
      <c r="G14" s="36">
        <f>'P&amp;L Source'!G7</f>
        <v>-21885.82</v>
      </c>
      <c r="H14" s="36">
        <f>'P&amp;L Source'!H7</f>
        <v>-23444.42</v>
      </c>
      <c r="I14" s="112">
        <f>I15*I7</f>
        <v>22537.177382000002</v>
      </c>
      <c r="J14" s="112">
        <f t="shared" ref="J14:M14" si="3">J15*J7</f>
        <v>24114.779798740008</v>
      </c>
      <c r="K14" s="112">
        <f t="shared" si="3"/>
        <v>25802.814384651807</v>
      </c>
      <c r="L14" s="112">
        <f t="shared" si="3"/>
        <v>27609.011391577435</v>
      </c>
      <c r="M14" s="112">
        <f t="shared" si="3"/>
        <v>29541.642188987855</v>
      </c>
    </row>
    <row r="15" spans="2:13" x14ac:dyDescent="0.25">
      <c r="B15" s="36" t="s">
        <v>153</v>
      </c>
      <c r="C15" s="49">
        <f>-C14/C7</f>
        <v>0.67504960144801418</v>
      </c>
      <c r="D15" s="49">
        <f t="shared" ref="D15:H15" si="4">-D14/D7</f>
        <v>0.67934645900999913</v>
      </c>
      <c r="E15" s="49">
        <f t="shared" si="4"/>
        <v>0.6286144410624922</v>
      </c>
      <c r="F15" s="49">
        <f t="shared" si="4"/>
        <v>0.61697294638528832</v>
      </c>
      <c r="G15" s="49">
        <f t="shared" si="4"/>
        <v>0.66118424431451184</v>
      </c>
      <c r="H15" s="49">
        <f t="shared" si="4"/>
        <v>0.6901054184550145</v>
      </c>
      <c r="I15" s="113">
        <f>CHOOSE($C$4,I17,I18,I19)</f>
        <v>0.62</v>
      </c>
      <c r="J15" s="113">
        <f t="shared" ref="J15:M15" si="5">CHOOSE($C$4,J17,J18,J19)</f>
        <v>0.62</v>
      </c>
      <c r="K15" s="113">
        <f t="shared" si="5"/>
        <v>0.62</v>
      </c>
      <c r="L15" s="113">
        <f t="shared" si="5"/>
        <v>0.62</v>
      </c>
      <c r="M15" s="113">
        <f t="shared" si="5"/>
        <v>0.62</v>
      </c>
    </row>
    <row r="16" spans="2:13" x14ac:dyDescent="0.25">
      <c r="I16" s="112"/>
      <c r="J16" s="112"/>
      <c r="K16" s="112"/>
      <c r="L16" s="112"/>
      <c r="M16" s="112"/>
    </row>
    <row r="17" spans="2:13" x14ac:dyDescent="0.25">
      <c r="B17" s="36" t="s">
        <v>102</v>
      </c>
      <c r="C17" s="105"/>
      <c r="D17" s="105"/>
      <c r="E17" s="105"/>
      <c r="F17" s="105"/>
      <c r="G17" s="105"/>
      <c r="H17" s="105"/>
      <c r="I17" s="113">
        <v>0.62</v>
      </c>
      <c r="J17" s="113">
        <v>0.62</v>
      </c>
      <c r="K17" s="113">
        <v>0.62</v>
      </c>
      <c r="L17" s="113">
        <v>0.62</v>
      </c>
      <c r="M17" s="113">
        <v>0.62</v>
      </c>
    </row>
    <row r="18" spans="2:13" x14ac:dyDescent="0.25">
      <c r="B18" s="36" t="s">
        <v>104</v>
      </c>
      <c r="C18" s="105"/>
      <c r="D18" s="105"/>
      <c r="E18" s="105"/>
      <c r="F18" s="105"/>
      <c r="G18" s="105"/>
      <c r="H18" s="105"/>
      <c r="I18" s="113">
        <v>0.66</v>
      </c>
      <c r="J18" s="113">
        <v>0.66</v>
      </c>
      <c r="K18" s="113">
        <v>0.66</v>
      </c>
      <c r="L18" s="113">
        <v>0.66</v>
      </c>
      <c r="M18" s="113">
        <v>0.66</v>
      </c>
    </row>
    <row r="19" spans="2:13" x14ac:dyDescent="0.25">
      <c r="B19" s="36" t="s">
        <v>106</v>
      </c>
      <c r="C19" s="105"/>
      <c r="D19" s="105"/>
      <c r="E19" s="105"/>
      <c r="F19" s="105"/>
      <c r="G19" s="105"/>
      <c r="H19" s="105"/>
      <c r="I19" s="113">
        <v>0.69</v>
      </c>
      <c r="J19" s="113">
        <v>0.69</v>
      </c>
      <c r="K19" s="113">
        <v>0.69</v>
      </c>
      <c r="L19" s="113">
        <v>0.69</v>
      </c>
      <c r="M19" s="113">
        <v>0.69</v>
      </c>
    </row>
    <row r="20" spans="2:13" x14ac:dyDescent="0.25">
      <c r="I20" s="112"/>
      <c r="J20" s="112"/>
      <c r="K20" s="112"/>
      <c r="L20" s="112"/>
      <c r="M20" s="112"/>
    </row>
    <row r="21" spans="2:13" x14ac:dyDescent="0.25">
      <c r="B21" s="36" t="s">
        <v>154</v>
      </c>
      <c r="C21" s="36">
        <f>'P&amp;L Source'!C8</f>
        <v>-1880.35</v>
      </c>
      <c r="D21" s="36">
        <f>'P&amp;L Source'!D8</f>
        <v>-1717.65</v>
      </c>
      <c r="E21" s="36">
        <f>'P&amp;L Source'!E8</f>
        <v>-2258.21</v>
      </c>
      <c r="F21" s="36">
        <f>'P&amp;L Source'!F8</f>
        <v>-2373.23</v>
      </c>
      <c r="G21" s="36">
        <f>'P&amp;L Source'!G8</f>
        <v>-642.57000000000005</v>
      </c>
      <c r="H21" s="36">
        <f>'P&amp;L Source'!H8</f>
        <v>-1.41</v>
      </c>
      <c r="I21" s="112">
        <f>I22*I7</f>
        <v>0</v>
      </c>
      <c r="J21" s="112">
        <f t="shared" ref="J21:M21" si="6">J22*J7</f>
        <v>0</v>
      </c>
      <c r="K21" s="112">
        <f t="shared" si="6"/>
        <v>0</v>
      </c>
      <c r="L21" s="112">
        <f t="shared" si="6"/>
        <v>0</v>
      </c>
      <c r="M21" s="112">
        <f t="shared" si="6"/>
        <v>0</v>
      </c>
    </row>
    <row r="22" spans="2:13" x14ac:dyDescent="0.25">
      <c r="B22" s="36" t="s">
        <v>153</v>
      </c>
      <c r="C22" s="49">
        <f>-C21/C7</f>
        <v>6.962902782643085E-2</v>
      </c>
      <c r="D22" s="49">
        <f t="shared" ref="D22:H22" si="7">-D21/D7</f>
        <v>5.9186491979250876E-2</v>
      </c>
      <c r="E22" s="49">
        <f t="shared" si="7"/>
        <v>7.3520616578106116E-2</v>
      </c>
      <c r="F22" s="49">
        <f t="shared" si="7"/>
        <v>7.6596180051033358E-2</v>
      </c>
      <c r="G22" s="49">
        <f t="shared" si="7"/>
        <v>1.9412439646729066E-2</v>
      </c>
      <c r="H22" s="49">
        <f t="shared" si="7"/>
        <v>4.1504487635930869E-5</v>
      </c>
      <c r="I22" s="113">
        <f>CHOOSE($C$4,I24,I25,I26)</f>
        <v>0</v>
      </c>
      <c r="J22" s="113">
        <f t="shared" ref="J22:M22" si="8">CHOOSE($C$4,J24,J25,J26)</f>
        <v>0</v>
      </c>
      <c r="K22" s="113">
        <f t="shared" si="8"/>
        <v>0</v>
      </c>
      <c r="L22" s="113">
        <f t="shared" si="8"/>
        <v>0</v>
      </c>
      <c r="M22" s="113">
        <f t="shared" si="8"/>
        <v>0</v>
      </c>
    </row>
    <row r="23" spans="2:13" x14ac:dyDescent="0.25">
      <c r="I23" s="112"/>
      <c r="J23" s="112"/>
      <c r="K23" s="112"/>
      <c r="L23" s="112"/>
      <c r="M23" s="112"/>
    </row>
    <row r="24" spans="2:13" x14ac:dyDescent="0.25">
      <c r="B24" s="36" t="s">
        <v>102</v>
      </c>
      <c r="C24" s="105"/>
      <c r="D24" s="105"/>
      <c r="E24" s="105"/>
      <c r="F24" s="105"/>
      <c r="G24" s="105"/>
      <c r="H24" s="105"/>
      <c r="I24" s="113">
        <v>0</v>
      </c>
      <c r="J24" s="113">
        <v>0</v>
      </c>
      <c r="K24" s="113">
        <v>0</v>
      </c>
      <c r="L24" s="113">
        <v>0</v>
      </c>
      <c r="M24" s="113">
        <v>0</v>
      </c>
    </row>
    <row r="25" spans="2:13" x14ac:dyDescent="0.25">
      <c r="B25" s="36" t="s">
        <v>104</v>
      </c>
      <c r="C25" s="105"/>
      <c r="D25" s="105"/>
      <c r="E25" s="105"/>
      <c r="F25" s="105"/>
      <c r="G25" s="105"/>
      <c r="H25" s="105"/>
      <c r="I25" s="113">
        <v>0.06</v>
      </c>
      <c r="J25" s="113">
        <v>0.06</v>
      </c>
      <c r="K25" s="113">
        <v>0.06</v>
      </c>
      <c r="L25" s="113">
        <v>0.06</v>
      </c>
      <c r="M25" s="113">
        <v>0.06</v>
      </c>
    </row>
    <row r="26" spans="2:13" x14ac:dyDescent="0.25">
      <c r="B26" s="36" t="s">
        <v>106</v>
      </c>
      <c r="C26" s="105"/>
      <c r="D26" s="105"/>
      <c r="E26" s="105"/>
      <c r="F26" s="105"/>
      <c r="G26" s="105"/>
      <c r="H26" s="105"/>
      <c r="I26" s="113">
        <v>0.08</v>
      </c>
      <c r="J26" s="113">
        <v>0.08</v>
      </c>
      <c r="K26" s="113">
        <v>0.08</v>
      </c>
      <c r="L26" s="113">
        <v>0.08</v>
      </c>
      <c r="M26" s="113">
        <v>0.08</v>
      </c>
    </row>
    <row r="27" spans="2:13" x14ac:dyDescent="0.25">
      <c r="I27" s="112"/>
      <c r="J27" s="112"/>
      <c r="K27" s="112"/>
      <c r="L27" s="112"/>
      <c r="M27" s="112"/>
    </row>
    <row r="28" spans="2:13" x14ac:dyDescent="0.25">
      <c r="B28" s="36" t="s">
        <v>37</v>
      </c>
      <c r="C28" s="36">
        <f>'P&amp;L Source'!C9</f>
        <v>-930.35</v>
      </c>
      <c r="D28" s="36">
        <f>'P&amp;L Source'!D9</f>
        <v>-1178.72</v>
      </c>
      <c r="E28" s="36">
        <f>'P&amp;L Source'!E9</f>
        <v>-1339.46</v>
      </c>
      <c r="F28" s="36">
        <f>'P&amp;L Source'!F9</f>
        <v>-1432.49</v>
      </c>
      <c r="G28" s="36">
        <f>'P&amp;L Source'!G9</f>
        <v>-1583.71</v>
      </c>
      <c r="H28" s="36">
        <f>'P&amp;L Source'!H9</f>
        <v>-1778.03</v>
      </c>
      <c r="I28" s="112">
        <f>I29*I7</f>
        <v>1090.508583</v>
      </c>
      <c r="J28" s="112">
        <f t="shared" ref="J28:M28" si="9">J29*J7</f>
        <v>1166.8441838100002</v>
      </c>
      <c r="K28" s="112">
        <f t="shared" si="9"/>
        <v>1248.5232766767003</v>
      </c>
      <c r="L28" s="112">
        <f t="shared" si="9"/>
        <v>1335.9199060440694</v>
      </c>
      <c r="M28" s="112">
        <f t="shared" si="9"/>
        <v>1429.4342994671542</v>
      </c>
    </row>
    <row r="29" spans="2:13" x14ac:dyDescent="0.25">
      <c r="B29" s="36" t="s">
        <v>153</v>
      </c>
      <c r="C29" s="49">
        <f>-C28/C7</f>
        <v>3.4450695901465128E-2</v>
      </c>
      <c r="D29" s="49">
        <f t="shared" ref="D29:H29" si="10">-D28/D7</f>
        <v>4.0616133569576218E-2</v>
      </c>
      <c r="E29" s="49">
        <f t="shared" si="10"/>
        <v>4.3608842880737402E-2</v>
      </c>
      <c r="F29" s="49">
        <f t="shared" si="10"/>
        <v>4.6233724485745066E-2</v>
      </c>
      <c r="G29" s="49">
        <f t="shared" si="10"/>
        <v>4.7844864828612117E-2</v>
      </c>
      <c r="H29" s="49">
        <f t="shared" si="10"/>
        <v>5.2337747625045512E-2</v>
      </c>
      <c r="I29" s="113">
        <f>CHOOSE($C$4,I31,I32,I33)</f>
        <v>0.03</v>
      </c>
      <c r="J29" s="113">
        <f t="shared" ref="J29:M29" si="11">CHOOSE($C$4,J31,J32,J33)</f>
        <v>0.03</v>
      </c>
      <c r="K29" s="113">
        <f t="shared" si="11"/>
        <v>0.03</v>
      </c>
      <c r="L29" s="113">
        <f t="shared" si="11"/>
        <v>0.03</v>
      </c>
      <c r="M29" s="113">
        <f t="shared" si="11"/>
        <v>0.03</v>
      </c>
    </row>
    <row r="30" spans="2:13" x14ac:dyDescent="0.25">
      <c r="I30" s="112"/>
      <c r="J30" s="112"/>
      <c r="K30" s="112"/>
      <c r="L30" s="112"/>
      <c r="M30" s="112"/>
    </row>
    <row r="31" spans="2:13" x14ac:dyDescent="0.25">
      <c r="B31" s="36" t="s">
        <v>102</v>
      </c>
      <c r="C31" s="105"/>
      <c r="D31" s="105"/>
      <c r="E31" s="105"/>
      <c r="F31" s="105"/>
      <c r="G31" s="105"/>
      <c r="H31" s="105"/>
      <c r="I31" s="113">
        <f>3%</f>
        <v>0.03</v>
      </c>
      <c r="J31" s="113">
        <f>3%</f>
        <v>0.03</v>
      </c>
      <c r="K31" s="113">
        <f>3%</f>
        <v>0.03</v>
      </c>
      <c r="L31" s="113">
        <f>3%</f>
        <v>0.03</v>
      </c>
      <c r="M31" s="113">
        <f>3%</f>
        <v>0.03</v>
      </c>
    </row>
    <row r="32" spans="2:13" x14ac:dyDescent="0.25">
      <c r="B32" s="36" t="s">
        <v>104</v>
      </c>
      <c r="C32" s="105"/>
      <c r="D32" s="105"/>
      <c r="E32" s="105"/>
      <c r="F32" s="105"/>
      <c r="G32" s="105"/>
      <c r="H32" s="105"/>
      <c r="I32" s="113">
        <v>0.04</v>
      </c>
      <c r="J32" s="113">
        <v>0.04</v>
      </c>
      <c r="K32" s="113">
        <v>0.04</v>
      </c>
      <c r="L32" s="113">
        <v>0.04</v>
      </c>
      <c r="M32" s="113">
        <v>0.04</v>
      </c>
    </row>
    <row r="33" spans="2:13" x14ac:dyDescent="0.25">
      <c r="B33" s="36" t="s">
        <v>106</v>
      </c>
      <c r="C33" s="105"/>
      <c r="D33" s="105"/>
      <c r="E33" s="105"/>
      <c r="F33" s="105"/>
      <c r="G33" s="105"/>
      <c r="H33" s="105"/>
      <c r="I33" s="113">
        <v>0.05</v>
      </c>
      <c r="J33" s="113">
        <v>0.05</v>
      </c>
      <c r="K33" s="113">
        <v>0.05</v>
      </c>
      <c r="L33" s="113">
        <v>0.05</v>
      </c>
      <c r="M33" s="113">
        <v>0.05</v>
      </c>
    </row>
    <row r="34" spans="2:13" x14ac:dyDescent="0.25">
      <c r="I34" s="112"/>
      <c r="J34" s="112"/>
      <c r="K34" s="112"/>
      <c r="L34" s="112"/>
      <c r="M34" s="112"/>
    </row>
    <row r="35" spans="2:13" x14ac:dyDescent="0.25">
      <c r="B35" s="36" t="s">
        <v>38</v>
      </c>
      <c r="C35" s="36">
        <f>'P&amp;L Source'!C10</f>
        <v>-2425.5700000000002</v>
      </c>
      <c r="D35" s="36">
        <f>'P&amp;L Source'!D10</f>
        <v>-2912.5800000000004</v>
      </c>
      <c r="E35" s="36">
        <f>'P&amp;L Source'!E10</f>
        <v>-3411.86</v>
      </c>
      <c r="F35" s="36">
        <f>'P&amp;L Source'!F10</f>
        <v>-3485.89</v>
      </c>
      <c r="G35" s="36">
        <f>'P&amp;L Source'!G10</f>
        <v>-3663.79</v>
      </c>
      <c r="H35" s="36">
        <f>'P&amp;L Source'!H10</f>
        <v>-3729.94</v>
      </c>
      <c r="I35" s="112">
        <f>I36*I7</f>
        <v>3271.5257490000004</v>
      </c>
      <c r="J35" s="112">
        <f t="shared" ref="J35:M35" si="12">J36*J7</f>
        <v>3500.5325514300007</v>
      </c>
      <c r="K35" s="112">
        <f t="shared" si="12"/>
        <v>3745.569830030101</v>
      </c>
      <c r="L35" s="112">
        <f t="shared" si="12"/>
        <v>4007.759718132208</v>
      </c>
      <c r="M35" s="112">
        <f t="shared" si="12"/>
        <v>4288.3028984014627</v>
      </c>
    </row>
    <row r="36" spans="2:13" x14ac:dyDescent="0.25">
      <c r="B36" s="36" t="s">
        <v>153</v>
      </c>
      <c r="C36" s="49">
        <f>-C35/C7</f>
        <v>8.9818427965514883E-2</v>
      </c>
      <c r="D36" s="49">
        <f t="shared" ref="D36:H36" si="13">-D35/D7</f>
        <v>0.10036118697576719</v>
      </c>
      <c r="E36" s="49">
        <f t="shared" si="13"/>
        <v>0.11108003723222247</v>
      </c>
      <c r="F36" s="49">
        <f t="shared" si="13"/>
        <v>0.11250736678623506</v>
      </c>
      <c r="G36" s="49">
        <f t="shared" si="13"/>
        <v>0.11068537630653388</v>
      </c>
      <c r="H36" s="49">
        <f t="shared" si="13"/>
        <v>0.10979379334238581</v>
      </c>
      <c r="I36" s="113">
        <f>CHOOSE($C$4,I38,I39,I40)</f>
        <v>0.09</v>
      </c>
      <c r="J36" s="113">
        <f t="shared" ref="J36:M36" si="14">CHOOSE($C$4,J38,J39,J40)</f>
        <v>0.09</v>
      </c>
      <c r="K36" s="113">
        <f t="shared" si="14"/>
        <v>0.09</v>
      </c>
      <c r="L36" s="113">
        <f t="shared" si="14"/>
        <v>0.09</v>
      </c>
      <c r="M36" s="113">
        <f t="shared" si="14"/>
        <v>0.09</v>
      </c>
    </row>
    <row r="37" spans="2:13" x14ac:dyDescent="0.25">
      <c r="I37" s="112"/>
      <c r="J37" s="112"/>
      <c r="K37" s="112"/>
      <c r="L37" s="112"/>
      <c r="M37" s="112"/>
    </row>
    <row r="38" spans="2:13" x14ac:dyDescent="0.25">
      <c r="B38" s="36" t="s">
        <v>102</v>
      </c>
      <c r="C38" s="105"/>
      <c r="D38" s="105"/>
      <c r="E38" s="105"/>
      <c r="F38" s="105"/>
      <c r="G38" s="105"/>
      <c r="H38" s="105"/>
      <c r="I38" s="113">
        <v>0.09</v>
      </c>
      <c r="J38" s="113">
        <v>0.09</v>
      </c>
      <c r="K38" s="113">
        <v>0.09</v>
      </c>
      <c r="L38" s="113">
        <v>0.09</v>
      </c>
      <c r="M38" s="113">
        <v>0.09</v>
      </c>
    </row>
    <row r="39" spans="2:13" x14ac:dyDescent="0.25">
      <c r="B39" s="36" t="s">
        <v>104</v>
      </c>
      <c r="C39" s="105"/>
      <c r="D39" s="105"/>
      <c r="E39" s="105"/>
      <c r="F39" s="105"/>
      <c r="G39" s="105"/>
      <c r="H39" s="105"/>
      <c r="I39" s="113">
        <v>0.11</v>
      </c>
      <c r="J39" s="113">
        <v>0.11</v>
      </c>
      <c r="K39" s="113">
        <v>0.11</v>
      </c>
      <c r="L39" s="113">
        <v>0.11</v>
      </c>
      <c r="M39" s="113">
        <v>0.11</v>
      </c>
    </row>
    <row r="40" spans="2:13" x14ac:dyDescent="0.25">
      <c r="B40" s="36" t="s">
        <v>106</v>
      </c>
      <c r="C40" s="105"/>
      <c r="D40" s="105"/>
      <c r="E40" s="105"/>
      <c r="F40" s="105"/>
      <c r="G40" s="105"/>
      <c r="H40" s="105"/>
      <c r="I40" s="113">
        <v>0.11</v>
      </c>
      <c r="J40" s="113">
        <v>0.11</v>
      </c>
      <c r="K40" s="113">
        <v>0.11</v>
      </c>
      <c r="L40" s="113">
        <v>0.11</v>
      </c>
      <c r="M40" s="113">
        <v>0.11</v>
      </c>
    </row>
    <row r="41" spans="2:13" x14ac:dyDescent="0.25">
      <c r="I41" s="112"/>
      <c r="J41" s="112"/>
      <c r="K41" s="112"/>
      <c r="L41" s="112"/>
      <c r="M41" s="112"/>
    </row>
    <row r="42" spans="2:13" x14ac:dyDescent="0.25">
      <c r="B42" s="108" t="s">
        <v>40</v>
      </c>
      <c r="C42" s="36">
        <f>'P&amp;L Source'!C13</f>
        <v>-1107.3699999999999</v>
      </c>
      <c r="D42" s="36">
        <f>'P&amp;L Source'!D13</f>
        <v>-540.45000000000005</v>
      </c>
      <c r="E42" s="36">
        <f>'P&amp;L Source'!E13</f>
        <v>-443.25</v>
      </c>
      <c r="F42" s="36">
        <f>'P&amp;L Source'!F13</f>
        <v>-502.25</v>
      </c>
      <c r="G42" s="36">
        <f>'P&amp;L Source'!G13</f>
        <v>-574.98</v>
      </c>
      <c r="H42" s="36">
        <f>'P&amp;L Source'!H13</f>
        <v>-624.44000000000005</v>
      </c>
      <c r="I42" s="112">
        <f>-I43*I7</f>
        <v>-363.50286100000005</v>
      </c>
      <c r="J42" s="112">
        <f t="shared" ref="J42:M42" si="15">-J43*J7</f>
        <v>-388.9480612700001</v>
      </c>
      <c r="K42" s="112">
        <f t="shared" si="15"/>
        <v>-416.17442555890011</v>
      </c>
      <c r="L42" s="112">
        <f t="shared" si="15"/>
        <v>-445.30663534802312</v>
      </c>
      <c r="M42" s="112">
        <f t="shared" si="15"/>
        <v>-476.47809982238476</v>
      </c>
    </row>
    <row r="43" spans="2:13" x14ac:dyDescent="0.25">
      <c r="B43" s="36" t="s">
        <v>153</v>
      </c>
      <c r="C43" s="49">
        <f>-C42/C7</f>
        <v>4.1005715182893997E-2</v>
      </c>
      <c r="D43" s="49">
        <f t="shared" ref="D43:H43" si="16">-D42/D7</f>
        <v>1.8622734311522216E-2</v>
      </c>
      <c r="E43" s="49">
        <f t="shared" si="16"/>
        <v>1.4430904698077474E-2</v>
      </c>
      <c r="F43" s="49">
        <f t="shared" si="16"/>
        <v>1.6210157224808175E-2</v>
      </c>
      <c r="G43" s="49">
        <f t="shared" si="16"/>
        <v>1.7370503677539065E-2</v>
      </c>
      <c r="H43" s="49">
        <f t="shared" si="16"/>
        <v>1.8380895219418918E-2</v>
      </c>
      <c r="I43" s="113">
        <f>CHOOSE($C$4,I45,I46,I47)</f>
        <v>0.01</v>
      </c>
      <c r="J43" s="113">
        <f t="shared" ref="J43:M43" si="17">CHOOSE($C$4,J45,J46,J47)</f>
        <v>0.01</v>
      </c>
      <c r="K43" s="113">
        <f t="shared" si="17"/>
        <v>0.01</v>
      </c>
      <c r="L43" s="113">
        <f t="shared" si="17"/>
        <v>0.01</v>
      </c>
      <c r="M43" s="113">
        <f t="shared" si="17"/>
        <v>0.01</v>
      </c>
    </row>
    <row r="44" spans="2:13" x14ac:dyDescent="0.25">
      <c r="I44" s="112"/>
      <c r="J44" s="112"/>
      <c r="K44" s="112"/>
      <c r="L44" s="112"/>
      <c r="M44" s="112"/>
    </row>
    <row r="45" spans="2:13" x14ac:dyDescent="0.25">
      <c r="B45" s="36" t="s">
        <v>102</v>
      </c>
      <c r="C45" s="105"/>
      <c r="D45" s="105"/>
      <c r="E45" s="105"/>
      <c r="F45" s="105"/>
      <c r="G45" s="105"/>
      <c r="H45" s="105"/>
      <c r="I45" s="113">
        <v>0.01</v>
      </c>
      <c r="J45" s="113">
        <v>0.01</v>
      </c>
      <c r="K45" s="113">
        <v>0.01</v>
      </c>
      <c r="L45" s="113">
        <v>0.01</v>
      </c>
      <c r="M45" s="113">
        <v>0.01</v>
      </c>
    </row>
    <row r="46" spans="2:13" x14ac:dyDescent="0.25">
      <c r="B46" s="36" t="s">
        <v>104</v>
      </c>
      <c r="C46" s="105"/>
      <c r="D46" s="105"/>
      <c r="E46" s="105"/>
      <c r="F46" s="105"/>
      <c r="G46" s="105"/>
      <c r="H46" s="105"/>
      <c r="I46" s="113">
        <v>0.02</v>
      </c>
      <c r="J46" s="113">
        <v>0.02</v>
      </c>
      <c r="K46" s="113">
        <v>0.02</v>
      </c>
      <c r="L46" s="113">
        <v>0.02</v>
      </c>
      <c r="M46" s="113">
        <v>0.02</v>
      </c>
    </row>
    <row r="47" spans="2:13" x14ac:dyDescent="0.25">
      <c r="B47" s="36" t="s">
        <v>106</v>
      </c>
      <c r="C47" s="105"/>
      <c r="D47" s="105"/>
      <c r="E47" s="105"/>
      <c r="F47" s="105"/>
      <c r="G47" s="105"/>
      <c r="H47" s="105"/>
      <c r="I47" s="113">
        <v>0.04</v>
      </c>
      <c r="J47" s="113">
        <v>0.04</v>
      </c>
      <c r="K47" s="113">
        <v>0.04</v>
      </c>
      <c r="L47" s="113">
        <v>0.04</v>
      </c>
      <c r="M47" s="113">
        <v>0.04</v>
      </c>
    </row>
    <row r="48" spans="2:13" x14ac:dyDescent="0.25">
      <c r="I48" s="112"/>
      <c r="J48" s="112"/>
      <c r="K48" s="112"/>
      <c r="L48" s="112"/>
      <c r="M48" s="112"/>
    </row>
    <row r="49" spans="2:13" x14ac:dyDescent="0.25">
      <c r="B49" s="36" t="s">
        <v>155</v>
      </c>
      <c r="C49" s="104">
        <v>0.34</v>
      </c>
      <c r="D49" s="104">
        <v>0.34599999999999997</v>
      </c>
      <c r="E49" s="104">
        <v>0.34599999999999997</v>
      </c>
      <c r="F49" s="104">
        <v>0.34599999999999997</v>
      </c>
      <c r="G49" s="104">
        <v>0.35</v>
      </c>
      <c r="H49" s="104">
        <v>0.35</v>
      </c>
      <c r="I49" s="113">
        <f>CHOOSE($C$4,I51,I52,I53)</f>
        <v>0.3</v>
      </c>
      <c r="J49" s="113">
        <f t="shared" ref="J49:M49" si="18">CHOOSE($C$4,J51,J52,J53)</f>
        <v>0.3</v>
      </c>
      <c r="K49" s="113">
        <f t="shared" si="18"/>
        <v>0.3</v>
      </c>
      <c r="L49" s="113">
        <f t="shared" si="18"/>
        <v>0.3</v>
      </c>
      <c r="M49" s="113">
        <f t="shared" si="18"/>
        <v>0.3</v>
      </c>
    </row>
    <row r="50" spans="2:13" x14ac:dyDescent="0.25">
      <c r="I50" s="112"/>
      <c r="J50" s="112"/>
      <c r="K50" s="112"/>
      <c r="L50" s="112"/>
      <c r="M50" s="112"/>
    </row>
    <row r="51" spans="2:13" x14ac:dyDescent="0.25">
      <c r="B51" s="36" t="s">
        <v>102</v>
      </c>
      <c r="C51" s="105"/>
      <c r="D51" s="105"/>
      <c r="E51" s="105"/>
      <c r="F51" s="105"/>
      <c r="G51" s="105"/>
      <c r="H51" s="105"/>
      <c r="I51" s="113">
        <v>0.3</v>
      </c>
      <c r="J51" s="113">
        <v>0.3</v>
      </c>
      <c r="K51" s="113">
        <v>0.3</v>
      </c>
      <c r="L51" s="113">
        <v>0.3</v>
      </c>
      <c r="M51" s="113">
        <v>0.3</v>
      </c>
    </row>
    <row r="52" spans="2:13" x14ac:dyDescent="0.25">
      <c r="B52" s="36" t="s">
        <v>104</v>
      </c>
      <c r="C52" s="105"/>
      <c r="D52" s="105"/>
      <c r="E52" s="105"/>
      <c r="F52" s="105"/>
      <c r="G52" s="105"/>
      <c r="H52" s="105"/>
      <c r="I52" s="113">
        <v>0.35</v>
      </c>
      <c r="J52" s="113">
        <v>0.35</v>
      </c>
      <c r="K52" s="113">
        <v>0.35</v>
      </c>
      <c r="L52" s="113">
        <v>0.35</v>
      </c>
      <c r="M52" s="113">
        <v>0.35</v>
      </c>
    </row>
    <row r="53" spans="2:13" x14ac:dyDescent="0.25">
      <c r="B53" s="36" t="s">
        <v>106</v>
      </c>
      <c r="C53" s="105"/>
      <c r="D53" s="105"/>
      <c r="E53" s="105"/>
      <c r="F53" s="105"/>
      <c r="G53" s="105"/>
      <c r="H53" s="105"/>
      <c r="I53" s="113">
        <v>0.35</v>
      </c>
      <c r="J53" s="113">
        <v>0.35</v>
      </c>
      <c r="K53" s="113">
        <v>0.35</v>
      </c>
      <c r="L53" s="113">
        <v>0.35</v>
      </c>
      <c r="M53" s="113">
        <v>0.35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7"/>
  <sheetViews>
    <sheetView showGridLines="0" topLeftCell="A2" zoomScaleNormal="100" workbookViewId="0">
      <selection activeCell="I11" sqref="I11"/>
    </sheetView>
  </sheetViews>
  <sheetFormatPr defaultColWidth="9.125" defaultRowHeight="18" x14ac:dyDescent="0.25"/>
  <cols>
    <col min="1" max="1" width="2" style="36" customWidth="1"/>
    <col min="2" max="2" width="36.625" style="36" customWidth="1"/>
    <col min="3" max="3" width="11.625" style="36" customWidth="1"/>
    <col min="4" max="13" width="12" style="36" customWidth="1"/>
    <col min="14" max="16384" width="9.125" style="36"/>
  </cols>
  <sheetData>
    <row r="1" spans="2:17" x14ac:dyDescent="0.25">
      <c r="B1" s="35" t="s">
        <v>8</v>
      </c>
      <c r="C1" s="35"/>
      <c r="D1" s="35"/>
      <c r="E1" s="35"/>
    </row>
    <row r="4" spans="2:17" ht="36.75" thickBot="1" x14ac:dyDescent="0.3">
      <c r="B4" s="37" t="s">
        <v>94</v>
      </c>
      <c r="C4" s="38" t="s">
        <v>100</v>
      </c>
      <c r="D4" s="38" t="s">
        <v>91</v>
      </c>
      <c r="E4" s="38" t="s">
        <v>1</v>
      </c>
      <c r="F4" s="38" t="s">
        <v>2</v>
      </c>
      <c r="G4" s="38" t="s">
        <v>3</v>
      </c>
      <c r="H4" s="38" t="s">
        <v>92</v>
      </c>
      <c r="I4" s="110" t="s">
        <v>4</v>
      </c>
      <c r="J4" s="110" t="s">
        <v>5</v>
      </c>
      <c r="K4" s="110" t="s">
        <v>6</v>
      </c>
      <c r="L4" s="110" t="s">
        <v>7</v>
      </c>
      <c r="M4" s="110" t="s">
        <v>93</v>
      </c>
    </row>
    <row r="5" spans="2:17" x14ac:dyDescent="0.25">
      <c r="B5" s="36" t="s">
        <v>156</v>
      </c>
      <c r="C5" s="36">
        <f>'BS Source '!C23</f>
        <v>920.58</v>
      </c>
      <c r="D5" s="36">
        <f>'BS Source '!D23</f>
        <v>1371.82</v>
      </c>
      <c r="E5" s="36">
        <f>'BS Source '!E23</f>
        <v>1282.08</v>
      </c>
      <c r="F5" s="36">
        <f>'BS Source '!F23</f>
        <v>1551.75</v>
      </c>
      <c r="G5" s="36">
        <f>'BS Source '!G23</f>
        <v>1426.97</v>
      </c>
      <c r="H5" s="36">
        <f>'BS Source '!H23</f>
        <v>2745.11</v>
      </c>
      <c r="I5" s="111">
        <f>I6*'P&amp;L assumptions'!I7/365</f>
        <v>2937.8998354794521</v>
      </c>
      <c r="J5" s="111">
        <f>J6*'P&amp;L assumptions'!J7/365</f>
        <v>3143.5528239630144</v>
      </c>
      <c r="K5" s="111">
        <f>K6*'P&amp;L assumptions'!K7/365</f>
        <v>3363.6015216404253</v>
      </c>
      <c r="L5" s="111">
        <f>L6*'P&amp;L assumptions'!L7/365</f>
        <v>3599.0536281552554</v>
      </c>
      <c r="M5" s="111">
        <f>M6*'P&amp;L assumptions'!M7/365</f>
        <v>3850.9873821261235</v>
      </c>
      <c r="N5" s="109"/>
      <c r="O5" s="109"/>
      <c r="P5" s="109"/>
      <c r="Q5" s="109"/>
    </row>
    <row r="6" spans="2:17" x14ac:dyDescent="0.25">
      <c r="B6" s="36" t="s">
        <v>157</v>
      </c>
      <c r="C6" s="36">
        <f>C5/'P&amp;L assumptions'!C7*365</f>
        <v>12.44245380344422</v>
      </c>
      <c r="D6" s="36">
        <f>D5/'P&amp;L assumptions'!D7*365</f>
        <v>17.253528309519528</v>
      </c>
      <c r="E6" s="36">
        <f>E5/'P&amp;L assumptions'!E7*365</f>
        <v>15.235362927893007</v>
      </c>
      <c r="F6" s="36">
        <f>F5/'P&amp;L assumptions'!F7*365</f>
        <v>18.28024029440034</v>
      </c>
      <c r="G6" s="36">
        <f>G5/'P&amp;L assumptions'!G7*365</f>
        <v>15.735022932883476</v>
      </c>
      <c r="H6" s="36">
        <f>H5/'P&amp;L assumptions'!H7*365</f>
        <v>29.493652609793347</v>
      </c>
      <c r="I6" s="112">
        <v>29.5</v>
      </c>
      <c r="J6" s="112">
        <v>29.5</v>
      </c>
      <c r="K6" s="112">
        <f t="shared" ref="K6:M6" si="0">I6</f>
        <v>29.5</v>
      </c>
      <c r="L6" s="112">
        <f t="shared" si="0"/>
        <v>29.5</v>
      </c>
      <c r="M6" s="112">
        <f t="shared" si="0"/>
        <v>29.5</v>
      </c>
    </row>
    <row r="7" spans="2:17" x14ac:dyDescent="0.25">
      <c r="I7" s="112"/>
      <c r="J7" s="112"/>
      <c r="K7" s="112"/>
      <c r="L7" s="112"/>
      <c r="M7" s="112"/>
    </row>
    <row r="8" spans="2:17" x14ac:dyDescent="0.25">
      <c r="B8" s="36" t="s">
        <v>98</v>
      </c>
      <c r="C8" s="36">
        <f>'BS Source '!C48</f>
        <v>2291.0100000000002</v>
      </c>
      <c r="D8" s="36">
        <f>'BS Source '!D48</f>
        <v>2713.09</v>
      </c>
      <c r="E8" s="36">
        <f>'BS Source '!E48</f>
        <v>2791.7</v>
      </c>
      <c r="F8" s="36">
        <f>'BS Source '!F48</f>
        <v>3266.2</v>
      </c>
      <c r="G8" s="36">
        <f>'BS Source '!G48</f>
        <v>3375.26</v>
      </c>
      <c r="H8" s="36">
        <f>'BS Source '!H48</f>
        <v>3438.24</v>
      </c>
      <c r="I8" s="112">
        <f>I9*'P&amp;L assumptions'!I14/365</f>
        <v>3305.1883886181736</v>
      </c>
      <c r="J8" s="112">
        <f>J9*'P&amp;L assumptions'!J14/365</f>
        <v>3534.6321074865491</v>
      </c>
      <c r="K8" s="112">
        <f>K9*'P&amp;L assumptions'!K14/365</f>
        <v>3784.1101861289471</v>
      </c>
      <c r="L8" s="112">
        <f>L9*'P&amp;L assumptions'!L14/365</f>
        <v>4046.8002998613497</v>
      </c>
      <c r="M8" s="112">
        <f>M9*'P&amp;L assumptions'!M14/365</f>
        <v>4332.4277520990327</v>
      </c>
    </row>
    <row r="9" spans="2:17" x14ac:dyDescent="0.25">
      <c r="B9" s="36" t="s">
        <v>158</v>
      </c>
      <c r="C9" s="36">
        <f>-C8/'P&amp;L Source'!C7*365</f>
        <v>45.870745791664135</v>
      </c>
      <c r="D9" s="36">
        <f>-D8/'P&amp;L Source'!D7*365</f>
        <v>50.228900904373752</v>
      </c>
      <c r="E9" s="36">
        <f>-E8/'P&amp;L Source'!E7*365</f>
        <v>52.774250185155452</v>
      </c>
      <c r="F9" s="36">
        <f>-F8/'P&amp;L Source'!F7*365</f>
        <v>62.364407347113001</v>
      </c>
      <c r="G9" s="36">
        <f>-G8/'P&amp;L Source'!G7*365</f>
        <v>56.290780971423509</v>
      </c>
      <c r="H9" s="36">
        <f>-H8/'P&amp;L Source'!H7*365</f>
        <v>53.529052968680816</v>
      </c>
      <c r="I9" s="112">
        <f>H9</f>
        <v>53.529052968680816</v>
      </c>
      <c r="J9" s="112">
        <v>53.5</v>
      </c>
      <c r="K9" s="112">
        <f t="shared" ref="K9:M9" si="1">I9</f>
        <v>53.529052968680816</v>
      </c>
      <c r="L9" s="112">
        <f t="shared" si="1"/>
        <v>53.5</v>
      </c>
      <c r="M9" s="112">
        <f t="shared" si="1"/>
        <v>53.529052968680816</v>
      </c>
    </row>
    <row r="10" spans="2:17" x14ac:dyDescent="0.25">
      <c r="I10" s="112"/>
      <c r="J10" s="112"/>
      <c r="K10" s="112"/>
      <c r="L10" s="112"/>
      <c r="M10" s="112"/>
    </row>
    <row r="11" spans="2:17" x14ac:dyDescent="0.25">
      <c r="B11" s="36" t="s">
        <v>24</v>
      </c>
      <c r="C11" s="36">
        <f>'BS Source '!C21</f>
        <v>669.55</v>
      </c>
      <c r="D11" s="36">
        <f>'BS Source '!D21</f>
        <v>861.39</v>
      </c>
      <c r="E11" s="36">
        <f>'BS Source '!E21</f>
        <v>761.99</v>
      </c>
      <c r="F11" s="36">
        <f>'BS Source '!F21</f>
        <v>708.58</v>
      </c>
      <c r="G11" s="36">
        <f>'BS Source '!G21</f>
        <v>962.68</v>
      </c>
      <c r="H11" s="36">
        <f>'BS Source '!H21</f>
        <v>1249.53</v>
      </c>
      <c r="I11" s="112">
        <f>I12*'P&amp;L assumptions'!I14/365</f>
        <v>1201.1761969001777</v>
      </c>
      <c r="J11" s="112">
        <f>J12*'P&amp;L assumptions'!J14/365</f>
        <v>1288.3238522614524</v>
      </c>
      <c r="K11" s="112">
        <f>K12*'P&amp;L assumptions'!K14/365</f>
        <v>1375.2266278310137</v>
      </c>
      <c r="L11" s="112">
        <f>L12*'P&amp;L assumptions'!L14/365</f>
        <v>1475.0019784541371</v>
      </c>
      <c r="M11" s="112">
        <f>M12*'P&amp;L assumptions'!M14/365</f>
        <v>1574.4969662037277</v>
      </c>
    </row>
    <row r="12" spans="2:17" x14ac:dyDescent="0.25">
      <c r="B12" s="36" t="s">
        <v>159</v>
      </c>
      <c r="C12" s="36">
        <f>-C11/'P&amp;L Source'!C7*365</f>
        <v>13.4057720589647</v>
      </c>
      <c r="D12" s="36">
        <f>-D11/'P&amp;L Source'!D7*365</f>
        <v>15.947378431979221</v>
      </c>
      <c r="E12" s="36">
        <f>-E11/'P&amp;L Source'!E7*365</f>
        <v>14.404646236553573</v>
      </c>
      <c r="F12" s="36">
        <f>-F11/'P&amp;L Source'!F7*365</f>
        <v>13.529536390305962</v>
      </c>
      <c r="G12" s="36">
        <f>-G11/'P&amp;L Source'!G7*365</f>
        <v>16.055062136122839</v>
      </c>
      <c r="H12" s="36">
        <f>-H11/'P&amp;L Source'!H7*365</f>
        <v>19.453603458733465</v>
      </c>
      <c r="I12" s="112">
        <f>H12</f>
        <v>19.453603458733465</v>
      </c>
      <c r="J12" s="112">
        <v>19.5</v>
      </c>
      <c r="K12" s="112">
        <f t="shared" ref="K12:M12" si="2">I12</f>
        <v>19.453603458733465</v>
      </c>
      <c r="L12" s="112">
        <f t="shared" si="2"/>
        <v>19.5</v>
      </c>
      <c r="M12" s="112">
        <f t="shared" si="2"/>
        <v>19.453603458733465</v>
      </c>
    </row>
    <row r="13" spans="2:17" x14ac:dyDescent="0.25">
      <c r="I13" s="112"/>
      <c r="J13" s="112"/>
      <c r="K13" s="112"/>
      <c r="L13" s="112"/>
      <c r="M13" s="112"/>
    </row>
    <row r="14" spans="2:17" x14ac:dyDescent="0.25">
      <c r="B14" s="36" t="s">
        <v>160</v>
      </c>
      <c r="C14" s="36">
        <f>C6+C12-C9</f>
        <v>-20.022519929255214</v>
      </c>
      <c r="D14" s="36">
        <f t="shared" ref="D14:H14" si="3">D6+D12-D9</f>
        <v>-17.027994162875004</v>
      </c>
      <c r="E14" s="36">
        <f t="shared" si="3"/>
        <v>-23.13424102070887</v>
      </c>
      <c r="F14" s="36">
        <f t="shared" si="3"/>
        <v>-30.554630662406701</v>
      </c>
      <c r="G14" s="36">
        <f t="shared" si="3"/>
        <v>-24.500695902417192</v>
      </c>
      <c r="H14" s="36">
        <f t="shared" si="3"/>
        <v>-4.5817969001540035</v>
      </c>
      <c r="I14" s="112">
        <f>I6+I12-I9</f>
        <v>-4.5754495099473473</v>
      </c>
      <c r="J14" s="112">
        <f t="shared" ref="J14:M14" si="4">J6+J12-J9</f>
        <v>-4.5</v>
      </c>
      <c r="K14" s="112">
        <f t="shared" si="4"/>
        <v>-4.5754495099473473</v>
      </c>
      <c r="L14" s="112">
        <f t="shared" si="4"/>
        <v>-4.5</v>
      </c>
      <c r="M14" s="112">
        <f t="shared" si="4"/>
        <v>-4.5754495099473473</v>
      </c>
    </row>
    <row r="15" spans="2:17" x14ac:dyDescent="0.25">
      <c r="I15" s="112"/>
      <c r="J15" s="112"/>
      <c r="K15" s="112"/>
      <c r="L15" s="112"/>
      <c r="M15" s="112"/>
    </row>
    <row r="16" spans="2:17" x14ac:dyDescent="0.25">
      <c r="B16" s="36" t="s">
        <v>52</v>
      </c>
      <c r="C16" s="36">
        <f>SUM('BS Source '!C7:C10)</f>
        <v>3102.0299999999997</v>
      </c>
      <c r="D16" s="36">
        <f>SUM('BS Source '!D7:D10)</f>
        <v>3671.48</v>
      </c>
      <c r="E16" s="36">
        <f>SUM('BS Source '!E7:E10)</f>
        <v>4689.46</v>
      </c>
      <c r="F16" s="36">
        <f>SUM('BS Source '!F7:F10)</f>
        <v>5179.8099999999995</v>
      </c>
      <c r="G16" s="36">
        <f>SUM('BS Source '!G7:G10)</f>
        <v>5316.4400000000005</v>
      </c>
      <c r="H16" s="36">
        <f>SUM('BS Source '!H7:H10)</f>
        <v>5525.18</v>
      </c>
      <c r="I16" s="112">
        <f>I17*'P&amp;L assumptions'!I7</f>
        <v>5452.5429150000009</v>
      </c>
      <c r="J16" s="112">
        <f>J17*'P&amp;L assumptions'!J7</f>
        <v>5834.2209190500016</v>
      </c>
      <c r="K16" s="112">
        <f>K17*'P&amp;L assumptions'!K7</f>
        <v>6242.6163833835017</v>
      </c>
      <c r="L16" s="112">
        <f>L17*'P&amp;L assumptions'!L7</f>
        <v>6679.5995302203464</v>
      </c>
      <c r="M16" s="112">
        <f>M17*'P&amp;L assumptions'!M7</f>
        <v>7147.1714973357712</v>
      </c>
    </row>
    <row r="17" spans="2:13" x14ac:dyDescent="0.25">
      <c r="B17" s="36" t="s">
        <v>153</v>
      </c>
      <c r="C17" s="49">
        <f>C16/'P&amp;L assumptions'!C7</f>
        <v>0.1148676220854752</v>
      </c>
      <c r="D17" s="49">
        <f>D16/'P&amp;L assumptions'!D7</f>
        <v>0.12651123428636801</v>
      </c>
      <c r="E17" s="49">
        <f>E16/'P&amp;L assumptions'!E7</f>
        <v>0.15267490207658521</v>
      </c>
      <c r="F17" s="49">
        <f>F16/'P&amp;L assumptions'!F7</f>
        <v>0.16717876454879765</v>
      </c>
      <c r="G17" s="49">
        <f>G16/'P&amp;L assumptions'!G7</f>
        <v>0.16061296144459947</v>
      </c>
      <c r="H17" s="49">
        <f>H16/'P&amp;L assumptions'!H7</f>
        <v>0.16263813120304435</v>
      </c>
      <c r="I17" s="113">
        <v>0.15</v>
      </c>
      <c r="J17" s="113">
        <v>0.15</v>
      </c>
      <c r="K17" s="113">
        <v>0.15</v>
      </c>
      <c r="L17" s="113">
        <v>0.15</v>
      </c>
      <c r="M17" s="113">
        <v>0.15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:B11"/>
  <sheetViews>
    <sheetView workbookViewId="0"/>
  </sheetViews>
  <sheetFormatPr defaultColWidth="9.125" defaultRowHeight="12" x14ac:dyDescent="0.2"/>
  <cols>
    <col min="1" max="1" width="2" style="2" customWidth="1"/>
    <col min="2" max="16384" width="9.125" style="2"/>
  </cols>
  <sheetData>
    <row r="1" spans="2:2" ht="15.75" x14ac:dyDescent="0.25">
      <c r="B1" s="1"/>
    </row>
    <row r="11" spans="2:2" ht="50.25" x14ac:dyDescent="0.7">
      <c r="B11" s="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8"/>
  <sheetViews>
    <sheetView topLeftCell="H1" workbookViewId="0">
      <selection activeCell="I13" sqref="I13"/>
    </sheetView>
  </sheetViews>
  <sheetFormatPr defaultColWidth="9.125" defaultRowHeight="18" x14ac:dyDescent="0.25"/>
  <cols>
    <col min="1" max="1" width="2" style="36" customWidth="1"/>
    <col min="2" max="2" width="50" style="36" bestFit="1" customWidth="1"/>
    <col min="3" max="3" width="10.625" style="36" customWidth="1"/>
    <col min="4" max="8" width="11.125" style="36" customWidth="1"/>
    <col min="9" max="9" width="13.875" style="36" customWidth="1"/>
    <col min="10" max="10" width="12.625" style="36" customWidth="1"/>
    <col min="11" max="12" width="13.25" style="36" customWidth="1"/>
    <col min="13" max="13" width="13.125" style="36" customWidth="1"/>
    <col min="14" max="14" width="2" style="36" customWidth="1"/>
    <col min="15" max="15" width="38.875" style="36" customWidth="1"/>
    <col min="16" max="16384" width="9.125" style="36"/>
  </cols>
  <sheetData>
    <row r="1" spans="2:15" x14ac:dyDescent="0.25">
      <c r="B1" s="35" t="s">
        <v>11</v>
      </c>
      <c r="C1" s="35"/>
      <c r="D1" s="35"/>
      <c r="E1" s="35"/>
    </row>
    <row r="3" spans="2:15" ht="36.75" thickBot="1" x14ac:dyDescent="0.3">
      <c r="B3" s="37" t="s">
        <v>94</v>
      </c>
      <c r="C3" s="38" t="s">
        <v>100</v>
      </c>
      <c r="D3" s="38" t="s">
        <v>91</v>
      </c>
      <c r="E3" s="38" t="s">
        <v>1</v>
      </c>
      <c r="F3" s="38" t="s">
        <v>2</v>
      </c>
      <c r="G3" s="38" t="s">
        <v>3</v>
      </c>
      <c r="H3" s="38" t="s">
        <v>92</v>
      </c>
      <c r="I3" s="125" t="s">
        <v>4</v>
      </c>
      <c r="J3" s="125" t="s">
        <v>5</v>
      </c>
      <c r="K3" s="125" t="s">
        <v>6</v>
      </c>
      <c r="L3" s="125" t="s">
        <v>7</v>
      </c>
      <c r="M3" s="125" t="s">
        <v>93</v>
      </c>
      <c r="O3" s="41" t="s">
        <v>12</v>
      </c>
    </row>
    <row r="4" spans="2:15" x14ac:dyDescent="0.25">
      <c r="B4" s="36" t="s">
        <v>111</v>
      </c>
      <c r="C4" s="51">
        <f>'P&amp;L Source'!C5</f>
        <v>27005.26</v>
      </c>
      <c r="D4" s="51">
        <f>'P&amp;L Source'!D5</f>
        <v>29020.98</v>
      </c>
      <c r="E4" s="51">
        <f>'P&amp;L Source'!E5</f>
        <v>30715.33</v>
      </c>
      <c r="F4" s="51">
        <f>'P&amp;L Source'!F5</f>
        <v>30983.66</v>
      </c>
      <c r="G4" s="51">
        <f>'P&amp;L Source'!G5</f>
        <v>33100.94</v>
      </c>
      <c r="H4" s="51">
        <f>'P&amp;L Source'!H5</f>
        <v>33972.230000000003</v>
      </c>
      <c r="I4" s="126">
        <f>'P&amp;L assumptions'!I7</f>
        <v>36350.286100000005</v>
      </c>
      <c r="J4" s="126">
        <f>'P&amp;L assumptions'!J7</f>
        <v>38894.806127000011</v>
      </c>
      <c r="K4" s="126">
        <f>'P&amp;L assumptions'!K7</f>
        <v>41617.442555890011</v>
      </c>
      <c r="L4" s="126">
        <f>'P&amp;L assumptions'!L7</f>
        <v>44530.663534802312</v>
      </c>
      <c r="M4" s="126">
        <f>'P&amp;L assumptions'!M7</f>
        <v>47647.809982238476</v>
      </c>
    </row>
    <row r="5" spans="2:15" x14ac:dyDescent="0.25">
      <c r="B5" s="36" t="s">
        <v>13</v>
      </c>
      <c r="C5" s="51">
        <f>'P&amp;L Source'!C7</f>
        <v>-18229.89</v>
      </c>
      <c r="D5" s="51">
        <f>'P&amp;L Source'!D7</f>
        <v>-19715.300000000003</v>
      </c>
      <c r="E5" s="51">
        <f>'P&amp;L Source'!E7</f>
        <v>-19308.099999999999</v>
      </c>
      <c r="F5" s="51">
        <f>'P&amp;L Source'!F7</f>
        <v>-19116.080000000002</v>
      </c>
      <c r="G5" s="51">
        <f>'P&amp;L Source'!G7</f>
        <v>-21885.82</v>
      </c>
      <c r="H5" s="51">
        <f>'P&amp;L Source'!H7</f>
        <v>-23444.42</v>
      </c>
      <c r="I5" s="127">
        <f>-'P&amp;L assumptions'!I14</f>
        <v>-22537.177382000002</v>
      </c>
      <c r="J5" s="127">
        <f>-'P&amp;L assumptions'!J14</f>
        <v>-24114.779798740008</v>
      </c>
      <c r="K5" s="127">
        <f>-'P&amp;L assumptions'!K14</f>
        <v>-25802.814384651807</v>
      </c>
      <c r="L5" s="127">
        <f>-'P&amp;L assumptions'!L14</f>
        <v>-27609.011391577435</v>
      </c>
      <c r="M5" s="127">
        <f>-'P&amp;L assumptions'!M14</f>
        <v>-29541.642188987855</v>
      </c>
    </row>
    <row r="6" spans="2:15" x14ac:dyDescent="0.25">
      <c r="B6" s="42" t="s">
        <v>14</v>
      </c>
      <c r="C6" s="52">
        <f>C4+C5</f>
        <v>8775.369999999999</v>
      </c>
      <c r="D6" s="52">
        <f t="shared" ref="D6:M6" si="0">D4+D5</f>
        <v>9305.6799999999967</v>
      </c>
      <c r="E6" s="52">
        <f t="shared" si="0"/>
        <v>11407.230000000003</v>
      </c>
      <c r="F6" s="52">
        <f t="shared" si="0"/>
        <v>11867.579999999998</v>
      </c>
      <c r="G6" s="52">
        <f t="shared" si="0"/>
        <v>11215.120000000003</v>
      </c>
      <c r="H6" s="52">
        <f t="shared" si="0"/>
        <v>10527.810000000005</v>
      </c>
      <c r="I6" s="128">
        <f>I4+I5</f>
        <v>13813.108718000003</v>
      </c>
      <c r="J6" s="128">
        <f t="shared" si="0"/>
        <v>14780.026328260003</v>
      </c>
      <c r="K6" s="128">
        <f t="shared" si="0"/>
        <v>15814.628171238204</v>
      </c>
      <c r="L6" s="128">
        <f t="shared" si="0"/>
        <v>16921.652143224877</v>
      </c>
      <c r="M6" s="128">
        <f t="shared" si="0"/>
        <v>18106.167793250621</v>
      </c>
    </row>
    <row r="7" spans="2:15" x14ac:dyDescent="0.25">
      <c r="B7" s="53" t="s">
        <v>146</v>
      </c>
      <c r="C7" s="54">
        <f>'P&amp;L assumptions'!C21</f>
        <v>-1880.35</v>
      </c>
      <c r="D7" s="54">
        <f>'P&amp;L assumptions'!D21</f>
        <v>-1717.65</v>
      </c>
      <c r="E7" s="54">
        <f>'P&amp;L assumptions'!E21</f>
        <v>-2258.21</v>
      </c>
      <c r="F7" s="54">
        <f>'P&amp;L assumptions'!F21</f>
        <v>-2373.23</v>
      </c>
      <c r="G7" s="54">
        <f>'P&amp;L assumptions'!G21</f>
        <v>-642.57000000000005</v>
      </c>
      <c r="H7" s="54">
        <f>'P&amp;L assumptions'!H21</f>
        <v>-1.41</v>
      </c>
      <c r="I7" s="129">
        <f>'P&amp;L assumptions'!I21</f>
        <v>0</v>
      </c>
      <c r="J7" s="129">
        <f>'P&amp;L assumptions'!J21</f>
        <v>0</v>
      </c>
      <c r="K7" s="129">
        <f>'P&amp;L assumptions'!K21</f>
        <v>0</v>
      </c>
      <c r="L7" s="129">
        <f>'P&amp;L assumptions'!L21</f>
        <v>0</v>
      </c>
      <c r="M7" s="129">
        <f>'P&amp;L assumptions'!M21</f>
        <v>0</v>
      </c>
    </row>
    <row r="8" spans="2:15" x14ac:dyDescent="0.25">
      <c r="B8" s="53" t="s">
        <v>37</v>
      </c>
      <c r="C8" s="54">
        <f>'P&amp;L assumptions'!C28</f>
        <v>-930.35</v>
      </c>
      <c r="D8" s="54">
        <f>'P&amp;L assumptions'!D28</f>
        <v>-1178.72</v>
      </c>
      <c r="E8" s="54">
        <f>'P&amp;L assumptions'!E28</f>
        <v>-1339.46</v>
      </c>
      <c r="F8" s="54">
        <f>'P&amp;L assumptions'!F28</f>
        <v>-1432.49</v>
      </c>
      <c r="G8" s="54">
        <f>'P&amp;L assumptions'!G28</f>
        <v>-1583.71</v>
      </c>
      <c r="H8" s="54">
        <f>'P&amp;L assumptions'!H28</f>
        <v>-1778.03</v>
      </c>
      <c r="I8" s="129">
        <f>-'P&amp;L assumptions'!I28</f>
        <v>-1090.508583</v>
      </c>
      <c r="J8" s="129">
        <f>-'P&amp;L assumptions'!J28</f>
        <v>-1166.8441838100002</v>
      </c>
      <c r="K8" s="129">
        <f>-'P&amp;L assumptions'!K28</f>
        <v>-1248.5232766767003</v>
      </c>
      <c r="L8" s="129">
        <f>-'P&amp;L assumptions'!L28</f>
        <v>-1335.9199060440694</v>
      </c>
      <c r="M8" s="129">
        <f>-'P&amp;L assumptions'!M28</f>
        <v>-1429.4342994671542</v>
      </c>
    </row>
    <row r="9" spans="2:15" x14ac:dyDescent="0.25">
      <c r="B9" s="36" t="s">
        <v>38</v>
      </c>
      <c r="C9" s="51">
        <f>'P&amp;L assumptions'!C35</f>
        <v>-2425.5700000000002</v>
      </c>
      <c r="D9" s="51">
        <f>'P&amp;L assumptions'!D35</f>
        <v>-2912.5800000000004</v>
      </c>
      <c r="E9" s="51">
        <f>'P&amp;L assumptions'!E35</f>
        <v>-3411.86</v>
      </c>
      <c r="F9" s="51">
        <f>'P&amp;L assumptions'!F35</f>
        <v>-3485.89</v>
      </c>
      <c r="G9" s="51">
        <f>'P&amp;L assumptions'!G35</f>
        <v>-3663.79</v>
      </c>
      <c r="H9" s="51">
        <f>'P&amp;L assumptions'!H35</f>
        <v>-3729.94</v>
      </c>
      <c r="I9" s="126">
        <f>-'P&amp;L assumptions'!I35</f>
        <v>-3271.5257490000004</v>
      </c>
      <c r="J9" s="126">
        <f>-'P&amp;L assumptions'!J35</f>
        <v>-3500.5325514300007</v>
      </c>
      <c r="K9" s="126">
        <f>-'P&amp;L assumptions'!K35</f>
        <v>-3745.569830030101</v>
      </c>
      <c r="L9" s="126">
        <f>-'P&amp;L assumptions'!L35</f>
        <v>-4007.759718132208</v>
      </c>
      <c r="M9" s="126">
        <f>-'P&amp;L assumptions'!M35</f>
        <v>-4288.3028984014627</v>
      </c>
    </row>
    <row r="10" spans="2:15" x14ac:dyDescent="0.25">
      <c r="B10" s="42" t="s">
        <v>16</v>
      </c>
      <c r="C10" s="52">
        <f>C6+SUM(C7:C9)</f>
        <v>3539.0999999999985</v>
      </c>
      <c r="D10" s="52">
        <f t="shared" ref="D10:M10" si="1">D6+SUM(D7:D9)</f>
        <v>3496.7299999999959</v>
      </c>
      <c r="E10" s="52">
        <f t="shared" si="1"/>
        <v>4397.7000000000025</v>
      </c>
      <c r="F10" s="52">
        <f t="shared" si="1"/>
        <v>4575.9699999999975</v>
      </c>
      <c r="G10" s="52">
        <f t="shared" si="1"/>
        <v>5325.0500000000029</v>
      </c>
      <c r="H10" s="52">
        <f t="shared" si="1"/>
        <v>5018.4300000000048</v>
      </c>
      <c r="I10" s="128">
        <f t="shared" si="1"/>
        <v>9451.0743860000039</v>
      </c>
      <c r="J10" s="128">
        <f t="shared" si="1"/>
        <v>10112.649593020002</v>
      </c>
      <c r="K10" s="128">
        <f t="shared" si="1"/>
        <v>10820.535064531403</v>
      </c>
      <c r="L10" s="128">
        <f t="shared" si="1"/>
        <v>11577.972519048599</v>
      </c>
      <c r="M10" s="128">
        <f t="shared" si="1"/>
        <v>12388.430595382004</v>
      </c>
    </row>
    <row r="11" spans="2:15" x14ac:dyDescent="0.25">
      <c r="B11" s="36" t="s">
        <v>17</v>
      </c>
      <c r="C11" s="51">
        <f>'P&amp;L assumptions'!C42</f>
        <v>-1107.3699999999999</v>
      </c>
      <c r="D11" s="51">
        <f>'P&amp;L assumptions'!D42</f>
        <v>-540.45000000000005</v>
      </c>
      <c r="E11" s="51">
        <f>'P&amp;L assumptions'!E42</f>
        <v>-443.25</v>
      </c>
      <c r="F11" s="51">
        <f>'P&amp;L assumptions'!F42</f>
        <v>-502.25</v>
      </c>
      <c r="G11" s="51">
        <f>'P&amp;L assumptions'!G42</f>
        <v>-574.98</v>
      </c>
      <c r="H11" s="51">
        <f>'P&amp;L assumptions'!H42</f>
        <v>-624.44000000000005</v>
      </c>
      <c r="I11" s="126">
        <f>'P&amp;L assumptions'!I42</f>
        <v>-363.50286100000005</v>
      </c>
      <c r="J11" s="126">
        <f>'P&amp;L assumptions'!J42</f>
        <v>-388.9480612700001</v>
      </c>
      <c r="K11" s="126">
        <f>'P&amp;L assumptions'!K42</f>
        <v>-416.17442555890011</v>
      </c>
      <c r="L11" s="126">
        <f>'P&amp;L assumptions'!L42</f>
        <v>-445.30663534802312</v>
      </c>
      <c r="M11" s="126">
        <f>'P&amp;L assumptions'!M42</f>
        <v>-476.47809982238476</v>
      </c>
    </row>
    <row r="12" spans="2:15" x14ac:dyDescent="0.25">
      <c r="B12" s="42" t="s">
        <v>18</v>
      </c>
      <c r="C12" s="52">
        <f>C10+C11</f>
        <v>2431.7299999999987</v>
      </c>
      <c r="D12" s="52">
        <f t="shared" ref="D12:M12" si="2">D10+D11</f>
        <v>2956.2799999999961</v>
      </c>
      <c r="E12" s="52">
        <f t="shared" si="2"/>
        <v>3954.4500000000025</v>
      </c>
      <c r="F12" s="52">
        <f t="shared" si="2"/>
        <v>4073.7199999999975</v>
      </c>
      <c r="G12" s="52">
        <f t="shared" si="2"/>
        <v>4750.0700000000033</v>
      </c>
      <c r="H12" s="52">
        <f t="shared" si="2"/>
        <v>4393.9900000000052</v>
      </c>
      <c r="I12" s="128">
        <f t="shared" si="2"/>
        <v>9087.571525000003</v>
      </c>
      <c r="J12" s="128">
        <f t="shared" si="2"/>
        <v>9723.7015317500009</v>
      </c>
      <c r="K12" s="128">
        <f t="shared" si="2"/>
        <v>10404.360638972503</v>
      </c>
      <c r="L12" s="128">
        <f t="shared" si="2"/>
        <v>11132.665883700576</v>
      </c>
      <c r="M12" s="128">
        <f t="shared" si="2"/>
        <v>11911.952495559619</v>
      </c>
    </row>
    <row r="13" spans="2:15" x14ac:dyDescent="0.25">
      <c r="B13" s="36" t="s">
        <v>19</v>
      </c>
      <c r="C13" s="51">
        <f>-C12*C14</f>
        <v>-826.78819999999962</v>
      </c>
      <c r="D13" s="51">
        <f t="shared" ref="D13:M13" si="3">-D12*D14</f>
        <v>-1022.8728799999985</v>
      </c>
      <c r="E13" s="51">
        <f t="shared" si="3"/>
        <v>-1368.2397000000008</v>
      </c>
      <c r="F13" s="51">
        <f t="shared" si="3"/>
        <v>-1409.5071199999991</v>
      </c>
      <c r="G13" s="51">
        <f t="shared" si="3"/>
        <v>-1662.5245000000011</v>
      </c>
      <c r="H13" s="51">
        <f t="shared" si="3"/>
        <v>-1537.8965000000017</v>
      </c>
      <c r="I13" s="126">
        <f t="shared" si="3"/>
        <v>-3180.6500337500011</v>
      </c>
      <c r="J13" s="126">
        <f t="shared" si="3"/>
        <v>-3403.2955361125</v>
      </c>
      <c r="K13" s="126">
        <f t="shared" si="3"/>
        <v>-3641.5262236403755</v>
      </c>
      <c r="L13" s="126">
        <f t="shared" si="3"/>
        <v>-3896.4330592952015</v>
      </c>
      <c r="M13" s="126">
        <f t="shared" si="3"/>
        <v>-4169.183373445866</v>
      </c>
    </row>
    <row r="14" spans="2:15" x14ac:dyDescent="0.25">
      <c r="B14" s="36" t="s">
        <v>20</v>
      </c>
      <c r="C14" s="49">
        <f>'P&amp;L assumptions'!C49</f>
        <v>0.34</v>
      </c>
      <c r="D14" s="49">
        <f>'P&amp;L assumptions'!D49</f>
        <v>0.34599999999999997</v>
      </c>
      <c r="E14" s="49">
        <f>'P&amp;L assumptions'!E49</f>
        <v>0.34599999999999997</v>
      </c>
      <c r="F14" s="49">
        <f>'P&amp;L assumptions'!F49</f>
        <v>0.34599999999999997</v>
      </c>
      <c r="G14" s="49">
        <f>'P&amp;L assumptions'!G49</f>
        <v>0.35</v>
      </c>
      <c r="H14" s="49">
        <f>'P&amp;L assumptions'!H49</f>
        <v>0.35</v>
      </c>
      <c r="I14" s="130">
        <v>0.35</v>
      </c>
      <c r="J14" s="130">
        <v>0.35</v>
      </c>
      <c r="K14" s="130">
        <v>0.35</v>
      </c>
      <c r="L14" s="130">
        <v>0.35</v>
      </c>
      <c r="M14" s="130">
        <v>0.35</v>
      </c>
    </row>
    <row r="15" spans="2:15" ht="3.75" customHeight="1" x14ac:dyDescent="0.25">
      <c r="F15" s="40"/>
      <c r="G15" s="40"/>
      <c r="H15" s="40"/>
      <c r="I15" s="127"/>
      <c r="J15" s="127"/>
      <c r="K15" s="127"/>
      <c r="L15" s="127"/>
      <c r="M15" s="127"/>
    </row>
    <row r="16" spans="2:15" x14ac:dyDescent="0.25">
      <c r="B16" s="43" t="s">
        <v>95</v>
      </c>
      <c r="C16" s="96">
        <f>C13+C12</f>
        <v>1604.9417999999991</v>
      </c>
      <c r="D16" s="96">
        <f t="shared" ref="D16:M16" si="4">D13+D12</f>
        <v>1933.4071199999976</v>
      </c>
      <c r="E16" s="96">
        <f t="shared" si="4"/>
        <v>2586.2103000000016</v>
      </c>
      <c r="F16" s="96">
        <f t="shared" si="4"/>
        <v>2664.2128799999982</v>
      </c>
      <c r="G16" s="96">
        <f t="shared" si="4"/>
        <v>3087.545500000002</v>
      </c>
      <c r="H16" s="96">
        <f t="shared" si="4"/>
        <v>2856.0935000000036</v>
      </c>
      <c r="I16" s="131">
        <f t="shared" si="4"/>
        <v>5906.921491250002</v>
      </c>
      <c r="J16" s="131">
        <f t="shared" si="4"/>
        <v>6320.4059956375004</v>
      </c>
      <c r="K16" s="131">
        <f t="shared" si="4"/>
        <v>6762.8344153321268</v>
      </c>
      <c r="L16" s="131">
        <f t="shared" si="4"/>
        <v>7236.2328244053751</v>
      </c>
      <c r="M16" s="131">
        <f t="shared" si="4"/>
        <v>7742.7691221137529</v>
      </c>
    </row>
    <row r="17" spans="6:13" x14ac:dyDescent="0.25">
      <c r="F17" s="40"/>
      <c r="G17" s="40"/>
      <c r="H17" s="40"/>
    </row>
    <row r="18" spans="6:13" x14ac:dyDescent="0.25">
      <c r="F18" s="40"/>
      <c r="G18" s="40"/>
      <c r="H18" s="40"/>
    </row>
    <row r="19" spans="6:13" x14ac:dyDescent="0.25">
      <c r="F19" s="40"/>
      <c r="G19" s="40"/>
      <c r="H19" s="40"/>
    </row>
    <row r="20" spans="6:13" x14ac:dyDescent="0.25">
      <c r="F20" s="40"/>
      <c r="G20" s="40"/>
      <c r="H20" s="40"/>
      <c r="M20" s="36" t="s">
        <v>21</v>
      </c>
    </row>
    <row r="48" spans="2:2" x14ac:dyDescent="0.25">
      <c r="B48" s="36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6"/>
  <sheetViews>
    <sheetView workbookViewId="0">
      <selection activeCell="C5" sqref="C5:M5"/>
    </sheetView>
  </sheetViews>
  <sheetFormatPr defaultColWidth="9.125" defaultRowHeight="18" x14ac:dyDescent="0.25"/>
  <cols>
    <col min="1" max="1" width="2" style="36" customWidth="1"/>
    <col min="2" max="2" width="41.875" style="36" bestFit="1" customWidth="1"/>
    <col min="3" max="3" width="12" style="36" customWidth="1"/>
    <col min="4" max="13" width="12.625" style="36" customWidth="1"/>
    <col min="14" max="14" width="2" style="36" customWidth="1"/>
    <col min="15" max="15" width="40.375" style="36" customWidth="1"/>
    <col min="16" max="16384" width="9.125" style="36"/>
  </cols>
  <sheetData>
    <row r="1" spans="2:15" x14ac:dyDescent="0.25">
      <c r="B1" s="35" t="s">
        <v>22</v>
      </c>
      <c r="C1" s="35"/>
      <c r="D1" s="35"/>
      <c r="E1" s="35"/>
    </row>
    <row r="3" spans="2:15" ht="36.75" thickBot="1" x14ac:dyDescent="0.3">
      <c r="B3" s="37" t="s">
        <v>94</v>
      </c>
      <c r="C3" s="38" t="s">
        <v>100</v>
      </c>
      <c r="D3" s="38" t="s">
        <v>91</v>
      </c>
      <c r="E3" s="38" t="s">
        <v>1</v>
      </c>
      <c r="F3" s="38" t="s">
        <v>2</v>
      </c>
      <c r="G3" s="38" t="s">
        <v>3</v>
      </c>
      <c r="H3" s="38" t="s">
        <v>92</v>
      </c>
      <c r="I3" s="110" t="s">
        <v>4</v>
      </c>
      <c r="J3" s="110" t="s">
        <v>5</v>
      </c>
      <c r="K3" s="110" t="s">
        <v>6</v>
      </c>
      <c r="L3" s="110" t="s">
        <v>7</v>
      </c>
      <c r="M3" s="110" t="s">
        <v>93</v>
      </c>
      <c r="O3" s="41" t="s">
        <v>12</v>
      </c>
    </row>
    <row r="4" spans="2:15" x14ac:dyDescent="0.25">
      <c r="B4" s="36" t="s">
        <v>147</v>
      </c>
      <c r="C4" s="51"/>
      <c r="D4" s="51">
        <f>'BS assumptions'!C16</f>
        <v>3102.0299999999997</v>
      </c>
      <c r="E4" s="51">
        <f>'BS assumptions'!D16</f>
        <v>3671.48</v>
      </c>
      <c r="F4" s="51">
        <f>'BS assumptions'!E16</f>
        <v>4689.46</v>
      </c>
      <c r="G4" s="51">
        <f>'BS assumptions'!F16</f>
        <v>5179.8099999999995</v>
      </c>
      <c r="H4" s="51">
        <f>'BS assumptions'!G16</f>
        <v>5316.4400000000005</v>
      </c>
      <c r="I4" s="114">
        <f>'BS assumptions'!H16</f>
        <v>5525.18</v>
      </c>
      <c r="J4" s="114">
        <f>'BS assumptions'!I16</f>
        <v>5452.5429150000009</v>
      </c>
      <c r="K4" s="114">
        <f>'BS assumptions'!J16</f>
        <v>5834.2209190500016</v>
      </c>
      <c r="L4" s="114">
        <f>'BS assumptions'!K16</f>
        <v>6242.6163833835017</v>
      </c>
      <c r="M4" s="114">
        <f>'BS assumptions'!L16</f>
        <v>6679.5995302203464</v>
      </c>
      <c r="N4" s="51">
        <f>'BS assumptions'!M16</f>
        <v>7147.1714973357712</v>
      </c>
    </row>
    <row r="5" spans="2:15" x14ac:dyDescent="0.25">
      <c r="B5" s="36" t="s">
        <v>148</v>
      </c>
      <c r="C5" s="51">
        <f>'P&amp;L assumptions'!C42</f>
        <v>-1107.3699999999999</v>
      </c>
      <c r="D5" s="51">
        <f>'P&amp;L assumptions'!D42</f>
        <v>-540.45000000000005</v>
      </c>
      <c r="E5" s="51">
        <f>'P&amp;L assumptions'!E42</f>
        <v>-443.25</v>
      </c>
      <c r="F5" s="51">
        <f>'P&amp;L assumptions'!F42</f>
        <v>-502.25</v>
      </c>
      <c r="G5" s="51">
        <f>'P&amp;L assumptions'!G42</f>
        <v>-574.98</v>
      </c>
      <c r="H5" s="51">
        <f>'P&amp;L assumptions'!H42</f>
        <v>-624.44000000000005</v>
      </c>
      <c r="I5" s="51">
        <f>'P&amp;L assumptions'!I42</f>
        <v>-363.50286100000005</v>
      </c>
      <c r="J5" s="51">
        <f>'P&amp;L assumptions'!J42</f>
        <v>-388.9480612700001</v>
      </c>
      <c r="K5" s="51">
        <f>'P&amp;L assumptions'!K42</f>
        <v>-416.17442555890011</v>
      </c>
      <c r="L5" s="51">
        <f>'P&amp;L assumptions'!L42</f>
        <v>-445.30663534802312</v>
      </c>
      <c r="M5" s="51">
        <f>'P&amp;L assumptions'!M42</f>
        <v>-476.47809982238476</v>
      </c>
      <c r="N5" s="51">
        <f>-'P&amp;L assumptions'!N42</f>
        <v>0</v>
      </c>
    </row>
    <row r="6" spans="2:15" x14ac:dyDescent="0.25">
      <c r="B6" s="36" t="s">
        <v>96</v>
      </c>
      <c r="C6" s="51"/>
      <c r="D6" s="51">
        <f>D7-D4-D5</f>
        <v>1109.9000000000003</v>
      </c>
      <c r="E6" s="51">
        <f t="shared" ref="E6:M6" si="0">E7-E4-E5</f>
        <v>1461.23</v>
      </c>
      <c r="F6" s="51">
        <f t="shared" si="0"/>
        <v>992.59999999999945</v>
      </c>
      <c r="G6" s="51">
        <f t="shared" si="0"/>
        <v>711.61000000000104</v>
      </c>
      <c r="H6" s="51">
        <f t="shared" si="0"/>
        <v>833.17999999999984</v>
      </c>
      <c r="I6" s="114">
        <f t="shared" si="0"/>
        <v>290.86577600000066</v>
      </c>
      <c r="J6" s="114">
        <f t="shared" si="0"/>
        <v>770.62606532000086</v>
      </c>
      <c r="K6" s="114">
        <f t="shared" si="0"/>
        <v>824.56988989240017</v>
      </c>
      <c r="L6" s="114">
        <f t="shared" si="0"/>
        <v>882.28978218486782</v>
      </c>
      <c r="M6" s="114">
        <f t="shared" si="0"/>
        <v>944.05006693780956</v>
      </c>
    </row>
    <row r="7" spans="2:15" ht="18.75" thickBot="1" x14ac:dyDescent="0.3">
      <c r="B7" s="44" t="s">
        <v>112</v>
      </c>
      <c r="C7" s="97">
        <f>'BS assumptions'!C16</f>
        <v>3102.0299999999997</v>
      </c>
      <c r="D7" s="97">
        <f>'BS assumptions'!D16</f>
        <v>3671.48</v>
      </c>
      <c r="E7" s="97">
        <f>'BS assumptions'!E16</f>
        <v>4689.46</v>
      </c>
      <c r="F7" s="97">
        <f>'BS assumptions'!F16</f>
        <v>5179.8099999999995</v>
      </c>
      <c r="G7" s="97">
        <f>'BS assumptions'!G16</f>
        <v>5316.4400000000005</v>
      </c>
      <c r="H7" s="97">
        <f>'BS assumptions'!H16</f>
        <v>5525.18</v>
      </c>
      <c r="I7" s="115">
        <f>'BS assumptions'!I16</f>
        <v>5452.5429150000009</v>
      </c>
      <c r="J7" s="115">
        <f>'BS assumptions'!J16</f>
        <v>5834.2209190500016</v>
      </c>
      <c r="K7" s="115">
        <f>'BS assumptions'!K16</f>
        <v>6242.6163833835017</v>
      </c>
      <c r="L7" s="115">
        <f>'BS assumptions'!L16</f>
        <v>6679.5995302203464</v>
      </c>
      <c r="M7" s="115">
        <f>'BS assumptions'!M16</f>
        <v>7147.1714973357712</v>
      </c>
    </row>
    <row r="8" spans="2:15" x14ac:dyDescent="0.25">
      <c r="C8" s="51"/>
      <c r="D8" s="51"/>
      <c r="E8" s="51"/>
      <c r="F8" s="51"/>
      <c r="G8" s="51"/>
      <c r="H8" s="51"/>
      <c r="I8" s="114"/>
      <c r="J8" s="114"/>
      <c r="K8" s="114"/>
      <c r="L8" s="114"/>
      <c r="M8" s="114"/>
    </row>
    <row r="9" spans="2:15" x14ac:dyDescent="0.25">
      <c r="B9" s="36" t="s">
        <v>97</v>
      </c>
      <c r="C9" s="51">
        <f>'BS assumptions'!C5</f>
        <v>920.58</v>
      </c>
      <c r="D9" s="51">
        <f>'BS assumptions'!D5</f>
        <v>1371.82</v>
      </c>
      <c r="E9" s="51">
        <f>'BS assumptions'!E5</f>
        <v>1282.08</v>
      </c>
      <c r="F9" s="51">
        <f>'BS assumptions'!F5</f>
        <v>1551.75</v>
      </c>
      <c r="G9" s="51">
        <f>'BS assumptions'!G5</f>
        <v>1426.97</v>
      </c>
      <c r="H9" s="51">
        <f>'BS assumptions'!H5</f>
        <v>2745.11</v>
      </c>
      <c r="I9" s="114">
        <f>'BS assumptions'!I5</f>
        <v>2937.8998354794521</v>
      </c>
      <c r="J9" s="114">
        <f>'BS assumptions'!J5</f>
        <v>3143.5528239630144</v>
      </c>
      <c r="K9" s="114">
        <f>'BS assumptions'!K5</f>
        <v>3363.6015216404253</v>
      </c>
      <c r="L9" s="114">
        <f>'BS assumptions'!L5</f>
        <v>3599.0536281552554</v>
      </c>
      <c r="M9" s="114">
        <f>'BS assumptions'!M5</f>
        <v>3850.9873821261235</v>
      </c>
    </row>
    <row r="10" spans="2:15" x14ac:dyDescent="0.25">
      <c r="B10" s="36" t="s">
        <v>24</v>
      </c>
      <c r="C10" s="51">
        <f>'BS assumptions'!C11</f>
        <v>669.55</v>
      </c>
      <c r="D10" s="51">
        <f>'BS assumptions'!D11</f>
        <v>861.39</v>
      </c>
      <c r="E10" s="51">
        <f>'BS assumptions'!E11</f>
        <v>761.99</v>
      </c>
      <c r="F10" s="51">
        <f>'BS assumptions'!F11</f>
        <v>708.58</v>
      </c>
      <c r="G10" s="51">
        <f>'BS assumptions'!G11</f>
        <v>962.68</v>
      </c>
      <c r="H10" s="51">
        <f>'BS assumptions'!H11</f>
        <v>1249.53</v>
      </c>
      <c r="I10" s="114">
        <f>'BS assumptions'!I11</f>
        <v>1201.1761969001777</v>
      </c>
      <c r="J10" s="114">
        <f>'BS assumptions'!J11</f>
        <v>1288.3238522614524</v>
      </c>
      <c r="K10" s="114">
        <f>'BS assumptions'!K11</f>
        <v>1375.2266278310137</v>
      </c>
      <c r="L10" s="114">
        <f>'BS assumptions'!L11</f>
        <v>1475.0019784541371</v>
      </c>
      <c r="M10" s="114">
        <f>'BS assumptions'!M11</f>
        <v>1574.4969662037277</v>
      </c>
    </row>
    <row r="11" spans="2:15" x14ac:dyDescent="0.25">
      <c r="B11" s="36" t="s">
        <v>98</v>
      </c>
      <c r="C11" s="51">
        <f>'BS assumptions'!C8</f>
        <v>2291.0100000000002</v>
      </c>
      <c r="D11" s="51">
        <f>'BS assumptions'!D8</f>
        <v>2713.09</v>
      </c>
      <c r="E11" s="51">
        <f>'BS assumptions'!E8</f>
        <v>2791.7</v>
      </c>
      <c r="F11" s="51">
        <f>'BS assumptions'!F8</f>
        <v>3266.2</v>
      </c>
      <c r="G11" s="51">
        <f>'BS assumptions'!G8</f>
        <v>3375.26</v>
      </c>
      <c r="H11" s="51">
        <f>'BS assumptions'!H8</f>
        <v>3438.24</v>
      </c>
      <c r="I11" s="114">
        <f>'BS assumptions'!I8</f>
        <v>3305.1883886181736</v>
      </c>
      <c r="J11" s="114">
        <f>'BS assumptions'!J8</f>
        <v>3534.6321074865491</v>
      </c>
      <c r="K11" s="114">
        <f>'BS assumptions'!K8</f>
        <v>3784.1101861289471</v>
      </c>
      <c r="L11" s="114">
        <f>'BS assumptions'!L8</f>
        <v>4046.8002998613497</v>
      </c>
      <c r="M11" s="114">
        <f>'BS assumptions'!M8</f>
        <v>4332.4277520990327</v>
      </c>
    </row>
    <row r="12" spans="2:15" x14ac:dyDescent="0.25">
      <c r="B12" s="55" t="s">
        <v>113</v>
      </c>
      <c r="C12" s="98">
        <f>C9+C10-C11</f>
        <v>-700.88000000000011</v>
      </c>
      <c r="D12" s="98">
        <f t="shared" ref="D12:M12" si="1">D9+D10-D11</f>
        <v>-479.88000000000011</v>
      </c>
      <c r="E12" s="98">
        <f t="shared" si="1"/>
        <v>-747.62999999999988</v>
      </c>
      <c r="F12" s="98">
        <f t="shared" si="1"/>
        <v>-1005.8699999999999</v>
      </c>
      <c r="G12" s="98">
        <f t="shared" si="1"/>
        <v>-985.61000000000013</v>
      </c>
      <c r="H12" s="98">
        <f t="shared" si="1"/>
        <v>556.40000000000055</v>
      </c>
      <c r="I12" s="116">
        <f t="shared" si="1"/>
        <v>833.88764376145582</v>
      </c>
      <c r="J12" s="116">
        <f t="shared" si="1"/>
        <v>897.24456873791769</v>
      </c>
      <c r="K12" s="116">
        <f t="shared" si="1"/>
        <v>954.71796334249211</v>
      </c>
      <c r="L12" s="116">
        <f t="shared" si="1"/>
        <v>1027.2553067480426</v>
      </c>
      <c r="M12" s="116">
        <f t="shared" si="1"/>
        <v>1093.0565962308183</v>
      </c>
    </row>
    <row r="13" spans="2:15" ht="18.75" thickBot="1" x14ac:dyDescent="0.3">
      <c r="B13" s="37" t="s">
        <v>99</v>
      </c>
      <c r="C13" s="56"/>
      <c r="D13" s="56">
        <f>D12-C12</f>
        <v>221</v>
      </c>
      <c r="E13" s="56">
        <f t="shared" ref="E13:M13" si="2">E12-D12</f>
        <v>-267.74999999999977</v>
      </c>
      <c r="F13" s="56">
        <f t="shared" si="2"/>
        <v>-258.24</v>
      </c>
      <c r="G13" s="56">
        <f t="shared" si="2"/>
        <v>20.259999999999764</v>
      </c>
      <c r="H13" s="56">
        <f t="shared" si="2"/>
        <v>1542.0100000000007</v>
      </c>
      <c r="I13" s="117">
        <f t="shared" si="2"/>
        <v>277.48764376145527</v>
      </c>
      <c r="J13" s="117">
        <f t="shared" si="2"/>
        <v>63.356924976461869</v>
      </c>
      <c r="K13" s="117">
        <f t="shared" si="2"/>
        <v>57.473394604574423</v>
      </c>
      <c r="L13" s="117">
        <f t="shared" si="2"/>
        <v>72.537343405550473</v>
      </c>
      <c r="M13" s="117">
        <f t="shared" si="2"/>
        <v>65.801289482775701</v>
      </c>
    </row>
    <row r="14" spans="2:15" x14ac:dyDescent="0.25">
      <c r="I14" s="40"/>
      <c r="J14" s="40"/>
      <c r="K14" s="40"/>
      <c r="L14" s="40"/>
      <c r="M14" s="40"/>
    </row>
    <row r="15" spans="2:15" x14ac:dyDescent="0.25">
      <c r="I15" s="40"/>
      <c r="J15" s="40"/>
      <c r="K15" s="40"/>
      <c r="L15" s="40"/>
      <c r="M15" s="40"/>
    </row>
    <row r="16" spans="2:15" x14ac:dyDescent="0.25">
      <c r="I16" s="40"/>
      <c r="J16" s="40"/>
      <c r="K16" s="40"/>
      <c r="L16" s="40"/>
      <c r="M16" s="4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"/>
  <sheetViews>
    <sheetView workbookViewId="0">
      <selection activeCell="C9" sqref="C9:M9"/>
    </sheetView>
  </sheetViews>
  <sheetFormatPr defaultColWidth="9.125" defaultRowHeight="18" x14ac:dyDescent="0.25"/>
  <cols>
    <col min="1" max="1" width="2" style="46" customWidth="1"/>
    <col min="2" max="2" width="46.875" style="46" bestFit="1" customWidth="1"/>
    <col min="3" max="3" width="10.125" style="46" customWidth="1"/>
    <col min="4" max="5" width="11.375" style="46" customWidth="1"/>
    <col min="6" max="7" width="12.125" style="46" bestFit="1" customWidth="1"/>
    <col min="8" max="12" width="13" style="46" customWidth="1"/>
    <col min="13" max="13" width="2" style="46" customWidth="1"/>
    <col min="14" max="16384" width="9.125" style="46"/>
  </cols>
  <sheetData>
    <row r="1" spans="2:14" x14ac:dyDescent="0.25">
      <c r="B1" s="45" t="s">
        <v>25</v>
      </c>
      <c r="C1" s="45"/>
      <c r="D1" s="45"/>
      <c r="E1" s="45"/>
    </row>
    <row r="2" spans="2:14" x14ac:dyDescent="0.25">
      <c r="B2" s="46" t="s">
        <v>26</v>
      </c>
    </row>
    <row r="3" spans="2:14" ht="36.75" thickBot="1" x14ac:dyDescent="0.3">
      <c r="B3" s="37" t="s">
        <v>94</v>
      </c>
      <c r="C3" s="38" t="s">
        <v>91</v>
      </c>
      <c r="D3" s="38" t="s">
        <v>1</v>
      </c>
      <c r="E3" s="38" t="s">
        <v>2</v>
      </c>
      <c r="F3" s="38" t="s">
        <v>3</v>
      </c>
      <c r="G3" s="38" t="s">
        <v>92</v>
      </c>
      <c r="H3" s="39" t="s">
        <v>4</v>
      </c>
      <c r="I3" s="39" t="s">
        <v>5</v>
      </c>
      <c r="J3" s="39" t="s">
        <v>6</v>
      </c>
      <c r="K3" s="39" t="s">
        <v>7</v>
      </c>
      <c r="L3" s="39" t="s">
        <v>93</v>
      </c>
      <c r="M3" s="36"/>
      <c r="N3" s="41" t="s">
        <v>12</v>
      </c>
    </row>
    <row r="4" spans="2:14" x14ac:dyDescent="0.25">
      <c r="B4" s="46" t="str">
        <f>'P&amp;L'!B16</f>
        <v>Net Operating Profit After Taxes (NOPAT)</v>
      </c>
      <c r="C4" s="51">
        <f>'P&amp;L'!D16</f>
        <v>1933.4071199999976</v>
      </c>
      <c r="D4" s="51">
        <f>'P&amp;L'!E16</f>
        <v>2586.2103000000016</v>
      </c>
      <c r="E4" s="51">
        <f>'P&amp;L'!F16</f>
        <v>2664.2128799999982</v>
      </c>
      <c r="F4" s="51">
        <f>'P&amp;L'!G16</f>
        <v>3087.545500000002</v>
      </c>
      <c r="G4" s="51">
        <f>'P&amp;L'!H16</f>
        <v>2856.0935000000036</v>
      </c>
      <c r="H4" s="51">
        <f>'P&amp;L'!I16</f>
        <v>5906.921491250002</v>
      </c>
      <c r="I4" s="51">
        <f>'P&amp;L'!J16</f>
        <v>6320.4059956375004</v>
      </c>
      <c r="J4" s="51">
        <f>'P&amp;L'!K16</f>
        <v>6762.8344153321268</v>
      </c>
      <c r="K4" s="51">
        <f>'P&amp;L'!L16</f>
        <v>7236.2328244053751</v>
      </c>
      <c r="L4" s="51">
        <f>'P&amp;L'!M16</f>
        <v>7742.7691221137529</v>
      </c>
    </row>
    <row r="5" spans="2:14" ht="18.75" thickBot="1" x14ac:dyDescent="0.3">
      <c r="B5" s="90" t="s">
        <v>137</v>
      </c>
      <c r="C5" s="91">
        <f>-'P&amp;L assumptions'!D42</f>
        <v>540.45000000000005</v>
      </c>
      <c r="D5" s="91">
        <f>-'P&amp;L assumptions'!E42</f>
        <v>443.25</v>
      </c>
      <c r="E5" s="91">
        <f>-'P&amp;L assumptions'!F42</f>
        <v>502.25</v>
      </c>
      <c r="F5" s="91">
        <f>-'P&amp;L assumptions'!G42</f>
        <v>574.98</v>
      </c>
      <c r="G5" s="91">
        <f>-'P&amp;L assumptions'!H42</f>
        <v>624.44000000000005</v>
      </c>
      <c r="H5" s="91">
        <f>-'P&amp;L assumptions'!I42</f>
        <v>363.50286100000005</v>
      </c>
      <c r="I5" s="91">
        <f>-'P&amp;L assumptions'!J42</f>
        <v>388.9480612700001</v>
      </c>
      <c r="J5" s="91">
        <f>-'P&amp;L assumptions'!K42</f>
        <v>416.17442555890011</v>
      </c>
      <c r="K5" s="91">
        <f>-'P&amp;L assumptions'!L42</f>
        <v>445.30663534802312</v>
      </c>
      <c r="L5" s="91">
        <f>-'P&amp;L assumptions'!M42</f>
        <v>476.47809982238476</v>
      </c>
    </row>
    <row r="6" spans="2:14" x14ac:dyDescent="0.25">
      <c r="B6" s="92" t="s">
        <v>138</v>
      </c>
      <c r="C6" s="93">
        <f>C4+C5</f>
        <v>2473.8571199999978</v>
      </c>
      <c r="D6" s="93">
        <f t="shared" ref="D6:L6" si="0">D4+D5</f>
        <v>3029.4603000000016</v>
      </c>
      <c r="E6" s="93">
        <f t="shared" si="0"/>
        <v>3166.4628799999982</v>
      </c>
      <c r="F6" s="93">
        <f t="shared" si="0"/>
        <v>3662.525500000002</v>
      </c>
      <c r="G6" s="93">
        <f t="shared" si="0"/>
        <v>3480.5335000000036</v>
      </c>
      <c r="H6" s="93">
        <f t="shared" si="0"/>
        <v>6270.4243522500019</v>
      </c>
      <c r="I6" s="93">
        <f t="shared" si="0"/>
        <v>6709.3540569075003</v>
      </c>
      <c r="J6" s="93">
        <f t="shared" si="0"/>
        <v>7179.0088408910269</v>
      </c>
      <c r="K6" s="93">
        <f t="shared" si="0"/>
        <v>7681.5394597533987</v>
      </c>
      <c r="L6" s="93">
        <f t="shared" si="0"/>
        <v>8219.2472219361371</v>
      </c>
    </row>
    <row r="7" spans="2:14" x14ac:dyDescent="0.25">
      <c r="B7" s="46" t="s">
        <v>139</v>
      </c>
      <c r="C7" s="51">
        <f>BS!D6</f>
        <v>1109.9000000000003</v>
      </c>
      <c r="D7" s="51">
        <f>BS!E6</f>
        <v>1461.23</v>
      </c>
      <c r="E7" s="51">
        <f>BS!F6</f>
        <v>992.59999999999945</v>
      </c>
      <c r="F7" s="51">
        <f>BS!G6</f>
        <v>711.61000000000104</v>
      </c>
      <c r="G7" s="51">
        <f>BS!H6</f>
        <v>833.17999999999984</v>
      </c>
      <c r="H7" s="51">
        <f>BS!I6</f>
        <v>290.86577600000066</v>
      </c>
      <c r="I7" s="51">
        <f>BS!J6</f>
        <v>770.62606532000086</v>
      </c>
      <c r="J7" s="51">
        <f>BS!K6</f>
        <v>824.56988989240017</v>
      </c>
      <c r="K7" s="51">
        <f>BS!L6</f>
        <v>882.28978218486782</v>
      </c>
      <c r="L7" s="51">
        <f>BS!M6</f>
        <v>944.05006693780956</v>
      </c>
    </row>
    <row r="8" spans="2:14" x14ac:dyDescent="0.25">
      <c r="B8" s="89" t="s">
        <v>141</v>
      </c>
      <c r="C8" s="99">
        <f>-BS!D13</f>
        <v>-221</v>
      </c>
      <c r="D8" s="99">
        <f>-BS!E13</f>
        <v>267.74999999999977</v>
      </c>
      <c r="E8" s="99">
        <f>-BS!F13</f>
        <v>258.24</v>
      </c>
      <c r="F8" s="99">
        <f>-BS!G13</f>
        <v>-20.259999999999764</v>
      </c>
      <c r="G8" s="99">
        <f>-BS!H13</f>
        <v>-1542.0100000000007</v>
      </c>
      <c r="H8" s="99">
        <f>-BS!I13</f>
        <v>-277.48764376145527</v>
      </c>
      <c r="I8" s="99">
        <f>-BS!J13</f>
        <v>-63.356924976461869</v>
      </c>
      <c r="J8" s="99">
        <f>-BS!K13</f>
        <v>-57.473394604574423</v>
      </c>
      <c r="K8" s="99">
        <f>-BS!L13</f>
        <v>-72.537343405550473</v>
      </c>
      <c r="L8" s="99">
        <f>-BS!M13</f>
        <v>-65.801289482775701</v>
      </c>
    </row>
    <row r="9" spans="2:14" ht="18.75" thickBot="1" x14ac:dyDescent="0.3">
      <c r="B9" s="94" t="s">
        <v>140</v>
      </c>
      <c r="C9" s="100">
        <f>C6-C7+C8</f>
        <v>1142.9571199999975</v>
      </c>
      <c r="D9" s="100">
        <f t="shared" ref="D9:M9" si="1">D6-D7+D8</f>
        <v>1835.9803000000013</v>
      </c>
      <c r="E9" s="100">
        <f t="shared" si="1"/>
        <v>2432.1028799999985</v>
      </c>
      <c r="F9" s="100">
        <f t="shared" si="1"/>
        <v>2930.6555000000012</v>
      </c>
      <c r="G9" s="100">
        <f t="shared" si="1"/>
        <v>1105.3435000000031</v>
      </c>
      <c r="H9" s="100">
        <f t="shared" si="1"/>
        <v>5702.0709324885465</v>
      </c>
      <c r="I9" s="100">
        <f t="shared" si="1"/>
        <v>5875.3710666110383</v>
      </c>
      <c r="J9" s="100">
        <f t="shared" si="1"/>
        <v>6296.9655563940523</v>
      </c>
      <c r="K9" s="100">
        <f t="shared" si="1"/>
        <v>6726.7123341629795</v>
      </c>
      <c r="L9" s="100">
        <f t="shared" si="1"/>
        <v>7209.3958655155511</v>
      </c>
      <c r="M9" s="100">
        <f t="shared" si="1"/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0"/>
  <sheetViews>
    <sheetView showGridLines="0" topLeftCell="A16" zoomScaleNormal="100" workbookViewId="0">
      <selection activeCell="K7" sqref="K7"/>
    </sheetView>
  </sheetViews>
  <sheetFormatPr defaultColWidth="10.875" defaultRowHeight="18.75" outlineLevelCol="1" x14ac:dyDescent="0.3"/>
  <cols>
    <col min="1" max="1" width="3.375" style="57" customWidth="1"/>
    <col min="2" max="2" width="46.625" style="57" bestFit="1" customWidth="1"/>
    <col min="3" max="3" width="42.125" style="57" customWidth="1"/>
    <col min="4" max="4" width="11.125" style="57" customWidth="1"/>
    <col min="5" max="5" width="11.5" style="57" hidden="1" customWidth="1" outlineLevel="1"/>
    <col min="6" max="6" width="19.5" style="57" hidden="1" customWidth="1" outlineLevel="1"/>
    <col min="7" max="7" width="16.625" style="57" hidden="1" customWidth="1" outlineLevel="1"/>
    <col min="8" max="8" width="3.375" style="57" hidden="1" customWidth="1" outlineLevel="1"/>
    <col min="9" max="10" width="20.375" style="57" hidden="1" customWidth="1" outlineLevel="1"/>
    <col min="11" max="11" width="10.875" style="57" collapsed="1"/>
    <col min="12" max="16384" width="10.875" style="57"/>
  </cols>
  <sheetData>
    <row r="1" spans="2:13" ht="19.5" thickBot="1" x14ac:dyDescent="0.35"/>
    <row r="2" spans="2:13" ht="37.5" x14ac:dyDescent="0.3">
      <c r="B2" s="123" t="s">
        <v>114</v>
      </c>
      <c r="C2" s="124"/>
      <c r="E2" s="57" t="s">
        <v>115</v>
      </c>
      <c r="F2" s="58" t="s">
        <v>116</v>
      </c>
      <c r="G2" s="59" t="s">
        <v>117</v>
      </c>
      <c r="I2" s="58" t="s">
        <v>118</v>
      </c>
      <c r="J2" s="59" t="s">
        <v>117</v>
      </c>
    </row>
    <row r="3" spans="2:13" x14ac:dyDescent="0.3">
      <c r="B3" s="60"/>
      <c r="C3" s="61"/>
      <c r="E3" s="118">
        <v>42217</v>
      </c>
      <c r="F3" s="119">
        <v>2043.466797</v>
      </c>
      <c r="G3" s="119">
        <v>6669.3500979999999</v>
      </c>
      <c r="I3" s="62"/>
      <c r="J3" s="62"/>
    </row>
    <row r="4" spans="2:13" ht="19.5" thickBot="1" x14ac:dyDescent="0.35">
      <c r="B4" s="73" t="s">
        <v>119</v>
      </c>
      <c r="C4" s="80"/>
      <c r="E4" s="118">
        <v>42248</v>
      </c>
      <c r="F4" s="119">
        <v>2045.0043949999999</v>
      </c>
      <c r="G4" s="119">
        <v>6646.1000979999999</v>
      </c>
      <c r="I4" s="62">
        <f>F4/F3-1</f>
        <v>7.5244579567290693E-4</v>
      </c>
      <c r="J4" s="62">
        <f>G4/G3-1</f>
        <v>-3.4860967947945021E-3</v>
      </c>
    </row>
    <row r="5" spans="2:13" x14ac:dyDescent="0.3">
      <c r="B5" s="81" t="s">
        <v>120</v>
      </c>
      <c r="C5" s="82">
        <f>C27/SUM(C27,C29)</f>
        <v>0.99427267289744614</v>
      </c>
      <c r="E5" s="118">
        <v>42278</v>
      </c>
      <c r="F5" s="119">
        <v>2170.6340329999998</v>
      </c>
      <c r="G5" s="119">
        <v>6750.9501950000003</v>
      </c>
      <c r="I5" s="62">
        <f t="shared" ref="I5:I50" si="0">F5/F4-1</f>
        <v>6.1432453791865793E-2</v>
      </c>
      <c r="J5" s="62">
        <f t="shared" ref="J5:J50" si="1">G5/G4-1</f>
        <v>1.5776183845252811E-2</v>
      </c>
    </row>
    <row r="6" spans="2:13" x14ac:dyDescent="0.3">
      <c r="B6" s="83" t="s">
        <v>121</v>
      </c>
      <c r="C6" s="84">
        <f>1-C5</f>
        <v>5.7273271025538586E-3</v>
      </c>
      <c r="E6" s="118">
        <v>42309</v>
      </c>
      <c r="F6" s="119">
        <v>2305.1879880000001</v>
      </c>
      <c r="G6" s="119">
        <v>6661.7001950000003</v>
      </c>
      <c r="I6" s="62">
        <f t="shared" si="0"/>
        <v>6.1988319059954833E-2</v>
      </c>
      <c r="J6" s="62">
        <f t="shared" si="1"/>
        <v>-1.3220361196872976E-2</v>
      </c>
    </row>
    <row r="7" spans="2:13" x14ac:dyDescent="0.3">
      <c r="B7" s="85"/>
      <c r="C7" s="86"/>
      <c r="E7" s="118">
        <v>42736</v>
      </c>
      <c r="F7" s="119">
        <v>2772.8654790000001</v>
      </c>
      <c r="G7" s="119">
        <v>7379.2998049999997</v>
      </c>
      <c r="I7" s="62">
        <f t="shared" si="0"/>
        <v>0.20288041297914305</v>
      </c>
      <c r="J7" s="62">
        <f t="shared" si="1"/>
        <v>0.1077201898906528</v>
      </c>
    </row>
    <row r="8" spans="2:13" ht="19.5" thickBot="1" x14ac:dyDescent="0.35">
      <c r="B8" s="87" t="s">
        <v>122</v>
      </c>
      <c r="C8" s="88"/>
      <c r="E8" s="118">
        <v>42767</v>
      </c>
      <c r="F8" s="119">
        <v>2742.928711</v>
      </c>
      <c r="G8" s="119">
        <v>7709.1000979999999</v>
      </c>
      <c r="I8" s="62">
        <f t="shared" si="0"/>
        <v>-1.0796329005760663E-2</v>
      </c>
      <c r="J8" s="62">
        <f t="shared" si="1"/>
        <v>4.4692626904321964E-2</v>
      </c>
    </row>
    <row r="9" spans="2:13" x14ac:dyDescent="0.3">
      <c r="B9" s="63" t="s">
        <v>123</v>
      </c>
      <c r="C9" s="65">
        <v>6.5000000000000002E-2</v>
      </c>
      <c r="E9" s="118">
        <v>42795</v>
      </c>
      <c r="F9" s="119">
        <v>2816.219482</v>
      </c>
      <c r="G9" s="119">
        <v>7995.0498049999997</v>
      </c>
      <c r="I9" s="62">
        <f t="shared" si="0"/>
        <v>2.6719896403461396E-2</v>
      </c>
      <c r="J9" s="62">
        <f t="shared" si="1"/>
        <v>3.7092488534969936E-2</v>
      </c>
    </row>
    <row r="10" spans="2:13" x14ac:dyDescent="0.3">
      <c r="B10" s="63" t="s">
        <v>124</v>
      </c>
      <c r="C10" s="68">
        <f>SLOPE(I4:I50,J4:J50)</f>
        <v>1.1111195310656032</v>
      </c>
      <c r="E10" s="118">
        <v>42826</v>
      </c>
      <c r="F10" s="119">
        <v>2948.3779300000001</v>
      </c>
      <c r="G10" s="119">
        <v>8214.2998050000006</v>
      </c>
      <c r="I10" s="62">
        <f t="shared" si="0"/>
        <v>4.6927609458246033E-2</v>
      </c>
      <c r="J10" s="62">
        <f t="shared" si="1"/>
        <v>2.7423218785064263E-2</v>
      </c>
    </row>
    <row r="11" spans="2:13" x14ac:dyDescent="0.3">
      <c r="B11" s="63" t="s">
        <v>125</v>
      </c>
      <c r="C11" s="65">
        <v>0.05</v>
      </c>
      <c r="E11" s="118">
        <v>42856</v>
      </c>
      <c r="F11" s="119">
        <v>3327.608154</v>
      </c>
      <c r="G11" s="119">
        <v>8350.9501949999994</v>
      </c>
      <c r="I11" s="62">
        <f t="shared" si="0"/>
        <v>0.1286233423949148</v>
      </c>
      <c r="J11" s="62">
        <f t="shared" si="1"/>
        <v>1.6635671115488249E-2</v>
      </c>
    </row>
    <row r="12" spans="2:13" x14ac:dyDescent="0.3">
      <c r="B12" s="69" t="s">
        <v>126</v>
      </c>
      <c r="C12" s="70">
        <f>C9+C10*C11</f>
        <v>0.12055597655328017</v>
      </c>
      <c r="E12" s="118">
        <v>42887</v>
      </c>
      <c r="F12" s="119">
        <v>3288.4282229999999</v>
      </c>
      <c r="G12" s="119">
        <v>8331.5996090000008</v>
      </c>
      <c r="I12" s="62">
        <f t="shared" si="0"/>
        <v>-1.1774202125602873E-2</v>
      </c>
      <c r="J12" s="62">
        <f t="shared" si="1"/>
        <v>-2.3171717646675027E-3</v>
      </c>
    </row>
    <row r="13" spans="2:13" x14ac:dyDescent="0.3">
      <c r="B13" s="63"/>
      <c r="C13" s="71"/>
      <c r="E13" s="118">
        <v>42917</v>
      </c>
      <c r="F13" s="119">
        <v>3274.3469239999999</v>
      </c>
      <c r="G13" s="119">
        <v>8793.2998050000006</v>
      </c>
      <c r="I13" s="62">
        <f t="shared" si="0"/>
        <v>-4.2820758262297476E-3</v>
      </c>
      <c r="J13" s="62">
        <f t="shared" si="1"/>
        <v>5.5415552555029057E-2</v>
      </c>
      <c r="M13" s="72"/>
    </row>
    <row r="14" spans="2:13" x14ac:dyDescent="0.3">
      <c r="B14" s="63" t="s">
        <v>127</v>
      </c>
      <c r="C14" s="64">
        <v>0.08</v>
      </c>
      <c r="E14" s="118">
        <v>42948</v>
      </c>
      <c r="F14" s="119">
        <v>3578.2927249999998</v>
      </c>
      <c r="G14" s="119">
        <v>8694.9501949999994</v>
      </c>
      <c r="I14" s="62">
        <f t="shared" si="0"/>
        <v>9.2826388911989355E-2</v>
      </c>
      <c r="J14" s="62">
        <f t="shared" si="1"/>
        <v>-1.1184607846997152E-2</v>
      </c>
    </row>
    <row r="15" spans="2:13" x14ac:dyDescent="0.3">
      <c r="B15" s="63" t="s">
        <v>128</v>
      </c>
      <c r="C15" s="64">
        <f>'P&amp;L assumptions'!I49</f>
        <v>0.3</v>
      </c>
      <c r="E15" s="118">
        <v>42979</v>
      </c>
      <c r="F15" s="119">
        <v>3380.7529300000001</v>
      </c>
      <c r="G15" s="119">
        <v>8600</v>
      </c>
      <c r="I15" s="62">
        <f t="shared" si="0"/>
        <v>-5.5205040554640372E-2</v>
      </c>
      <c r="J15" s="62">
        <f t="shared" si="1"/>
        <v>-1.092015398254953E-2</v>
      </c>
    </row>
    <row r="16" spans="2:13" x14ac:dyDescent="0.3">
      <c r="B16" s="69" t="s">
        <v>129</v>
      </c>
      <c r="C16" s="70">
        <f>C14*(1-C15)</f>
        <v>5.5999999999999994E-2</v>
      </c>
      <c r="E16" s="118">
        <v>43009</v>
      </c>
      <c r="F16" s="119">
        <v>3448.241211</v>
      </c>
      <c r="G16" s="119">
        <v>9153.5996090000008</v>
      </c>
      <c r="I16" s="62">
        <f t="shared" si="0"/>
        <v>1.9962500187790999E-2</v>
      </c>
      <c r="J16" s="62">
        <f t="shared" si="1"/>
        <v>6.4372047558139522E-2</v>
      </c>
    </row>
    <row r="17" spans="2:10" x14ac:dyDescent="0.3">
      <c r="B17" s="66"/>
      <c r="C17" s="67"/>
      <c r="E17" s="118">
        <v>43040</v>
      </c>
      <c r="F17" s="119">
        <v>3254.5527339999999</v>
      </c>
      <c r="G17" s="119">
        <v>9154.5</v>
      </c>
      <c r="I17" s="62">
        <f t="shared" si="0"/>
        <v>-5.6170222773896383E-2</v>
      </c>
      <c r="J17" s="62">
        <f t="shared" si="1"/>
        <v>9.8364691319297037E-5</v>
      </c>
    </row>
    <row r="18" spans="2:10" x14ac:dyDescent="0.3">
      <c r="B18" s="66"/>
      <c r="C18" s="67"/>
      <c r="E18" s="118">
        <v>43070</v>
      </c>
      <c r="F18" s="119">
        <v>3390.2468260000001</v>
      </c>
      <c r="G18" s="119">
        <v>9490.6503909999992</v>
      </c>
      <c r="I18" s="62">
        <f t="shared" si="0"/>
        <v>4.1693622162706667E-2</v>
      </c>
      <c r="J18" s="62">
        <f t="shared" si="1"/>
        <v>3.6719688786935212E-2</v>
      </c>
    </row>
    <row r="19" spans="2:10" x14ac:dyDescent="0.3">
      <c r="B19" s="73" t="s">
        <v>130</v>
      </c>
      <c r="C19" s="74">
        <f>IF(ISNUMBER($C$5*$C$12),$C$5*$C$12,"n/a")</f>
        <v>0.11986551304139172</v>
      </c>
      <c r="E19" s="118">
        <v>43101</v>
      </c>
      <c r="F19" s="119">
        <v>3306.3227539999998</v>
      </c>
      <c r="G19" s="119">
        <v>9697.9003909999992</v>
      </c>
      <c r="I19" s="62">
        <f t="shared" si="0"/>
        <v>-2.4754561041509304E-2</v>
      </c>
      <c r="J19" s="62">
        <f t="shared" si="1"/>
        <v>2.1837281056789948E-2</v>
      </c>
    </row>
    <row r="20" spans="2:10" x14ac:dyDescent="0.3">
      <c r="B20" s="73" t="s">
        <v>131</v>
      </c>
      <c r="C20" s="74">
        <f>IF(ISNUMBER($C$6*$C$16),$C$6*$C$16,"n/a")</f>
        <v>3.2073031774301606E-4</v>
      </c>
      <c r="E20" s="118">
        <v>43132</v>
      </c>
      <c r="F20" s="119">
        <v>3221.4575199999999</v>
      </c>
      <c r="G20" s="119">
        <v>9261.9003909999992</v>
      </c>
      <c r="I20" s="62">
        <f t="shared" si="0"/>
        <v>-2.5667558890713149E-2</v>
      </c>
      <c r="J20" s="62">
        <f t="shared" si="1"/>
        <v>-4.4958185011327201E-2</v>
      </c>
    </row>
    <row r="21" spans="2:10" x14ac:dyDescent="0.3">
      <c r="B21" s="63"/>
      <c r="C21" s="71"/>
      <c r="E21" s="118">
        <v>43160</v>
      </c>
      <c r="F21" s="119">
        <v>3222.467529</v>
      </c>
      <c r="G21" s="119">
        <v>8912.0996090000008</v>
      </c>
      <c r="I21" s="62">
        <f t="shared" si="0"/>
        <v>3.1352547526375396E-4</v>
      </c>
      <c r="J21" s="62">
        <f t="shared" si="1"/>
        <v>-3.7767711509822277E-2</v>
      </c>
    </row>
    <row r="22" spans="2:10" ht="19.5" thickBot="1" x14ac:dyDescent="0.35">
      <c r="B22" s="75" t="s">
        <v>132</v>
      </c>
      <c r="C22" s="76">
        <f>IF(ISNUMBER(C19+C20),(C19+C20),"n/a")</f>
        <v>0.12018624335913473</v>
      </c>
      <c r="E22" s="118">
        <v>43191</v>
      </c>
      <c r="F22" s="119">
        <v>3394.7878420000002</v>
      </c>
      <c r="G22" s="119">
        <v>9496.5</v>
      </c>
      <c r="I22" s="62">
        <f t="shared" si="0"/>
        <v>5.347464681931946E-2</v>
      </c>
      <c r="J22" s="62">
        <f t="shared" si="1"/>
        <v>6.5573817241656007E-2</v>
      </c>
    </row>
    <row r="23" spans="2:10" ht="20.25" thickTop="1" thickBot="1" x14ac:dyDescent="0.35">
      <c r="B23" s="77"/>
      <c r="C23" s="78"/>
      <c r="E23" s="118">
        <v>43221</v>
      </c>
      <c r="F23" s="119">
        <v>3224.3776859999998</v>
      </c>
      <c r="G23" s="119">
        <v>9315.3496090000008</v>
      </c>
      <c r="I23" s="62">
        <f t="shared" si="0"/>
        <v>-5.019758639750671E-2</v>
      </c>
      <c r="J23" s="62">
        <f t="shared" si="1"/>
        <v>-1.9075490022639863E-2</v>
      </c>
    </row>
    <row r="24" spans="2:10" x14ac:dyDescent="0.3">
      <c r="E24" s="118">
        <v>43252</v>
      </c>
      <c r="F24" s="119">
        <v>3159.4331050000001</v>
      </c>
      <c r="G24" s="119">
        <v>9162.4501949999994</v>
      </c>
      <c r="I24" s="62">
        <f t="shared" si="0"/>
        <v>-2.0141741236451294E-2</v>
      </c>
      <c r="J24" s="62">
        <f t="shared" si="1"/>
        <v>-1.6413706454160182E-2</v>
      </c>
    </row>
    <row r="25" spans="2:10" x14ac:dyDescent="0.3">
      <c r="B25" s="57" t="s">
        <v>133</v>
      </c>
      <c r="C25" s="57">
        <v>19.97</v>
      </c>
      <c r="E25" s="118">
        <v>43282</v>
      </c>
      <c r="F25" s="119">
        <v>2996.57251</v>
      </c>
      <c r="G25" s="119">
        <v>9650.5996090000008</v>
      </c>
      <c r="I25" s="62">
        <f t="shared" si="0"/>
        <v>-5.154741043330302E-2</v>
      </c>
      <c r="J25" s="62">
        <f t="shared" si="1"/>
        <v>5.3277169710170602E-2</v>
      </c>
    </row>
    <row r="26" spans="2:10" x14ac:dyDescent="0.3">
      <c r="B26" s="57" t="s">
        <v>134</v>
      </c>
      <c r="C26" s="79">
        <v>2682</v>
      </c>
      <c r="E26" s="118">
        <v>43313</v>
      </c>
      <c r="F26" s="119">
        <v>3027.2456050000001</v>
      </c>
      <c r="G26" s="119">
        <v>9992</v>
      </c>
      <c r="I26" s="62">
        <f t="shared" si="0"/>
        <v>1.023605966404606E-2</v>
      </c>
      <c r="J26" s="62">
        <f t="shared" si="1"/>
        <v>3.5376080744414562E-2</v>
      </c>
    </row>
    <row r="27" spans="2:10" x14ac:dyDescent="0.3">
      <c r="B27" s="57" t="s">
        <v>135</v>
      </c>
      <c r="C27" s="95">
        <f>C25*C26</f>
        <v>53559.539999999994</v>
      </c>
      <c r="E27" s="118">
        <v>43344</v>
      </c>
      <c r="F27" s="119">
        <v>2729.0151369999999</v>
      </c>
      <c r="G27" s="119">
        <v>9116</v>
      </c>
      <c r="I27" s="62">
        <f t="shared" si="0"/>
        <v>-9.851545163941211E-2</v>
      </c>
      <c r="J27" s="62">
        <f t="shared" si="1"/>
        <v>-8.7670136108887076E-2</v>
      </c>
    </row>
    <row r="28" spans="2:10" x14ac:dyDescent="0.3">
      <c r="E28" s="118">
        <v>43374</v>
      </c>
      <c r="F28" s="119">
        <v>2570.014404</v>
      </c>
      <c r="G28" s="119">
        <v>8753.4501949999994</v>
      </c>
      <c r="I28" s="62">
        <f t="shared" si="0"/>
        <v>-5.826304546437544E-2</v>
      </c>
      <c r="J28" s="62">
        <f t="shared" si="1"/>
        <v>-3.9770711386573065E-2</v>
      </c>
    </row>
    <row r="29" spans="2:10" x14ac:dyDescent="0.3">
      <c r="B29" s="57" t="s">
        <v>136</v>
      </c>
      <c r="C29" s="95">
        <f>'BS Source '!H39+'BS Source '!H47</f>
        <v>308.52</v>
      </c>
      <c r="E29" s="118">
        <v>43405</v>
      </c>
      <c r="F29" s="119">
        <v>2842.4738769999999</v>
      </c>
      <c r="G29" s="119">
        <v>9109.1503909999992</v>
      </c>
      <c r="I29" s="62">
        <f t="shared" si="0"/>
        <v>0.10601476496627438</v>
      </c>
      <c r="J29" s="62">
        <f t="shared" si="1"/>
        <v>4.0635428097046455E-2</v>
      </c>
    </row>
    <row r="30" spans="2:10" x14ac:dyDescent="0.3">
      <c r="E30" s="118">
        <v>43435</v>
      </c>
      <c r="F30" s="119">
        <v>2888.1088869999999</v>
      </c>
      <c r="G30" s="119">
        <v>9170</v>
      </c>
      <c r="I30" s="62">
        <f t="shared" si="0"/>
        <v>1.6054680526444765E-2</v>
      </c>
      <c r="J30" s="62">
        <f t="shared" si="1"/>
        <v>6.6800531759934056E-3</v>
      </c>
    </row>
    <row r="31" spans="2:10" x14ac:dyDescent="0.3">
      <c r="E31" s="118">
        <v>43466</v>
      </c>
      <c r="F31" s="119">
        <v>2431.9470209999999</v>
      </c>
      <c r="G31" s="119">
        <v>9003.8496090000008</v>
      </c>
      <c r="I31" s="62">
        <f t="shared" si="0"/>
        <v>-0.15794482959187683</v>
      </c>
      <c r="J31" s="62">
        <f t="shared" si="1"/>
        <v>-1.8118908505997733E-2</v>
      </c>
    </row>
    <row r="32" spans="2:10" x14ac:dyDescent="0.3">
      <c r="E32" s="118">
        <v>43497</v>
      </c>
      <c r="F32" s="119">
        <v>2445.1118160000001</v>
      </c>
      <c r="G32" s="119">
        <v>8955.9501949999994</v>
      </c>
      <c r="I32" s="62">
        <f t="shared" si="0"/>
        <v>5.4132737622658578E-3</v>
      </c>
      <c r="J32" s="62">
        <f t="shared" si="1"/>
        <v>-5.3198816150952233E-3</v>
      </c>
    </row>
    <row r="33" spans="5:10" x14ac:dyDescent="0.3">
      <c r="E33" s="118">
        <v>43525</v>
      </c>
      <c r="F33" s="119">
        <v>2420.6828609999998</v>
      </c>
      <c r="G33" s="119">
        <v>9663.7001949999994</v>
      </c>
      <c r="I33" s="62">
        <f t="shared" si="0"/>
        <v>-9.9909357274154953E-3</v>
      </c>
      <c r="J33" s="62">
        <f t="shared" si="1"/>
        <v>7.9025673947486608E-2</v>
      </c>
    </row>
    <row r="34" spans="5:10" x14ac:dyDescent="0.3">
      <c r="E34" s="118">
        <v>43556</v>
      </c>
      <c r="F34" s="119">
        <v>2381.5258789999998</v>
      </c>
      <c r="G34" s="119">
        <v>9664.2998050000006</v>
      </c>
      <c r="I34" s="62">
        <f t="shared" si="0"/>
        <v>-1.6176006626421047E-2</v>
      </c>
      <c r="J34" s="62">
        <f t="shared" si="1"/>
        <v>6.2047661651520869E-5</v>
      </c>
    </row>
    <row r="35" spans="5:10" x14ac:dyDescent="0.3">
      <c r="E35" s="118">
        <v>43586</v>
      </c>
      <c r="F35" s="119">
        <v>2541.1884770000001</v>
      </c>
      <c r="G35" s="119">
        <v>9805.0498050000006</v>
      </c>
      <c r="I35" s="62">
        <f t="shared" si="0"/>
        <v>6.7042142774044633E-2</v>
      </c>
      <c r="J35" s="62">
        <f t="shared" si="1"/>
        <v>1.4563910768494726E-2</v>
      </c>
    </row>
    <row r="36" spans="5:10" x14ac:dyDescent="0.3">
      <c r="E36" s="118">
        <v>43617</v>
      </c>
      <c r="F36" s="119">
        <v>2447.5622560000002</v>
      </c>
      <c r="G36" s="119">
        <v>9657.9501949999994</v>
      </c>
      <c r="I36" s="62">
        <f t="shared" si="0"/>
        <v>-3.6843477706356653E-2</v>
      </c>
      <c r="J36" s="62">
        <f t="shared" si="1"/>
        <v>-1.5002433738275256E-2</v>
      </c>
    </row>
    <row r="37" spans="5:10" x14ac:dyDescent="0.3">
      <c r="E37" s="118">
        <v>43647</v>
      </c>
      <c r="F37" s="119">
        <v>2233.8569339999999</v>
      </c>
      <c r="G37" s="119">
        <v>9044.9501949999994</v>
      </c>
      <c r="I37" s="62">
        <f t="shared" si="0"/>
        <v>-8.731353879809145E-2</v>
      </c>
      <c r="J37" s="62">
        <f t="shared" si="1"/>
        <v>-6.3471025178547191E-2</v>
      </c>
    </row>
    <row r="38" spans="5:10" x14ac:dyDescent="0.3">
      <c r="E38" s="118">
        <v>43678</v>
      </c>
      <c r="F38" s="119">
        <v>2501.1044919999999</v>
      </c>
      <c r="G38" s="119">
        <v>8977.5498050000006</v>
      </c>
      <c r="I38" s="62">
        <f t="shared" si="0"/>
        <v>0.11963503746923476</v>
      </c>
      <c r="J38" s="62">
        <f t="shared" si="1"/>
        <v>-7.4517148847604853E-3</v>
      </c>
    </row>
    <row r="39" spans="5:10" x14ac:dyDescent="0.3">
      <c r="E39" s="118">
        <v>43709</v>
      </c>
      <c r="F39" s="119">
        <v>2630.1440429999998</v>
      </c>
      <c r="G39" s="119">
        <v>9340.9003909999992</v>
      </c>
      <c r="I39" s="62">
        <f t="shared" si="0"/>
        <v>5.1593026765872407E-2</v>
      </c>
      <c r="J39" s="62">
        <f t="shared" si="1"/>
        <v>4.0473246475071889E-2</v>
      </c>
    </row>
    <row r="40" spans="5:10" x14ac:dyDescent="0.3">
      <c r="E40" s="118">
        <v>43739</v>
      </c>
      <c r="F40" s="119">
        <v>2629.6091310000002</v>
      </c>
      <c r="G40" s="119">
        <v>9689.6503909999992</v>
      </c>
      <c r="I40" s="62">
        <f t="shared" si="0"/>
        <v>-2.0337745433496313E-4</v>
      </c>
      <c r="J40" s="62">
        <f t="shared" si="1"/>
        <v>3.733580119706903E-2</v>
      </c>
    </row>
    <row r="41" spans="5:10" x14ac:dyDescent="0.3">
      <c r="E41" s="118">
        <v>43770</v>
      </c>
      <c r="F41" s="119">
        <v>2366.4248050000001</v>
      </c>
      <c r="G41" s="119">
        <v>9813.6503909999992</v>
      </c>
      <c r="I41" s="62">
        <f t="shared" si="0"/>
        <v>-0.10008496049749993</v>
      </c>
      <c r="J41" s="62">
        <f t="shared" si="1"/>
        <v>1.2797159339739794E-2</v>
      </c>
    </row>
    <row r="42" spans="5:10" x14ac:dyDescent="0.3">
      <c r="E42" s="118">
        <v>43800</v>
      </c>
      <c r="F42" s="119">
        <v>2375.6625979999999</v>
      </c>
      <c r="G42" s="119">
        <v>9872.5498050000006</v>
      </c>
      <c r="I42" s="62">
        <f t="shared" si="0"/>
        <v>3.9036917549550854E-3</v>
      </c>
      <c r="J42" s="62">
        <f t="shared" si="1"/>
        <v>6.0017844179589552E-3</v>
      </c>
    </row>
    <row r="43" spans="5:10" x14ac:dyDescent="0.3">
      <c r="E43" s="118">
        <v>43831</v>
      </c>
      <c r="F43" s="119">
        <v>2432.8408199999999</v>
      </c>
      <c r="G43" s="119">
        <v>9987.5498050000006</v>
      </c>
      <c r="I43" s="62">
        <f t="shared" si="0"/>
        <v>2.406832605275544E-2</v>
      </c>
      <c r="J43" s="62">
        <f t="shared" si="1"/>
        <v>1.1648459847906523E-2</v>
      </c>
    </row>
    <row r="44" spans="5:10" x14ac:dyDescent="0.3">
      <c r="E44" s="118">
        <v>43862</v>
      </c>
      <c r="F44" s="119">
        <v>1995.1560059999999</v>
      </c>
      <c r="G44" s="119">
        <v>9236.0498050000006</v>
      </c>
      <c r="I44" s="62">
        <f t="shared" si="0"/>
        <v>-0.17990688515329989</v>
      </c>
      <c r="J44" s="62">
        <f t="shared" si="1"/>
        <v>-7.5243679848663314E-2</v>
      </c>
    </row>
    <row r="45" spans="5:10" x14ac:dyDescent="0.3">
      <c r="E45" s="118">
        <v>43891</v>
      </c>
      <c r="F45" s="119">
        <v>1596.4499510000001</v>
      </c>
      <c r="G45" s="119">
        <v>6996.75</v>
      </c>
      <c r="I45" s="62">
        <f t="shared" si="0"/>
        <v>-0.19983703219245896</v>
      </c>
      <c r="J45" s="62">
        <f t="shared" si="1"/>
        <v>-0.24245211451628812</v>
      </c>
    </row>
    <row r="46" spans="5:10" x14ac:dyDescent="0.3">
      <c r="E46" s="118">
        <v>43922</v>
      </c>
      <c r="F46" s="119">
        <v>2166.6999510000001</v>
      </c>
      <c r="G46" s="119">
        <v>8012.8999020000001</v>
      </c>
      <c r="I46" s="62">
        <f t="shared" si="0"/>
        <v>0.35719879576732194</v>
      </c>
      <c r="J46" s="62">
        <f t="shared" si="1"/>
        <v>0.14523170071819069</v>
      </c>
    </row>
    <row r="47" spans="5:10" x14ac:dyDescent="0.3">
      <c r="E47" s="118">
        <v>43952</v>
      </c>
      <c r="F47" s="119">
        <v>2360.8500979999999</v>
      </c>
      <c r="G47" s="119">
        <v>7822.3999020000001</v>
      </c>
      <c r="I47" s="62">
        <f t="shared" si="0"/>
        <v>8.9606383620580932E-2</v>
      </c>
      <c r="J47" s="62">
        <f t="shared" si="1"/>
        <v>-2.3774164451056179E-2</v>
      </c>
    </row>
    <row r="48" spans="5:10" x14ac:dyDescent="0.3">
      <c r="E48" s="118">
        <v>43983</v>
      </c>
      <c r="F48" s="119">
        <v>2546.9499510000001</v>
      </c>
      <c r="G48" s="119">
        <v>8474.7998050000006</v>
      </c>
      <c r="I48" s="62">
        <f t="shared" si="0"/>
        <v>7.8827475390180535E-2</v>
      </c>
      <c r="J48" s="62">
        <f t="shared" si="1"/>
        <v>8.3401502246541748E-2</v>
      </c>
    </row>
    <row r="49" spans="5:10" x14ac:dyDescent="0.3">
      <c r="E49" s="118">
        <v>44013</v>
      </c>
      <c r="F49" s="119">
        <v>2691.4499510000001</v>
      </c>
      <c r="G49" s="119">
        <v>8813.9501949999994</v>
      </c>
      <c r="I49" s="62">
        <f t="shared" si="0"/>
        <v>5.6734526700560117E-2</v>
      </c>
      <c r="J49" s="62">
        <f t="shared" si="1"/>
        <v>4.0018690447402028E-2</v>
      </c>
    </row>
    <row r="50" spans="5:10" x14ac:dyDescent="0.3">
      <c r="E50" s="118">
        <v>44022</v>
      </c>
      <c r="F50" s="119">
        <v>2682</v>
      </c>
      <c r="G50" s="119">
        <v>8813.9501949999994</v>
      </c>
      <c r="I50" s="62">
        <f t="shared" si="0"/>
        <v>-3.51110040017244E-3</v>
      </c>
      <c r="J50" s="62">
        <f t="shared" si="1"/>
        <v>0</v>
      </c>
    </row>
  </sheetData>
  <mergeCells count="1">
    <mergeCell ref="B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showGridLines="0" tabSelected="1" topLeftCell="A7" workbookViewId="0">
      <selection activeCell="C29" sqref="C29"/>
    </sheetView>
  </sheetViews>
  <sheetFormatPr defaultColWidth="9.125" defaultRowHeight="18" x14ac:dyDescent="0.25"/>
  <cols>
    <col min="1" max="1" width="2" style="36" customWidth="1"/>
    <col min="2" max="2" width="49" style="36" bestFit="1" customWidth="1"/>
    <col min="3" max="3" width="14.125" style="36" bestFit="1" customWidth="1"/>
    <col min="4" max="5" width="10.625" style="36" customWidth="1"/>
    <col min="6" max="6" width="11.875" style="36" customWidth="1"/>
    <col min="7" max="7" width="14.75" style="36" customWidth="1"/>
    <col min="8" max="8" width="13.5" style="36" customWidth="1"/>
    <col min="9" max="9" width="15.375" style="36" customWidth="1"/>
    <col min="10" max="10" width="14.375" style="36" bestFit="1" customWidth="1"/>
    <col min="11" max="11" width="14.5" style="36" customWidth="1"/>
    <col min="12" max="12" width="14.375" style="36" bestFit="1" customWidth="1"/>
    <col min="13" max="13" width="12.625" style="36" customWidth="1"/>
    <col min="14" max="14" width="34.875" style="36" customWidth="1"/>
    <col min="15" max="16384" width="9.125" style="36"/>
  </cols>
  <sheetData>
    <row r="1" spans="2:14" x14ac:dyDescent="0.25">
      <c r="B1" s="35" t="s">
        <v>27</v>
      </c>
      <c r="C1" s="35"/>
      <c r="D1" s="35"/>
    </row>
    <row r="2" spans="2:14" x14ac:dyDescent="0.25">
      <c r="B2" s="35"/>
      <c r="C2" s="35"/>
      <c r="D2" s="35"/>
    </row>
    <row r="3" spans="2:14" x14ac:dyDescent="0.25">
      <c r="B3" s="36" t="s">
        <v>142</v>
      </c>
      <c r="C3" s="101">
        <f>WACC!C22</f>
        <v>0.12018624335913473</v>
      </c>
      <c r="D3" s="35"/>
    </row>
    <row r="4" spans="2:14" x14ac:dyDescent="0.25">
      <c r="B4" s="36" t="s">
        <v>143</v>
      </c>
      <c r="C4" s="101">
        <v>-1.6589921788628909E-2</v>
      </c>
    </row>
    <row r="6" spans="2:14" ht="36.75" thickBot="1" x14ac:dyDescent="0.3">
      <c r="B6" s="37" t="s">
        <v>94</v>
      </c>
      <c r="C6" s="38" t="s">
        <v>91</v>
      </c>
      <c r="D6" s="38" t="s">
        <v>1</v>
      </c>
      <c r="E6" s="38" t="s">
        <v>2</v>
      </c>
      <c r="F6" s="38" t="s">
        <v>3</v>
      </c>
      <c r="G6" s="38" t="s">
        <v>92</v>
      </c>
      <c r="H6" s="39" t="s">
        <v>4</v>
      </c>
      <c r="I6" s="39" t="s">
        <v>5</v>
      </c>
      <c r="J6" s="39" t="s">
        <v>6</v>
      </c>
      <c r="K6" s="39" t="s">
        <v>7</v>
      </c>
      <c r="L6" s="39" t="s">
        <v>93</v>
      </c>
      <c r="N6" s="41" t="s">
        <v>12</v>
      </c>
    </row>
    <row r="7" spans="2:14" x14ac:dyDescent="0.25">
      <c r="B7" s="36" t="str">
        <f>'Cash Flow'!B9</f>
        <v>Net Cash Flow</v>
      </c>
      <c r="C7" s="51">
        <f>'Cash Flow'!C9</f>
        <v>1142.9571199999975</v>
      </c>
      <c r="D7" s="51">
        <f>'Cash Flow'!D9</f>
        <v>1835.9803000000013</v>
      </c>
      <c r="E7" s="51">
        <f>'Cash Flow'!E9</f>
        <v>2432.1028799999985</v>
      </c>
      <c r="F7" s="51">
        <f>'Cash Flow'!F9</f>
        <v>2930.6555000000012</v>
      </c>
      <c r="G7" s="51">
        <f>'Cash Flow'!G9</f>
        <v>1105.3435000000031</v>
      </c>
      <c r="H7" s="51">
        <f>'Cash Flow'!H9</f>
        <v>5702.0709324885465</v>
      </c>
      <c r="I7" s="51">
        <f>'Cash Flow'!I9</f>
        <v>5875.3710666110383</v>
      </c>
      <c r="J7" s="51">
        <f>'Cash Flow'!J9</f>
        <v>6296.9655563940523</v>
      </c>
      <c r="K7" s="51">
        <f>'Cash Flow'!K9</f>
        <v>6726.7123341629795</v>
      </c>
      <c r="L7" s="51">
        <f>'Cash Flow'!L9</f>
        <v>7209.3958655155511</v>
      </c>
    </row>
    <row r="8" spans="2:14" x14ac:dyDescent="0.25">
      <c r="B8" s="36" t="s">
        <v>144</v>
      </c>
      <c r="H8" s="50">
        <f>1/(1+$C$3)^1</f>
        <v>0.89270869547663001</v>
      </c>
      <c r="I8" s="50">
        <f>1/(1+$C$3)^2</f>
        <v>0.79692881497958645</v>
      </c>
      <c r="J8" s="50">
        <f>1/(1+$C$3)^3</f>
        <v>0.71142528280816331</v>
      </c>
      <c r="K8" s="50">
        <f>1/(1+$C$3)^4</f>
        <v>0.63509553614476799</v>
      </c>
      <c r="L8" s="50">
        <f>1/(1+$C$3)^5</f>
        <v>0.56695530757482682</v>
      </c>
    </row>
    <row r="9" spans="2:14" ht="18.75" thickBot="1" x14ac:dyDescent="0.3">
      <c r="B9" s="102" t="s">
        <v>145</v>
      </c>
      <c r="C9" s="102"/>
      <c r="D9" s="102"/>
      <c r="E9" s="102"/>
      <c r="F9" s="102"/>
      <c r="G9" s="102"/>
      <c r="H9" s="103">
        <f>H7*H8</f>
        <v>5090.288303657062</v>
      </c>
      <c r="I9" s="103">
        <f t="shared" ref="I9:L9" si="0">I7*I8</f>
        <v>4682.2525016796835</v>
      </c>
      <c r="J9" s="103">
        <f t="shared" si="0"/>
        <v>4479.8205017909022</v>
      </c>
      <c r="K9" s="103">
        <f t="shared" si="0"/>
        <v>4272.1049763568608</v>
      </c>
      <c r="L9" s="103">
        <f t="shared" si="0"/>
        <v>4087.4052503620542</v>
      </c>
    </row>
    <row r="11" spans="2:14" x14ac:dyDescent="0.25">
      <c r="B11" s="36" t="s">
        <v>161</v>
      </c>
      <c r="C11" s="36">
        <f>SUM(H9:L9)</f>
        <v>22611.871533846563</v>
      </c>
      <c r="D11" s="49">
        <f>C11/C14</f>
        <v>0.4348436830699221</v>
      </c>
    </row>
    <row r="12" spans="2:14" x14ac:dyDescent="0.25">
      <c r="B12" s="36" t="s">
        <v>162</v>
      </c>
      <c r="C12" s="36">
        <f>L7*(1+C4)/(C3-C4)</f>
        <v>51835.00023051571</v>
      </c>
      <c r="D12" s="49"/>
    </row>
    <row r="13" spans="2:14" x14ac:dyDescent="0.25">
      <c r="B13" s="36" t="s">
        <v>163</v>
      </c>
      <c r="C13" s="36">
        <f>C12*L8</f>
        <v>29388.128498833252</v>
      </c>
      <c r="D13" s="49">
        <f>C13/C14</f>
        <v>0.56515631693007784</v>
      </c>
    </row>
    <row r="14" spans="2:14" ht="18.75" thickBot="1" x14ac:dyDescent="0.3">
      <c r="B14" s="122" t="s">
        <v>164</v>
      </c>
      <c r="C14" s="122">
        <f>C13+C11</f>
        <v>52000.000032679818</v>
      </c>
      <c r="F14" s="48" t="s">
        <v>165</v>
      </c>
    </row>
    <row r="15" spans="2:14" ht="18.75" thickTop="1" x14ac:dyDescent="0.25">
      <c r="B15" s="36" t="s">
        <v>166</v>
      </c>
    </row>
    <row r="16" spans="2:14" x14ac:dyDescent="0.25">
      <c r="B16" s="36" t="s">
        <v>136</v>
      </c>
      <c r="C16" s="36">
        <f>'BS Source '!H39+'BS Source '!H47</f>
        <v>308.52</v>
      </c>
      <c r="F16" s="112">
        <f>C14</f>
        <v>52000.000032679818</v>
      </c>
      <c r="G16" s="113">
        <v>0</v>
      </c>
      <c r="H16" s="113">
        <v>0.01</v>
      </c>
      <c r="I16" s="113">
        <v>0.02</v>
      </c>
      <c r="J16" s="113">
        <v>0.03</v>
      </c>
      <c r="K16" s="113">
        <v>0.04</v>
      </c>
    </row>
    <row r="17" spans="2:11" x14ac:dyDescent="0.25">
      <c r="B17" s="36" t="s">
        <v>167</v>
      </c>
      <c r="F17" s="120">
        <v>6.8000000000000005E-2</v>
      </c>
      <c r="G17" s="112">
        <f t="dataTable" ref="G17:K21" dt2D="1" dtr="1" r1="C4" r2="C3"/>
        <v>102319.60732660063</v>
      </c>
      <c r="H17" s="112">
        <v>116369.62776820551</v>
      </c>
      <c r="I17" s="112">
        <v>136273.8233938124</v>
      </c>
      <c r="J17" s="112">
        <v>166653.91145394929</v>
      </c>
      <c r="K17" s="112">
        <v>218734.06241418386</v>
      </c>
    </row>
    <row r="18" spans="2:11" x14ac:dyDescent="0.25">
      <c r="B18" s="108" t="s">
        <v>55</v>
      </c>
      <c r="C18" s="121">
        <v>1705.89</v>
      </c>
      <c r="F18" s="120">
        <v>7.8E-2</v>
      </c>
      <c r="G18" s="112">
        <v>88796.149910157663</v>
      </c>
      <c r="H18" s="112">
        <v>98861.301366066094</v>
      </c>
      <c r="I18" s="112">
        <v>112397.19470332231</v>
      </c>
      <c r="J18" s="112">
        <v>131573.04359776856</v>
      </c>
      <c r="K18" s="112">
        <v>160841.44454192341</v>
      </c>
    </row>
    <row r="19" spans="2:11" x14ac:dyDescent="0.25">
      <c r="B19" s="108" t="s">
        <v>56</v>
      </c>
      <c r="C19" s="121">
        <v>1234.06</v>
      </c>
      <c r="F19" s="120">
        <v>8.7999999999999995E-2</v>
      </c>
      <c r="G19" s="112">
        <v>78359.667625548303</v>
      </c>
      <c r="H19" s="112">
        <v>85855.260969080351</v>
      </c>
      <c r="I19" s="112">
        <v>95555.440590121842</v>
      </c>
      <c r="J19" s="112">
        <v>108600.50973566037</v>
      </c>
      <c r="K19" s="112">
        <v>127081.02435850661</v>
      </c>
    </row>
    <row r="20" spans="2:11" x14ac:dyDescent="0.25">
      <c r="B20" s="108" t="s">
        <v>57</v>
      </c>
      <c r="C20" s="121">
        <v>60.12</v>
      </c>
      <c r="F20" s="120">
        <v>9.8000000000000004E-2</v>
      </c>
      <c r="G20" s="112">
        <v>70064.589470909748</v>
      </c>
      <c r="H20" s="112">
        <v>75816.084712808908</v>
      </c>
      <c r="I20" s="112">
        <v>83042.322324425782</v>
      </c>
      <c r="J20" s="112">
        <v>92393.923939459375</v>
      </c>
      <c r="K20" s="112">
        <v>104970.21576657354</v>
      </c>
    </row>
    <row r="21" spans="2:11" x14ac:dyDescent="0.25">
      <c r="B21" s="108" t="s">
        <v>59</v>
      </c>
      <c r="C21" s="121">
        <v>0</v>
      </c>
      <c r="F21" s="120">
        <v>0.108</v>
      </c>
      <c r="G21" s="112">
        <v>63315.586088236858</v>
      </c>
      <c r="H21" s="112">
        <v>67835.08202620357</v>
      </c>
      <c r="I21" s="112">
        <v>73381.736131889993</v>
      </c>
      <c r="J21" s="112">
        <v>80350.609239034471</v>
      </c>
      <c r="K21" s="112">
        <v>89369.150907103787</v>
      </c>
    </row>
    <row r="22" spans="2:11" x14ac:dyDescent="0.25">
      <c r="B22" s="108" t="s">
        <v>56</v>
      </c>
      <c r="C22" s="121">
        <v>2745.11</v>
      </c>
    </row>
    <row r="23" spans="2:11" x14ac:dyDescent="0.25">
      <c r="B23" s="108" t="s">
        <v>57</v>
      </c>
      <c r="C23" s="121">
        <v>23.22</v>
      </c>
    </row>
    <row r="24" spans="2:11" x14ac:dyDescent="0.25">
      <c r="B24" s="108" t="s">
        <v>66</v>
      </c>
      <c r="C24" s="121">
        <v>208.12</v>
      </c>
    </row>
    <row r="25" spans="2:11" x14ac:dyDescent="0.25">
      <c r="B25" s="108" t="s">
        <v>67</v>
      </c>
      <c r="C25" s="121">
        <v>95.78</v>
      </c>
    </row>
    <row r="26" spans="2:11" x14ac:dyDescent="0.25">
      <c r="B26" s="108" t="s">
        <v>57</v>
      </c>
      <c r="C26" s="121">
        <v>23.22</v>
      </c>
    </row>
    <row r="27" spans="2:11" x14ac:dyDescent="0.25">
      <c r="B27" s="108" t="s">
        <v>58</v>
      </c>
      <c r="C27" s="121">
        <v>1.86</v>
      </c>
    </row>
    <row r="28" spans="2:11" x14ac:dyDescent="0.25">
      <c r="B28" s="108" t="s">
        <v>68</v>
      </c>
      <c r="C28" s="121">
        <v>654.19000000000005</v>
      </c>
    </row>
    <row r="29" spans="2:11" ht="18.75" thickBot="1" x14ac:dyDescent="0.3">
      <c r="B29" s="122" t="s">
        <v>168</v>
      </c>
      <c r="C29" s="122">
        <f>C14-C16+SUM(C18:C28)</f>
        <v>58443.050032679821</v>
      </c>
    </row>
    <row r="30" spans="2:11" ht="18.75" thickTop="1" x14ac:dyDescent="0.25">
      <c r="B30" s="36" t="s">
        <v>169</v>
      </c>
      <c r="C30" s="36">
        <v>20</v>
      </c>
    </row>
    <row r="31" spans="2:11" x14ac:dyDescent="0.25">
      <c r="B31" s="36" t="s">
        <v>170</v>
      </c>
      <c r="C31" s="36">
        <f>C29/C30</f>
        <v>2922.1525016339911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:B11"/>
  <sheetViews>
    <sheetView workbookViewId="0"/>
  </sheetViews>
  <sheetFormatPr defaultColWidth="9.125" defaultRowHeight="12" x14ac:dyDescent="0.2"/>
  <cols>
    <col min="1" max="1" width="2" style="2" customWidth="1"/>
    <col min="2" max="16384" width="9.125" style="2"/>
  </cols>
  <sheetData>
    <row r="1" spans="2:2" ht="15.75" x14ac:dyDescent="0.25">
      <c r="B1" s="1"/>
    </row>
    <row r="11" spans="2:2" ht="50.25" x14ac:dyDescent="0.7">
      <c r="B11" s="3" t="s">
        <v>28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6"/>
  <sheetViews>
    <sheetView showGridLines="0" workbookViewId="0">
      <selection activeCell="B13" sqref="B13"/>
    </sheetView>
  </sheetViews>
  <sheetFormatPr defaultColWidth="11" defaultRowHeight="15.75" x14ac:dyDescent="0.25"/>
  <cols>
    <col min="1" max="1" width="2.125" customWidth="1"/>
    <col min="2" max="2" width="39.125" customWidth="1"/>
    <col min="3" max="8" width="13.5" customWidth="1"/>
    <col min="9" max="9" width="20.625" customWidth="1"/>
  </cols>
  <sheetData>
    <row r="1" spans="2:9" ht="23.25" x14ac:dyDescent="0.35">
      <c r="B1" s="4" t="s">
        <v>30</v>
      </c>
      <c r="C1" s="4"/>
      <c r="D1" s="4"/>
      <c r="E1" s="4"/>
    </row>
    <row r="2" spans="2:9" x14ac:dyDescent="0.25">
      <c r="B2" s="5" t="s">
        <v>31</v>
      </c>
      <c r="C2" s="5"/>
      <c r="D2" s="5"/>
      <c r="E2" s="5"/>
    </row>
    <row r="4" spans="2:9" x14ac:dyDescent="0.25">
      <c r="B4" s="6" t="s">
        <v>32</v>
      </c>
      <c r="C4" s="7">
        <v>41699</v>
      </c>
      <c r="D4" s="7">
        <v>42064</v>
      </c>
      <c r="E4" s="7">
        <v>42430</v>
      </c>
      <c r="F4" s="7">
        <v>42795</v>
      </c>
      <c r="G4" s="7">
        <v>43160</v>
      </c>
      <c r="H4" s="7">
        <v>43525</v>
      </c>
    </row>
    <row r="5" spans="2:9" x14ac:dyDescent="0.25">
      <c r="B5" s="8" t="s">
        <v>33</v>
      </c>
      <c r="C5" s="9">
        <v>27005.26</v>
      </c>
      <c r="D5" s="9">
        <v>29020.98</v>
      </c>
      <c r="E5" s="9">
        <v>30715.33</v>
      </c>
      <c r="F5" s="9">
        <v>30983.66</v>
      </c>
      <c r="G5" s="9">
        <v>33100.94</v>
      </c>
      <c r="H5" s="9">
        <v>33972.230000000003</v>
      </c>
      <c r="I5" s="10" t="s">
        <v>34</v>
      </c>
    </row>
    <row r="6" spans="2:9" x14ac:dyDescent="0.25">
      <c r="B6" t="s">
        <v>15</v>
      </c>
      <c r="C6" s="11"/>
      <c r="D6" s="11"/>
      <c r="E6" s="11"/>
      <c r="F6" s="11"/>
      <c r="G6" s="11"/>
      <c r="H6" s="11"/>
    </row>
    <row r="7" spans="2:9" x14ac:dyDescent="0.25">
      <c r="B7" t="s">
        <v>35</v>
      </c>
      <c r="C7" s="11">
        <f>-18221.53-8.36</f>
        <v>-18229.89</v>
      </c>
      <c r="D7" s="11">
        <f>-19790.4+75.1</f>
        <v>-19715.300000000003</v>
      </c>
      <c r="E7" s="11">
        <f>-19357.96+49.86</f>
        <v>-19308.099999999999</v>
      </c>
      <c r="F7" s="11">
        <f>-(19019.34+96.74)</f>
        <v>-19116.080000000002</v>
      </c>
      <c r="G7" s="11">
        <f>-(21995.94-110.12)</f>
        <v>-21885.82</v>
      </c>
      <c r="H7" s="11">
        <f>-23503.46+59.04</f>
        <v>-23444.42</v>
      </c>
      <c r="I7" s="10" t="s">
        <v>34</v>
      </c>
    </row>
    <row r="8" spans="2:9" x14ac:dyDescent="0.25">
      <c r="B8" t="s">
        <v>36</v>
      </c>
      <c r="C8" s="11">
        <v>-1880.35</v>
      </c>
      <c r="D8" s="11">
        <v>-1717.65</v>
      </c>
      <c r="E8" s="11">
        <v>-2258.21</v>
      </c>
      <c r="F8" s="11">
        <v>-2373.23</v>
      </c>
      <c r="G8" s="11">
        <v>-642.57000000000005</v>
      </c>
      <c r="H8" s="11">
        <v>-1.41</v>
      </c>
      <c r="I8" s="10" t="s">
        <v>34</v>
      </c>
    </row>
    <row r="9" spans="2:9" x14ac:dyDescent="0.25">
      <c r="B9" t="s">
        <v>37</v>
      </c>
      <c r="C9" s="11">
        <v>-930.35</v>
      </c>
      <c r="D9" s="11">
        <v>-1178.72</v>
      </c>
      <c r="E9" s="11">
        <v>-1339.46</v>
      </c>
      <c r="F9" s="11">
        <v>-1432.49</v>
      </c>
      <c r="G9" s="11">
        <v>-1583.71</v>
      </c>
      <c r="H9" s="11">
        <v>-1778.03</v>
      </c>
      <c r="I9" s="10" t="s">
        <v>34</v>
      </c>
    </row>
    <row r="10" spans="2:9" x14ac:dyDescent="0.25">
      <c r="B10" t="s">
        <v>38</v>
      </c>
      <c r="C10" s="11">
        <f>150.56-2576.13</f>
        <v>-2425.5700000000002</v>
      </c>
      <c r="D10" s="11">
        <f>234.7-3147.28</f>
        <v>-2912.5800000000004</v>
      </c>
      <c r="E10" s="11">
        <v>-3411.86</v>
      </c>
      <c r="F10" s="11">
        <v>-3485.89</v>
      </c>
      <c r="G10" s="11">
        <v>-3663.79</v>
      </c>
      <c r="H10" s="11">
        <v>-3729.94</v>
      </c>
      <c r="I10" s="10" t="s">
        <v>34</v>
      </c>
    </row>
    <row r="11" spans="2:9" x14ac:dyDescent="0.25">
      <c r="B11" s="19" t="s">
        <v>39</v>
      </c>
      <c r="C11" s="33">
        <f t="shared" ref="C11:E11" si="0">SUM(C7:C10)</f>
        <v>-23466.159999999996</v>
      </c>
      <c r="D11" s="33">
        <f t="shared" si="0"/>
        <v>-25524.250000000007</v>
      </c>
      <c r="E11" s="33">
        <f t="shared" si="0"/>
        <v>-26317.629999999997</v>
      </c>
      <c r="F11" s="33">
        <f>SUM(F7:F10)</f>
        <v>-26407.690000000002</v>
      </c>
      <c r="G11" s="33">
        <f>SUM(G7:G10)</f>
        <v>-27775.89</v>
      </c>
      <c r="H11" s="33">
        <f>SUM(H7:H10)</f>
        <v>-28953.799999999996</v>
      </c>
    </row>
    <row r="12" spans="2:9" x14ac:dyDescent="0.25">
      <c r="B12" s="6" t="s">
        <v>16</v>
      </c>
      <c r="C12" s="34">
        <f t="shared" ref="C12:F12" si="1">C5+C11</f>
        <v>3539.1000000000022</v>
      </c>
      <c r="D12" s="34">
        <f t="shared" si="1"/>
        <v>3496.7299999999923</v>
      </c>
      <c r="E12" s="34">
        <f t="shared" si="1"/>
        <v>4397.7000000000044</v>
      </c>
      <c r="F12" s="34">
        <f t="shared" si="1"/>
        <v>4575.9699999999975</v>
      </c>
      <c r="G12" s="34">
        <f>G5+G11</f>
        <v>5325.0500000000029</v>
      </c>
      <c r="H12" s="34">
        <f>H5+H11</f>
        <v>5018.4300000000076</v>
      </c>
    </row>
    <row r="13" spans="2:9" x14ac:dyDescent="0.25">
      <c r="B13" t="s">
        <v>40</v>
      </c>
      <c r="C13" s="11">
        <v>-1107.3699999999999</v>
      </c>
      <c r="D13" s="11">
        <v>-540.45000000000005</v>
      </c>
      <c r="E13" s="11">
        <v>-443.25</v>
      </c>
      <c r="F13" s="11">
        <v>-502.25</v>
      </c>
      <c r="G13" s="11">
        <v>-574.98</v>
      </c>
      <c r="H13" s="11">
        <v>-624.44000000000005</v>
      </c>
      <c r="I13" s="10" t="s">
        <v>34</v>
      </c>
    </row>
    <row r="14" spans="2:9" x14ac:dyDescent="0.25">
      <c r="B14" s="31" t="s">
        <v>18</v>
      </c>
      <c r="C14" s="32">
        <f t="shared" ref="C14:E14" si="2">C12+C13</f>
        <v>2431.7300000000023</v>
      </c>
      <c r="D14" s="32">
        <f t="shared" si="2"/>
        <v>2956.2799999999925</v>
      </c>
      <c r="E14" s="32">
        <f t="shared" si="2"/>
        <v>3954.4500000000044</v>
      </c>
      <c r="F14" s="32">
        <f>F12+F13</f>
        <v>4073.7199999999975</v>
      </c>
      <c r="G14" s="32">
        <f>G12+G13</f>
        <v>4750.0700000000033</v>
      </c>
      <c r="H14" s="32">
        <f>H12+H13</f>
        <v>4393.9900000000071</v>
      </c>
    </row>
    <row r="15" spans="2:9" x14ac:dyDescent="0.25">
      <c r="B15" t="s">
        <v>41</v>
      </c>
      <c r="C15" s="11">
        <v>444.19</v>
      </c>
      <c r="D15" s="11">
        <f>492.11-144.73</f>
        <v>347.38</v>
      </c>
      <c r="E15" s="11">
        <v>412.83</v>
      </c>
      <c r="F15" s="11">
        <v>521.95000000000005</v>
      </c>
      <c r="G15" s="11">
        <v>523.16999999999996</v>
      </c>
      <c r="H15" s="11">
        <v>686.73</v>
      </c>
      <c r="I15" s="10" t="s">
        <v>42</v>
      </c>
    </row>
    <row r="16" spans="2:9" x14ac:dyDescent="0.25">
      <c r="B16" t="s">
        <v>43</v>
      </c>
      <c r="C16" s="11">
        <v>-11.82</v>
      </c>
      <c r="D16" s="11">
        <v>-11.7</v>
      </c>
      <c r="E16" s="11">
        <v>-14.61</v>
      </c>
      <c r="F16" s="11">
        <v>-27.28</v>
      </c>
      <c r="G16" s="11">
        <v>-30.8</v>
      </c>
      <c r="H16" s="11">
        <v>-37.18</v>
      </c>
      <c r="I16" s="10" t="s">
        <v>42</v>
      </c>
    </row>
    <row r="17" spans="2:9" x14ac:dyDescent="0.25">
      <c r="B17" t="s">
        <v>44</v>
      </c>
      <c r="C17" s="11">
        <v>-3.62</v>
      </c>
      <c r="D17" s="11">
        <v>15.15</v>
      </c>
      <c r="E17" s="11">
        <v>34.33</v>
      </c>
      <c r="F17" s="11">
        <v>54.92</v>
      </c>
      <c r="G17" s="11">
        <v>49.66</v>
      </c>
      <c r="H17" s="11">
        <v>60.76</v>
      </c>
      <c r="I17" s="10" t="s">
        <v>42</v>
      </c>
    </row>
    <row r="18" spans="2:9" x14ac:dyDescent="0.25">
      <c r="B18" t="s">
        <v>45</v>
      </c>
      <c r="C18" s="11"/>
      <c r="D18" s="11"/>
      <c r="E18" s="11">
        <v>0</v>
      </c>
      <c r="F18" s="11">
        <v>262.08999999999997</v>
      </c>
      <c r="G18" s="11">
        <v>0</v>
      </c>
      <c r="H18" s="11">
        <v>0</v>
      </c>
      <c r="I18" s="10" t="s">
        <v>42</v>
      </c>
    </row>
    <row r="19" spans="2:9" x14ac:dyDescent="0.25">
      <c r="B19" s="12" t="s">
        <v>46</v>
      </c>
      <c r="C19" s="14">
        <v>0.35</v>
      </c>
      <c r="D19" s="14">
        <f>1.04</f>
        <v>1.04</v>
      </c>
      <c r="E19" s="14">
        <v>4.1100000000000003</v>
      </c>
      <c r="F19" s="14">
        <v>0</v>
      </c>
      <c r="G19" s="14">
        <v>0</v>
      </c>
      <c r="H19" s="14">
        <v>0</v>
      </c>
      <c r="I19" s="10"/>
    </row>
    <row r="20" spans="2:9" x14ac:dyDescent="0.25">
      <c r="B20" s="12" t="s">
        <v>47</v>
      </c>
      <c r="C20" s="13">
        <f t="shared" ref="C20:F20" si="3">C14+SUM(C15:C19)</f>
        <v>2860.8300000000022</v>
      </c>
      <c r="D20" s="13">
        <f t="shared" si="3"/>
        <v>3308.1499999999924</v>
      </c>
      <c r="E20" s="13">
        <f t="shared" si="3"/>
        <v>4391.1100000000042</v>
      </c>
      <c r="F20" s="13">
        <f t="shared" si="3"/>
        <v>4885.3999999999978</v>
      </c>
      <c r="G20" s="13">
        <f>G14+SUM(G15:G19)</f>
        <v>5292.1000000000031</v>
      </c>
      <c r="H20" s="13">
        <f>H14+SUM(H15:H19)</f>
        <v>5104.3000000000075</v>
      </c>
    </row>
    <row r="21" spans="2:9" x14ac:dyDescent="0.25">
      <c r="B21" t="s">
        <v>48</v>
      </c>
      <c r="C21" s="11">
        <v>-758.17</v>
      </c>
      <c r="D21" s="11">
        <v>-943.45</v>
      </c>
      <c r="E21" s="11">
        <v>-1274.71</v>
      </c>
      <c r="F21" s="11">
        <v>-1339.1</v>
      </c>
      <c r="G21" s="11">
        <v>-1569.93</v>
      </c>
      <c r="H21" s="11">
        <v>-1637.95</v>
      </c>
      <c r="I21" s="10" t="s">
        <v>34</v>
      </c>
    </row>
    <row r="22" spans="2:9" ht="16.5" thickBot="1" x14ac:dyDescent="0.3">
      <c r="B22" s="15" t="s">
        <v>49</v>
      </c>
      <c r="C22" s="16">
        <f t="shared" ref="C22:E22" si="4">SUM(C20:C21)</f>
        <v>2102.6600000000021</v>
      </c>
      <c r="D22" s="16">
        <f t="shared" si="4"/>
        <v>2364.6999999999925</v>
      </c>
      <c r="E22" s="16">
        <f t="shared" si="4"/>
        <v>3116.4000000000042</v>
      </c>
      <c r="F22" s="16">
        <f>SUM(F20:F21)</f>
        <v>3546.2999999999979</v>
      </c>
      <c r="G22" s="16">
        <f>SUM(G20:G21)</f>
        <v>3722.1700000000028</v>
      </c>
      <c r="H22" s="16">
        <f>SUM(H20:H21)</f>
        <v>3466.3500000000076</v>
      </c>
    </row>
    <row r="23" spans="2:9" ht="16.5" thickTop="1" x14ac:dyDescent="0.25"/>
    <row r="24" spans="2:9" x14ac:dyDescent="0.25">
      <c r="F24" s="11"/>
      <c r="G24" s="11"/>
      <c r="H24" s="11"/>
    </row>
    <row r="25" spans="2:9" x14ac:dyDescent="0.25">
      <c r="F25" s="17"/>
      <c r="G25" s="17"/>
      <c r="H25" s="17"/>
    </row>
    <row r="26" spans="2:9" x14ac:dyDescent="0.25">
      <c r="F26" s="17"/>
      <c r="G26" s="17"/>
      <c r="H26" s="1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6"/>
  <sheetViews>
    <sheetView showGridLines="0" topLeftCell="A36" zoomScale="110" zoomScaleNormal="110" workbookViewId="0">
      <selection activeCell="H24" sqref="H24:H28"/>
    </sheetView>
  </sheetViews>
  <sheetFormatPr defaultColWidth="11" defaultRowHeight="15.75" x14ac:dyDescent="0.25"/>
  <cols>
    <col min="1" max="1" width="2.125" customWidth="1"/>
    <col min="2" max="2" width="37.375" bestFit="1" customWidth="1"/>
    <col min="3" max="5" width="11.375" customWidth="1"/>
    <col min="6" max="8" width="11.125" bestFit="1" customWidth="1"/>
    <col min="9" max="9" width="18.125" bestFit="1" customWidth="1"/>
  </cols>
  <sheetData>
    <row r="1" spans="2:9" ht="23.25" x14ac:dyDescent="0.35">
      <c r="B1" s="4" t="s">
        <v>22</v>
      </c>
      <c r="C1" s="4"/>
      <c r="D1" s="4"/>
      <c r="E1" s="4"/>
    </row>
    <row r="2" spans="2:9" x14ac:dyDescent="0.25">
      <c r="B2" s="5" t="s">
        <v>31</v>
      </c>
      <c r="C2" s="5"/>
      <c r="D2" s="5"/>
      <c r="E2" s="5"/>
    </row>
    <row r="4" spans="2:9" x14ac:dyDescent="0.25">
      <c r="B4" s="6" t="s">
        <v>32</v>
      </c>
      <c r="C4" s="7">
        <v>41699</v>
      </c>
      <c r="D4" s="7">
        <v>42064</v>
      </c>
      <c r="E4" s="7">
        <v>42430</v>
      </c>
      <c r="F4" s="7">
        <v>42795</v>
      </c>
      <c r="G4" s="7">
        <v>43160</v>
      </c>
      <c r="H4" s="7">
        <v>43525</v>
      </c>
    </row>
    <row r="5" spans="2:9" x14ac:dyDescent="0.25">
      <c r="B5" t="s">
        <v>50</v>
      </c>
    </row>
    <row r="6" spans="2:9" x14ac:dyDescent="0.25">
      <c r="B6" s="5" t="s">
        <v>51</v>
      </c>
      <c r="C6" s="5"/>
      <c r="D6" s="5"/>
      <c r="E6" s="5"/>
    </row>
    <row r="7" spans="2:9" x14ac:dyDescent="0.25">
      <c r="B7" t="s">
        <v>52</v>
      </c>
      <c r="C7" s="11">
        <v>1897.37</v>
      </c>
      <c r="D7" s="11">
        <v>2850.86</v>
      </c>
      <c r="E7" s="11">
        <v>3907.02</v>
      </c>
      <c r="F7" s="18">
        <v>4495.03</v>
      </c>
      <c r="G7" s="18">
        <v>4771.3900000000003</v>
      </c>
      <c r="H7" s="18">
        <v>4792.5</v>
      </c>
      <c r="I7" s="10" t="s">
        <v>34</v>
      </c>
    </row>
    <row r="8" spans="2:9" x14ac:dyDescent="0.25">
      <c r="B8" t="s">
        <v>53</v>
      </c>
      <c r="C8" s="11">
        <v>854.74</v>
      </c>
      <c r="D8" s="11">
        <v>315.12</v>
      </c>
      <c r="E8" s="11">
        <v>330.78</v>
      </c>
      <c r="F8" s="18">
        <v>386.5</v>
      </c>
      <c r="G8" s="18">
        <v>239.02</v>
      </c>
      <c r="H8" s="18">
        <v>384.85</v>
      </c>
      <c r="I8" s="10" t="s">
        <v>34</v>
      </c>
    </row>
    <row r="9" spans="2:9" x14ac:dyDescent="0.25">
      <c r="B9" t="s">
        <v>23</v>
      </c>
      <c r="C9" s="11">
        <v>349.92</v>
      </c>
      <c r="D9" s="11">
        <v>101.42</v>
      </c>
      <c r="E9" s="11">
        <v>129.07</v>
      </c>
      <c r="F9" s="18">
        <v>103.82</v>
      </c>
      <c r="G9" s="18">
        <v>189.57</v>
      </c>
      <c r="H9" s="18">
        <v>159.86000000000001</v>
      </c>
      <c r="I9" s="10" t="s">
        <v>34</v>
      </c>
    </row>
    <row r="10" spans="2:9" x14ac:dyDescent="0.25">
      <c r="B10" t="s">
        <v>54</v>
      </c>
      <c r="C10" s="11">
        <v>0</v>
      </c>
      <c r="D10" s="11">
        <v>404.08</v>
      </c>
      <c r="E10" s="11">
        <v>322.58999999999997</v>
      </c>
      <c r="F10" s="18">
        <v>194.46</v>
      </c>
      <c r="G10" s="18">
        <v>116.46</v>
      </c>
      <c r="H10" s="18">
        <v>187.97</v>
      </c>
      <c r="I10" s="10" t="s">
        <v>34</v>
      </c>
    </row>
    <row r="11" spans="2:9" x14ac:dyDescent="0.25">
      <c r="B11" t="s">
        <v>55</v>
      </c>
      <c r="C11" s="11">
        <v>0</v>
      </c>
      <c r="D11" s="11">
        <f>648.27+60.19</f>
        <v>708.46</v>
      </c>
      <c r="E11" s="11">
        <f>876.39+73.68</f>
        <v>950.06999999999994</v>
      </c>
      <c r="F11" s="18">
        <v>1025.3699999999999</v>
      </c>
      <c r="G11" s="18">
        <v>1159.6300000000001</v>
      </c>
      <c r="H11" s="18">
        <v>1705.89</v>
      </c>
      <c r="I11" s="10" t="s">
        <v>42</v>
      </c>
    </row>
    <row r="12" spans="2:9" x14ac:dyDescent="0.25">
      <c r="B12" t="s">
        <v>56</v>
      </c>
      <c r="C12" s="11">
        <f>830.05+47.81</f>
        <v>877.8599999999999</v>
      </c>
      <c r="D12" s="11">
        <v>821.15</v>
      </c>
      <c r="E12" s="11">
        <v>945.26</v>
      </c>
      <c r="F12" s="18">
        <v>496.94</v>
      </c>
      <c r="G12" s="18">
        <v>918.49</v>
      </c>
      <c r="H12" s="18">
        <v>1234.06</v>
      </c>
      <c r="I12" s="10" t="s">
        <v>42</v>
      </c>
    </row>
    <row r="13" spans="2:9" x14ac:dyDescent="0.25">
      <c r="B13" t="s">
        <v>57</v>
      </c>
      <c r="C13" s="11">
        <v>477.43</v>
      </c>
      <c r="D13" s="11">
        <v>0</v>
      </c>
      <c r="E13" s="11">
        <v>0</v>
      </c>
      <c r="F13" s="18">
        <v>23.13</v>
      </c>
      <c r="G13" s="18">
        <v>22.3</v>
      </c>
      <c r="H13" s="18">
        <v>60.12</v>
      </c>
      <c r="I13" s="10" t="s">
        <v>42</v>
      </c>
    </row>
    <row r="14" spans="2:9" x14ac:dyDescent="0.25">
      <c r="B14" t="s">
        <v>58</v>
      </c>
      <c r="C14" s="11">
        <v>0</v>
      </c>
      <c r="D14" s="11">
        <v>0</v>
      </c>
      <c r="E14" s="11">
        <v>0</v>
      </c>
      <c r="F14" s="18">
        <v>25.39</v>
      </c>
      <c r="G14" s="18">
        <v>23.55</v>
      </c>
      <c r="H14" s="18">
        <v>33.82</v>
      </c>
      <c r="I14" s="10" t="s">
        <v>34</v>
      </c>
    </row>
    <row r="15" spans="2:9" x14ac:dyDescent="0.25">
      <c r="B15" t="s">
        <v>59</v>
      </c>
      <c r="C15" s="11">
        <v>105.98</v>
      </c>
      <c r="D15" s="11">
        <v>73.540000000000006</v>
      </c>
      <c r="E15" s="11">
        <v>0</v>
      </c>
      <c r="F15" s="18">
        <v>0</v>
      </c>
      <c r="G15" s="18">
        <v>0</v>
      </c>
      <c r="H15" s="18">
        <v>0</v>
      </c>
      <c r="I15" s="10" t="s">
        <v>42</v>
      </c>
    </row>
    <row r="16" spans="2:9" x14ac:dyDescent="0.25">
      <c r="B16" t="s">
        <v>60</v>
      </c>
      <c r="C16" s="11">
        <v>0</v>
      </c>
      <c r="D16" s="11">
        <v>0</v>
      </c>
      <c r="E16" s="11">
        <v>0</v>
      </c>
      <c r="F16" s="18">
        <v>332.5</v>
      </c>
      <c r="G16" s="18">
        <v>394.51</v>
      </c>
      <c r="H16" s="18">
        <v>855.62</v>
      </c>
      <c r="I16" s="10" t="s">
        <v>34</v>
      </c>
    </row>
    <row r="17" spans="2:9" x14ac:dyDescent="0.25">
      <c r="B17" t="s">
        <v>61</v>
      </c>
      <c r="C17" s="11">
        <v>0</v>
      </c>
      <c r="D17" s="11">
        <v>0</v>
      </c>
      <c r="E17" s="11">
        <v>0</v>
      </c>
      <c r="F17" s="18">
        <v>658.35</v>
      </c>
      <c r="G17" s="18">
        <v>559.58000000000004</v>
      </c>
      <c r="H17" s="18">
        <v>676.46</v>
      </c>
      <c r="I17" s="10" t="s">
        <v>34</v>
      </c>
    </row>
    <row r="18" spans="2:9" x14ac:dyDescent="0.25">
      <c r="B18" s="19" t="s">
        <v>62</v>
      </c>
      <c r="C18" s="20">
        <f t="shared" ref="C18" si="0">SUM(C7:C17)</f>
        <v>4563.2999999999993</v>
      </c>
      <c r="D18" s="20">
        <f>SUM(D7:D17)</f>
        <v>5274.63</v>
      </c>
      <c r="E18" s="20">
        <f>SUM(E7:E17)</f>
        <v>6584.79</v>
      </c>
      <c r="F18" s="20">
        <f>SUM(F7:F17)</f>
        <v>7741.49</v>
      </c>
      <c r="G18" s="20">
        <f>SUM(G7:G17)</f>
        <v>8394.5000000000018</v>
      </c>
      <c r="H18" s="20">
        <f>SUM(H7:H17)</f>
        <v>10091.150000000001</v>
      </c>
    </row>
    <row r="19" spans="2:9" x14ac:dyDescent="0.25">
      <c r="B19" s="21"/>
      <c r="C19" s="22"/>
      <c r="D19" s="22"/>
      <c r="E19" s="22"/>
      <c r="F19" s="21"/>
      <c r="G19" s="21"/>
      <c r="H19" s="21"/>
    </row>
    <row r="20" spans="2:9" x14ac:dyDescent="0.25">
      <c r="B20" s="5" t="s">
        <v>63</v>
      </c>
      <c r="C20" s="23"/>
      <c r="D20" s="23"/>
      <c r="E20" s="23"/>
    </row>
    <row r="21" spans="2:9" x14ac:dyDescent="0.25">
      <c r="B21" t="s">
        <v>64</v>
      </c>
      <c r="C21" s="11">
        <v>669.55</v>
      </c>
      <c r="D21" s="11">
        <v>861.39</v>
      </c>
      <c r="E21" s="11">
        <v>761.99</v>
      </c>
      <c r="F21" s="18">
        <v>708.58</v>
      </c>
      <c r="G21" s="18">
        <v>962.68</v>
      </c>
      <c r="H21" s="18">
        <v>1249.53</v>
      </c>
      <c r="I21" s="10" t="s">
        <v>34</v>
      </c>
    </row>
    <row r="22" spans="2:9" x14ac:dyDescent="0.25">
      <c r="B22" t="s">
        <v>56</v>
      </c>
      <c r="C22" s="11">
        <v>3275.89</v>
      </c>
      <c r="D22" s="11">
        <v>2297.35</v>
      </c>
      <c r="E22" s="11">
        <v>3249.15</v>
      </c>
      <c r="F22" s="18">
        <v>4544.0600000000004</v>
      </c>
      <c r="G22" s="18">
        <v>5591.12</v>
      </c>
      <c r="H22" s="18">
        <v>3173.88</v>
      </c>
      <c r="I22" s="10" t="s">
        <v>65</v>
      </c>
    </row>
    <row r="23" spans="2:9" x14ac:dyDescent="0.25">
      <c r="B23" t="s">
        <v>29</v>
      </c>
      <c r="C23" s="11">
        <v>920.58</v>
      </c>
      <c r="D23" s="11">
        <v>1371.82</v>
      </c>
      <c r="E23" s="11">
        <v>1282.08</v>
      </c>
      <c r="F23" s="18">
        <v>1551.75</v>
      </c>
      <c r="G23" s="18">
        <v>1426.97</v>
      </c>
      <c r="H23" s="18">
        <v>2745.11</v>
      </c>
      <c r="I23" s="10" t="s">
        <v>34</v>
      </c>
    </row>
    <row r="24" spans="2:9" x14ac:dyDescent="0.25">
      <c r="B24" t="s">
        <v>66</v>
      </c>
      <c r="C24" s="11">
        <v>119.83</v>
      </c>
      <c r="D24" s="11">
        <v>215.78</v>
      </c>
      <c r="E24" s="11">
        <v>179.09</v>
      </c>
      <c r="F24" s="18">
        <v>74.06</v>
      </c>
      <c r="G24" s="18">
        <v>130.61000000000001</v>
      </c>
      <c r="H24" s="18">
        <v>208.12</v>
      </c>
      <c r="I24" s="10" t="s">
        <v>34</v>
      </c>
    </row>
    <row r="25" spans="2:9" x14ac:dyDescent="0.25">
      <c r="B25" t="s">
        <v>67</v>
      </c>
      <c r="C25" s="11">
        <v>0</v>
      </c>
      <c r="D25" s="11">
        <v>0</v>
      </c>
      <c r="E25" s="11">
        <v>0</v>
      </c>
      <c r="F25" s="18">
        <v>121.33</v>
      </c>
      <c r="G25" s="18">
        <v>106.96</v>
      </c>
      <c r="H25" s="18">
        <v>95.78</v>
      </c>
      <c r="I25" s="10" t="s">
        <v>34</v>
      </c>
    </row>
    <row r="26" spans="2:9" x14ac:dyDescent="0.25">
      <c r="B26" t="s">
        <v>57</v>
      </c>
      <c r="C26" s="11">
        <v>18.420000000000002</v>
      </c>
      <c r="D26" s="11">
        <v>23.86</v>
      </c>
      <c r="E26" s="11">
        <v>23.21</v>
      </c>
      <c r="F26" s="18">
        <v>21.73</v>
      </c>
      <c r="G26" s="18">
        <v>21.41</v>
      </c>
      <c r="H26" s="18">
        <v>23.22</v>
      </c>
      <c r="I26" s="10" t="s">
        <v>65</v>
      </c>
    </row>
    <row r="27" spans="2:9" x14ac:dyDescent="0.25">
      <c r="B27" t="s">
        <v>58</v>
      </c>
      <c r="C27" s="11">
        <v>1.07</v>
      </c>
      <c r="D27" s="11">
        <v>0</v>
      </c>
      <c r="E27" s="11">
        <v>0</v>
      </c>
      <c r="F27" s="18">
        <v>3.2</v>
      </c>
      <c r="G27" s="18">
        <v>7.09</v>
      </c>
      <c r="H27" s="18">
        <v>1.86</v>
      </c>
      <c r="I27" s="10" t="s">
        <v>34</v>
      </c>
    </row>
    <row r="28" spans="2:9" x14ac:dyDescent="0.25">
      <c r="B28" t="s">
        <v>68</v>
      </c>
      <c r="C28" s="11">
        <f>22.05</f>
        <v>22.05</v>
      </c>
      <c r="D28" s="11">
        <v>59.97</v>
      </c>
      <c r="E28" s="11">
        <v>79.48</v>
      </c>
      <c r="F28" s="18">
        <v>145.02000000000001</v>
      </c>
      <c r="G28" s="18">
        <v>543.28</v>
      </c>
      <c r="H28" s="18">
        <v>654.19000000000005</v>
      </c>
      <c r="I28" s="10" t="s">
        <v>34</v>
      </c>
    </row>
    <row r="29" spans="2:9" x14ac:dyDescent="0.25">
      <c r="B29" t="s">
        <v>69</v>
      </c>
      <c r="C29" s="11">
        <f>550.38-C26-C27</f>
        <v>530.89</v>
      </c>
      <c r="D29" s="11">
        <f>573.41-D26</f>
        <v>549.54999999999995</v>
      </c>
      <c r="E29" s="11">
        <f>535.12-E26</f>
        <v>511.91</v>
      </c>
      <c r="F29" s="18">
        <v>400.78</v>
      </c>
      <c r="G29" s="18">
        <v>212.11</v>
      </c>
      <c r="H29" s="18">
        <v>261.52</v>
      </c>
      <c r="I29" s="10" t="s">
        <v>34</v>
      </c>
    </row>
    <row r="30" spans="2:9" x14ac:dyDescent="0.25">
      <c r="B30" s="19" t="s">
        <v>70</v>
      </c>
      <c r="C30" s="20">
        <f t="shared" ref="C30:E30" si="1">SUM(C21:C29)</f>
        <v>5558.28</v>
      </c>
      <c r="D30" s="20">
        <f t="shared" si="1"/>
        <v>5379.7199999999993</v>
      </c>
      <c r="E30" s="20">
        <f t="shared" si="1"/>
        <v>6086.91</v>
      </c>
      <c r="F30" s="20">
        <f>SUM(F21:F29)</f>
        <v>7570.51</v>
      </c>
      <c r="G30" s="20">
        <f>SUM(G21:G29)</f>
        <v>9002.2300000000014</v>
      </c>
      <c r="H30" s="20">
        <f>SUM(H21:H29)</f>
        <v>8413.2100000000009</v>
      </c>
    </row>
    <row r="31" spans="2:9" ht="16.5" thickBot="1" x14ac:dyDescent="0.3">
      <c r="B31" s="24" t="s">
        <v>71</v>
      </c>
      <c r="C31" s="25">
        <f t="shared" ref="C31:E31" si="2">C18+C30</f>
        <v>10121.579999999998</v>
      </c>
      <c r="D31" s="25">
        <f t="shared" si="2"/>
        <v>10654.349999999999</v>
      </c>
      <c r="E31" s="25">
        <f t="shared" si="2"/>
        <v>12671.7</v>
      </c>
      <c r="F31" s="25">
        <f>F18+F30</f>
        <v>15312</v>
      </c>
      <c r="G31" s="25">
        <f>G18+G30</f>
        <v>17396.730000000003</v>
      </c>
      <c r="H31" s="25">
        <f>H18+H30</f>
        <v>18504.36</v>
      </c>
    </row>
    <row r="32" spans="2:9" x14ac:dyDescent="0.25">
      <c r="C32" s="11"/>
      <c r="D32" s="11"/>
      <c r="E32" s="11"/>
    </row>
    <row r="33" spans="2:9" x14ac:dyDescent="0.25">
      <c r="B33" s="6" t="s">
        <v>32</v>
      </c>
      <c r="C33" s="7">
        <v>41699</v>
      </c>
      <c r="D33" s="7">
        <v>42064</v>
      </c>
      <c r="E33" s="7">
        <v>42430</v>
      </c>
      <c r="F33" s="7">
        <v>42795</v>
      </c>
      <c r="G33" s="7">
        <v>43160</v>
      </c>
      <c r="H33" s="7">
        <v>43525</v>
      </c>
    </row>
    <row r="34" spans="2:9" x14ac:dyDescent="0.25">
      <c r="B34" t="s">
        <v>72</v>
      </c>
      <c r="C34" s="11"/>
      <c r="D34" s="11"/>
      <c r="E34" s="11"/>
    </row>
    <row r="35" spans="2:9" x14ac:dyDescent="0.25">
      <c r="B35" s="5" t="s">
        <v>73</v>
      </c>
      <c r="C35" s="23"/>
      <c r="D35" s="23"/>
      <c r="E35" s="23"/>
    </row>
    <row r="36" spans="2:9" x14ac:dyDescent="0.25">
      <c r="B36" t="s">
        <v>74</v>
      </c>
      <c r="C36" s="18">
        <v>39.94</v>
      </c>
      <c r="D36" s="18">
        <v>39.94</v>
      </c>
      <c r="E36" s="18">
        <v>39.94</v>
      </c>
      <c r="F36" s="18">
        <v>39.94</v>
      </c>
      <c r="G36" s="18">
        <v>39.94</v>
      </c>
      <c r="H36" s="18">
        <v>39.950000000000003</v>
      </c>
      <c r="I36" s="10" t="s">
        <v>65</v>
      </c>
    </row>
    <row r="37" spans="2:9" x14ac:dyDescent="0.25">
      <c r="B37" t="s">
        <v>75</v>
      </c>
      <c r="C37" s="18">
        <v>5582.7</v>
      </c>
      <c r="D37" s="18">
        <v>6500.06</v>
      </c>
      <c r="E37" s="18">
        <v>7912.74</v>
      </c>
      <c r="F37" s="18">
        <v>10275.57</v>
      </c>
      <c r="G37" s="18">
        <v>11931.52</v>
      </c>
      <c r="H37" s="18">
        <v>13080.46</v>
      </c>
      <c r="I37" s="10" t="s">
        <v>65</v>
      </c>
    </row>
    <row r="38" spans="2:9" x14ac:dyDescent="0.25">
      <c r="B38" t="s">
        <v>76</v>
      </c>
      <c r="C38" s="18">
        <v>0.85</v>
      </c>
      <c r="D38" s="18">
        <v>18.54</v>
      </c>
      <c r="E38" s="18">
        <v>53.62</v>
      </c>
      <c r="F38" s="18">
        <v>67.38</v>
      </c>
      <c r="G38" s="18">
        <v>93.21</v>
      </c>
      <c r="H38" s="18">
        <v>116.11</v>
      </c>
      <c r="I38" s="10" t="s">
        <v>65</v>
      </c>
    </row>
    <row r="39" spans="2:9" x14ac:dyDescent="0.25">
      <c r="B39" t="s">
        <v>77</v>
      </c>
      <c r="C39" s="18">
        <v>0</v>
      </c>
      <c r="D39" s="18">
        <v>12</v>
      </c>
      <c r="E39" s="18">
        <v>145.97999999999999</v>
      </c>
      <c r="F39" s="18">
        <v>207.9</v>
      </c>
      <c r="G39" s="18">
        <v>149.63</v>
      </c>
      <c r="H39" s="18">
        <v>124.84</v>
      </c>
      <c r="I39" s="10" t="s">
        <v>65</v>
      </c>
    </row>
    <row r="40" spans="2:9" x14ac:dyDescent="0.25">
      <c r="B40" t="s">
        <v>78</v>
      </c>
      <c r="C40" s="18">
        <v>8.66</v>
      </c>
      <c r="D40" s="18">
        <f>10.12+0.07</f>
        <v>10.19</v>
      </c>
      <c r="E40" s="18">
        <f>12.48+0.11+3.06</f>
        <v>15.65</v>
      </c>
      <c r="F40" s="18">
        <v>16.170000000000002</v>
      </c>
      <c r="G40" s="18">
        <v>25.94</v>
      </c>
      <c r="H40" s="18">
        <v>28.41</v>
      </c>
      <c r="I40" s="10" t="s">
        <v>65</v>
      </c>
    </row>
    <row r="41" spans="2:9" x14ac:dyDescent="0.25">
      <c r="B41" t="s">
        <v>79</v>
      </c>
      <c r="C41" s="18">
        <v>24.45</v>
      </c>
      <c r="D41" s="18">
        <v>31.33</v>
      </c>
      <c r="E41" s="18">
        <v>34.89</v>
      </c>
      <c r="F41" s="18">
        <v>0</v>
      </c>
      <c r="G41" s="18">
        <v>0</v>
      </c>
      <c r="H41" s="18">
        <v>0</v>
      </c>
      <c r="I41" s="10" t="s">
        <v>34</v>
      </c>
    </row>
    <row r="42" spans="2:9" x14ac:dyDescent="0.25">
      <c r="B42" t="s">
        <v>80</v>
      </c>
      <c r="C42" s="18">
        <v>41.36</v>
      </c>
      <c r="D42" s="18">
        <v>56.06</v>
      </c>
      <c r="E42" s="18">
        <v>68.989999999999995</v>
      </c>
      <c r="F42" s="18">
        <v>59.45</v>
      </c>
      <c r="G42" s="18">
        <v>93.24</v>
      </c>
      <c r="H42" s="18">
        <v>92.53</v>
      </c>
      <c r="I42" s="10" t="s">
        <v>34</v>
      </c>
    </row>
    <row r="43" spans="2:9" x14ac:dyDescent="0.25">
      <c r="B43" t="s">
        <v>81</v>
      </c>
      <c r="C43" s="18">
        <v>0</v>
      </c>
      <c r="D43" s="18">
        <v>0</v>
      </c>
      <c r="E43" s="18">
        <v>227.79</v>
      </c>
      <c r="F43" s="18">
        <v>468.9</v>
      </c>
      <c r="G43" s="18">
        <v>581.89</v>
      </c>
      <c r="H43" s="18">
        <v>612.88</v>
      </c>
      <c r="I43" s="10" t="s">
        <v>65</v>
      </c>
    </row>
    <row r="44" spans="2:9" x14ac:dyDescent="0.25">
      <c r="B44" s="19" t="s">
        <v>82</v>
      </c>
      <c r="C44" s="20">
        <f t="shared" ref="C44:H44" si="3">SUM(C36:C43)</f>
        <v>5697.9599999999991</v>
      </c>
      <c r="D44" s="20">
        <f t="shared" si="3"/>
        <v>6668.12</v>
      </c>
      <c r="E44" s="20">
        <f t="shared" si="3"/>
        <v>8499.5999999999985</v>
      </c>
      <c r="F44" s="20">
        <f t="shared" si="3"/>
        <v>11135.31</v>
      </c>
      <c r="G44" s="20">
        <f t="shared" si="3"/>
        <v>12915.369999999999</v>
      </c>
      <c r="H44" s="20">
        <f t="shared" si="3"/>
        <v>14095.18</v>
      </c>
    </row>
    <row r="45" spans="2:9" x14ac:dyDescent="0.25">
      <c r="B45" s="21"/>
      <c r="C45" s="26"/>
      <c r="D45" s="26"/>
      <c r="E45" s="26"/>
      <c r="F45" s="27"/>
      <c r="G45" s="27"/>
      <c r="H45" s="27"/>
    </row>
    <row r="46" spans="2:9" x14ac:dyDescent="0.25">
      <c r="B46" s="5" t="s">
        <v>83</v>
      </c>
      <c r="C46" s="28"/>
      <c r="D46" s="28"/>
      <c r="E46" s="28"/>
      <c r="F46" s="29"/>
      <c r="G46" s="29"/>
      <c r="H46" s="29"/>
    </row>
    <row r="47" spans="2:9" x14ac:dyDescent="0.25">
      <c r="B47" t="s">
        <v>84</v>
      </c>
      <c r="C47" s="18">
        <v>0</v>
      </c>
      <c r="D47" s="18">
        <v>88</v>
      </c>
      <c r="E47" s="18">
        <v>84.06</v>
      </c>
      <c r="F47" s="18">
        <v>40.08</v>
      </c>
      <c r="G47" s="18">
        <v>75.37</v>
      </c>
      <c r="H47" s="18">
        <v>183.68</v>
      </c>
      <c r="I47" s="10" t="s">
        <v>65</v>
      </c>
    </row>
    <row r="48" spans="2:9" x14ac:dyDescent="0.25">
      <c r="B48" t="s">
        <v>85</v>
      </c>
      <c r="C48" s="18">
        <v>2291.0100000000002</v>
      </c>
      <c r="D48" s="18">
        <v>2713.09</v>
      </c>
      <c r="E48" s="18">
        <v>2791.7</v>
      </c>
      <c r="F48" s="18">
        <v>3266.2</v>
      </c>
      <c r="G48" s="18">
        <v>3375.26</v>
      </c>
      <c r="H48" s="18">
        <v>3438.24</v>
      </c>
      <c r="I48" s="10" t="s">
        <v>34</v>
      </c>
    </row>
    <row r="49" spans="2:9" x14ac:dyDescent="0.25">
      <c r="B49" t="s">
        <v>86</v>
      </c>
      <c r="C49" s="18">
        <f>588.19-C50</f>
        <v>540.40000000000009</v>
      </c>
      <c r="D49" s="18">
        <f>450.74-D50</f>
        <v>399.1</v>
      </c>
      <c r="E49" s="18">
        <f>497.45-E50</f>
        <v>442.84999999999997</v>
      </c>
      <c r="F49" s="18">
        <f>371.21-F50</f>
        <v>308.74</v>
      </c>
      <c r="G49" s="18">
        <f>205.49-G50</f>
        <v>147.80000000000001</v>
      </c>
      <c r="H49" s="18">
        <f>226.73-H50</f>
        <v>166.98</v>
      </c>
      <c r="I49" s="10" t="s">
        <v>65</v>
      </c>
    </row>
    <row r="50" spans="2:9" x14ac:dyDescent="0.25">
      <c r="B50" t="s">
        <v>87</v>
      </c>
      <c r="C50" s="18">
        <v>47.79</v>
      </c>
      <c r="D50" s="18">
        <v>51.64</v>
      </c>
      <c r="E50" s="18">
        <v>54.6</v>
      </c>
      <c r="F50" s="18">
        <v>62.47</v>
      </c>
      <c r="G50" s="18">
        <v>57.69</v>
      </c>
      <c r="H50" s="18">
        <v>59.75</v>
      </c>
      <c r="I50" s="10" t="s">
        <v>34</v>
      </c>
    </row>
    <row r="51" spans="2:9" x14ac:dyDescent="0.25">
      <c r="B51" t="s">
        <v>88</v>
      </c>
      <c r="C51" s="18">
        <f>1297.97+220.59+15.67</f>
        <v>1534.23</v>
      </c>
      <c r="D51" s="18">
        <f>599.06+121.95+0.2</f>
        <v>721.21</v>
      </c>
      <c r="E51" s="18">
        <f>639+130.09</f>
        <v>769.09</v>
      </c>
      <c r="F51" s="18">
        <v>456.63</v>
      </c>
      <c r="G51" s="18">
        <v>764.95</v>
      </c>
      <c r="H51" s="18">
        <v>500.82</v>
      </c>
      <c r="I51" s="10" t="s">
        <v>34</v>
      </c>
    </row>
    <row r="52" spans="2:9" x14ac:dyDescent="0.25">
      <c r="B52" t="s">
        <v>78</v>
      </c>
      <c r="C52" s="18">
        <f>2.85+0.09</f>
        <v>2.94</v>
      </c>
      <c r="D52" s="18">
        <f>2.83+0.1</f>
        <v>2.93</v>
      </c>
      <c r="E52" s="18">
        <f>3.36+0.1+0.23</f>
        <v>3.69</v>
      </c>
      <c r="F52" s="18">
        <v>5.12</v>
      </c>
      <c r="G52" s="18">
        <v>5.37</v>
      </c>
      <c r="H52" s="18">
        <v>5.84</v>
      </c>
      <c r="I52" s="10" t="s">
        <v>65</v>
      </c>
    </row>
    <row r="53" spans="2:9" x14ac:dyDescent="0.25">
      <c r="B53" t="s">
        <v>80</v>
      </c>
      <c r="C53" s="18">
        <v>7.25</v>
      </c>
      <c r="D53" s="18">
        <f>10.26</f>
        <v>10.26</v>
      </c>
      <c r="E53" s="18">
        <f>26.11</f>
        <v>26.11</v>
      </c>
      <c r="F53" s="18">
        <v>37.450000000000003</v>
      </c>
      <c r="G53" s="18">
        <v>54.92</v>
      </c>
      <c r="H53" s="18">
        <v>53.87</v>
      </c>
      <c r="I53" s="10" t="s">
        <v>34</v>
      </c>
    </row>
    <row r="54" spans="2:9" x14ac:dyDescent="0.25">
      <c r="B54" s="19" t="s">
        <v>89</v>
      </c>
      <c r="C54" s="20">
        <f t="shared" ref="C54:E54" si="4">SUM(C47:C53)</f>
        <v>4423.62</v>
      </c>
      <c r="D54" s="20">
        <f t="shared" si="4"/>
        <v>3986.23</v>
      </c>
      <c r="E54" s="20">
        <f t="shared" si="4"/>
        <v>4172.0999999999985</v>
      </c>
      <c r="F54" s="20">
        <f>SUM(F47:F53)</f>
        <v>4176.6899999999987</v>
      </c>
      <c r="G54" s="20">
        <f>SUM(G47:G53)</f>
        <v>4481.3600000000006</v>
      </c>
      <c r="H54" s="20">
        <f>SUM(H47:H53)</f>
        <v>4409.1799999999994</v>
      </c>
    </row>
    <row r="55" spans="2:9" ht="16.5" thickBot="1" x14ac:dyDescent="0.3">
      <c r="B55" s="24" t="s">
        <v>90</v>
      </c>
      <c r="C55" s="25">
        <f t="shared" ref="C55:E55" si="5">C44+C54</f>
        <v>10121.579999999998</v>
      </c>
      <c r="D55" s="25">
        <f t="shared" si="5"/>
        <v>10654.35</v>
      </c>
      <c r="E55" s="25">
        <f t="shared" si="5"/>
        <v>12671.699999999997</v>
      </c>
      <c r="F55" s="25">
        <f>F44+F54</f>
        <v>15311.999999999998</v>
      </c>
      <c r="G55" s="25">
        <f>G44+G54</f>
        <v>17396.73</v>
      </c>
      <c r="H55" s="25">
        <f>H44+H54</f>
        <v>18504.36</v>
      </c>
    </row>
    <row r="56" spans="2:9" x14ac:dyDescent="0.25">
      <c r="C56" s="30">
        <f t="shared" ref="C56:E56" si="6">C31-C55</f>
        <v>0</v>
      </c>
      <c r="D56" s="30">
        <f t="shared" si="6"/>
        <v>0</v>
      </c>
      <c r="E56" s="30">
        <f t="shared" si="6"/>
        <v>0</v>
      </c>
      <c r="F56" s="30">
        <f>F31-F55</f>
        <v>0</v>
      </c>
      <c r="G56" s="30">
        <f>G31-G55</f>
        <v>0</v>
      </c>
      <c r="H56" s="30">
        <f>H31-H55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1.Input --&gt;</vt:lpstr>
      <vt:lpstr>P&amp;L assumptions</vt:lpstr>
      <vt:lpstr>BS assumptions</vt:lpstr>
      <vt:lpstr>2.Output--&gt;</vt:lpstr>
      <vt:lpstr>P&amp;L</vt:lpstr>
      <vt:lpstr>BS</vt:lpstr>
      <vt:lpstr>Cash Flow</vt:lpstr>
      <vt:lpstr>WACC</vt:lpstr>
      <vt:lpstr>DCF valuation</vt:lpstr>
      <vt:lpstr>3.Sources --&gt;</vt:lpstr>
      <vt:lpstr>P&amp;L Source</vt:lpstr>
      <vt:lpstr>BS Source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2019-08-20T10:00:26Z</dcterms:created>
  <dcterms:modified xsi:type="dcterms:W3CDTF">2020-07-19T18:20:29Z</dcterms:modified>
</cp:coreProperties>
</file>