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E:\Excel VBA training\PK\"/>
    </mc:Choice>
  </mc:AlternateContent>
  <bookViews>
    <workbookView xWindow="0" yWindow="0" windowWidth="20490" windowHeight="7155"/>
  </bookViews>
  <sheets>
    <sheet name="Data" sheetId="1" r:id="rId1"/>
    <sheet name="1" sheetId="2" r:id="rId2"/>
    <sheet name="2" sheetId="3" r:id="rId3"/>
    <sheet name="3" sheetId="4" r:id="rId4"/>
    <sheet name="4" sheetId="6" r:id="rId5"/>
    <sheet name="5" sheetId="9" r:id="rId6"/>
    <sheet name="6" sheetId="10" r:id="rId7"/>
    <sheet name="7" sheetId="11" r:id="rId8"/>
    <sheet name="8" sheetId="12" r:id="rId9"/>
    <sheet name="9" sheetId="13" r:id="rId10"/>
    <sheet name="10" sheetId="14" r:id="rId11"/>
    <sheet name="temp" sheetId="5" state="hidden" r:id="rId12"/>
  </sheets>
  <definedNames>
    <definedName name="_xlnm._FilterDatabase" localSheetId="3" hidden="1">'3'!$C$5:$F$20</definedName>
    <definedName name="_xlnm._FilterDatabase" localSheetId="6" hidden="1">'6'!$O$4:$S$304</definedName>
    <definedName name="_xlnm._FilterDatabase" localSheetId="11" hidden="1">temp!$C$5:$E$20</definedName>
    <definedName name="_xlcn.WorksheetConnection_PeekayConfectionaries.xlsxdata1" hidden="1">data[]</definedName>
    <definedName name="all_products">data[Product]</definedName>
    <definedName name="products" localSheetId="11">data[Product]</definedName>
    <definedName name="Slicer_Geography">#N/A</definedName>
    <definedName name="Slicer_Geography1">#N/A</definedName>
    <definedName name="Slicer_Sales_Person">#N/A</definedName>
  </definedNames>
  <calcPr calcId="152511"/>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3a3c7651-ac03-4ee8-9f5f-c96514dc01d3" name="data" connection="WorksheetConnection_Peekay Confectionaries.xlsx!data"/>
        </x15:modelTables>
      </x15:dataModel>
    </ext>
  </extLst>
</workbook>
</file>

<file path=xl/calcChain.xml><?xml version="1.0" encoding="utf-8"?>
<calcChain xmlns="http://schemas.openxmlformats.org/spreadsheetml/2006/main">
  <c r="C1" i="14" l="1"/>
  <c r="C1" i="12"/>
  <c r="C1" i="11"/>
  <c r="C1" i="10"/>
  <c r="C1" i="9"/>
  <c r="C1" i="6"/>
  <c r="C1" i="4"/>
  <c r="C1" i="3"/>
  <c r="C1" i="2"/>
  <c r="M12" i="13"/>
  <c r="O12" i="13" s="1"/>
  <c r="N12" i="13"/>
  <c r="M13" i="13"/>
  <c r="O13" i="13" s="1"/>
  <c r="N13" i="13"/>
  <c r="M14" i="13"/>
  <c r="O14" i="13" s="1"/>
  <c r="N14" i="13"/>
  <c r="M15" i="13"/>
  <c r="O15" i="13" s="1"/>
  <c r="N15" i="13"/>
  <c r="M16" i="13"/>
  <c r="O16" i="13" s="1"/>
  <c r="N16" i="13"/>
  <c r="M17" i="13"/>
  <c r="O17" i="13" s="1"/>
  <c r="N17" i="13"/>
  <c r="M18" i="13"/>
  <c r="O18" i="13" s="1"/>
  <c r="N18" i="13"/>
  <c r="M19" i="13"/>
  <c r="O19" i="13" s="1"/>
  <c r="N19" i="13"/>
  <c r="M20" i="13"/>
  <c r="O20" i="13" s="1"/>
  <c r="N20" i="13"/>
  <c r="N11" i="13"/>
  <c r="M11" i="13"/>
  <c r="O11" i="13" s="1"/>
  <c r="I16" i="13"/>
  <c r="H16" i="13"/>
  <c r="H14" i="13"/>
  <c r="I14" i="13"/>
  <c r="I13" i="13" l="1"/>
  <c r="I15" i="13" s="1"/>
  <c r="H13" i="13"/>
  <c r="H15" i="13" s="1"/>
  <c r="I10" i="13"/>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9" i="4" l="1"/>
  <c r="H7" i="4"/>
  <c r="H10" i="4"/>
  <c r="H11" i="4"/>
  <c r="H6" i="4"/>
  <c r="H8" i="4"/>
  <c r="F9" i="4"/>
  <c r="G9" i="4" s="1"/>
  <c r="F7" i="4"/>
  <c r="G7" i="4" s="1"/>
  <c r="F10" i="4"/>
  <c r="G10" i="4" s="1"/>
  <c r="F11" i="4"/>
  <c r="G11" i="4" s="1"/>
  <c r="F6" i="4"/>
  <c r="G6" i="4" s="1"/>
  <c r="F8" i="4"/>
  <c r="G8" i="4" s="1"/>
  <c r="J4" i="2"/>
  <c r="H12" i="1"/>
  <c r="K14" i="2"/>
  <c r="J10" i="2"/>
  <c r="J11" i="2"/>
  <c r="J12" i="2"/>
  <c r="I11" i="2"/>
  <c r="I12" i="2"/>
  <c r="I10" i="2"/>
  <c r="J6" i="2"/>
  <c r="J7" i="2"/>
  <c r="J8" i="2" s="1"/>
  <c r="I7" i="2"/>
  <c r="I6" i="2"/>
  <c r="J5" i="2"/>
  <c r="I5" i="2"/>
  <c r="I4" i="2"/>
  <c r="H13" i="1" l="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I8" i="2"/>
  <c r="C4" i="5" l="1"/>
  <c r="E15" i="5" s="1"/>
  <c r="C4" i="4"/>
  <c r="E13" i="5" l="1"/>
  <c r="C9" i="5"/>
  <c r="E9" i="5" s="1"/>
  <c r="C12" i="5"/>
  <c r="C13" i="5"/>
  <c r="D13" i="5" s="1"/>
  <c r="C15" i="5"/>
  <c r="D15" i="5" s="1"/>
  <c r="C10" i="5"/>
  <c r="E10" i="5" s="1"/>
  <c r="C11" i="5"/>
  <c r="E12" i="5"/>
  <c r="C7" i="5"/>
  <c r="E7" i="5" s="1"/>
  <c r="D12" i="5"/>
  <c r="C8" i="5"/>
  <c r="E8" i="5" s="1"/>
  <c r="C6" i="5"/>
  <c r="D6" i="5" s="1"/>
  <c r="C14" i="5"/>
  <c r="D14" i="5"/>
  <c r="E14" i="5"/>
  <c r="D9" i="5" l="1"/>
  <c r="D11" i="5"/>
  <c r="E11" i="5"/>
  <c r="D7" i="5"/>
  <c r="D10" i="5"/>
  <c r="D8" i="5"/>
  <c r="E6" i="5"/>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eekay Confectionaries.xlsx!data" type="102" refreshedVersion="5" minRefreshableVersion="5">
    <extLst>
      <ext xmlns:x15="http://schemas.microsoft.com/office/spreadsheetml/2010/11/main" uri="{DE250136-89BD-433C-8126-D09CA5730AF9}">
        <x15:connection id="data-3a3c7651-ac03-4ee8-9f5f-c96514dc01d3" autoDelete="1">
          <x15:rangePr sourceName="_xlcn.WorksheetConnection_PeekayConfectionaries.xlsxdata1"/>
        </x15:connection>
      </ext>
    </extLst>
  </connection>
</connections>
</file>

<file path=xl/sharedStrings.xml><?xml version="1.0" encoding="utf-8"?>
<sst xmlns="http://schemas.openxmlformats.org/spreadsheetml/2006/main" count="2910" uniqueCount="87">
  <si>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</si>
  <si>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</si>
  <si>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</si>
  <si>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</si>
  <si>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</si>
  <si>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</si>
  <si>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</si>
  <si>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</si>
  <si>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</si>
  <si>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</si>
  <si>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</si>
  <si>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</si>
  <si>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</si>
  <si>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</si>
  <si>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</si>
  <si>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</si>
  <si>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</si>
  <si>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</si>
  <si>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</si>
  <si>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</si>
  <si>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</si>
  <si>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</si>
  <si>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</si>
  <si>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</si>
  <si>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</si>
  <si>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</si>
  <si>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</si>
  <si>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</si>
  <si>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</si>
  <si>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</si>
  <si>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</si>
  <si>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</si>
  <si>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</si>
  <si>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</si>
  <si>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</si>
  <si>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</si>
  <si>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</si>
  <si>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</si>
  <si>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</si>
  <si>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</si>
  <si>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</si>
  <si>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</si>
  <si>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</si>
  <si>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Average</t>
  </si>
  <si>
    <t>Median</t>
  </si>
  <si>
    <t>Min</t>
  </si>
  <si>
    <t>Max</t>
  </si>
  <si>
    <t>Range</t>
  </si>
  <si>
    <t>First Q</t>
  </si>
  <si>
    <t>Third Q</t>
  </si>
  <si>
    <t>Second Q</t>
  </si>
  <si>
    <t>Distinct count of products</t>
  </si>
  <si>
    <t>Country</t>
  </si>
  <si>
    <t>Helper</t>
  </si>
  <si>
    <t>Quick statistics</t>
  </si>
  <si>
    <t>Exploratory Data Analysis (EDA) with CF</t>
  </si>
  <si>
    <t>Sales by country (with formulas)</t>
  </si>
  <si>
    <t>Sales by country (with pivots)</t>
  </si>
  <si>
    <t>Top 5 products by $ per unit</t>
  </si>
  <si>
    <t>Are there any anomalies in the data?</t>
  </si>
  <si>
    <t>Dynamic country-level Sales Report</t>
  </si>
  <si>
    <t>Which products to discontinue?</t>
  </si>
  <si>
    <t>Row Labels</t>
  </si>
  <si>
    <t>Grand Total</t>
  </si>
  <si>
    <t>Sum of Amount</t>
  </si>
  <si>
    <t>Sum of Units</t>
  </si>
  <si>
    <t>Sum of Amount2</t>
  </si>
  <si>
    <t>Sales Per Unit</t>
  </si>
  <si>
    <t>Cost per unit</t>
  </si>
  <si>
    <t>Total cost</t>
  </si>
  <si>
    <t>Total Profit</t>
  </si>
  <si>
    <t>Countries</t>
  </si>
  <si>
    <t>Select a country :</t>
  </si>
  <si>
    <t>Quick Summary</t>
  </si>
  <si>
    <t>Number of transactions:</t>
  </si>
  <si>
    <t>Total</t>
  </si>
  <si>
    <t>Sales</t>
  </si>
  <si>
    <t>Cost</t>
  </si>
  <si>
    <t>Profit</t>
  </si>
  <si>
    <t>Quantity</t>
  </si>
  <si>
    <t>By Sales Person</t>
  </si>
  <si>
    <t>✅❎</t>
  </si>
  <si>
    <t>Profit %ge</t>
  </si>
  <si>
    <t>Chocolate Sales Dashboard - Data Analysis Report</t>
  </si>
  <si>
    <t>Best and least sales person by country</t>
  </si>
  <si>
    <t>Profits by product (using products table)</t>
  </si>
  <si>
    <t>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</si>
</sst>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0;\(\$#,##0\);\$#,##0"/>
    <numFmt numFmtId="166" formatCode="\$#,##0.00;\(\$#,##0.00\);\$#,##0.00"/>
    <numFmt numFmtId="167" formatCode="&quot;$&quot;#,##0"/>
    <numFmt numFmtId="168" formatCode="0.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1"/>
      <color theme="1"/>
      <name val="Calibri"/>
      <scheme val="minor"/>
    </font>
    <font>
      <sz val="11"/>
      <color theme="1" tint="0.499984740745262"/>
      <name val="Calibri"/>
      <family val="2"/>
      <scheme val="minor"/>
    </font>
    <font>
      <sz val="11"/>
      <color theme="5" tint="-0.249977111117893"/>
      <name val="Calibri"/>
      <family val="2"/>
      <scheme val="minor"/>
    </font>
    <font>
      <b/>
      <sz val="11"/>
      <color theme="0"/>
      <name val="Calibri"/>
      <family val="2"/>
      <scheme val="minor"/>
    </font>
    <font>
      <sz val="11"/>
      <color theme="5" tint="-0.499984740745262"/>
      <name val="Calibri"/>
      <family val="2"/>
      <scheme val="minor"/>
    </font>
    <font>
      <sz val="16"/>
      <color theme="1"/>
      <name val="Calibri"/>
      <family val="2"/>
      <scheme val="minor"/>
    </font>
    <font>
      <sz val="28"/>
      <color theme="1"/>
      <name val="Segoe UI Light"/>
      <family val="2"/>
    </font>
    <font>
      <sz val="28"/>
      <color theme="1"/>
      <name val="Segoe UI Black"/>
      <family val="2"/>
    </font>
    <font>
      <b/>
      <sz val="28"/>
      <color theme="1"/>
      <name val="Segoe UI Light"/>
      <family val="2"/>
    </font>
    <font>
      <sz val="12"/>
      <color theme="1"/>
      <name val="Segoe UI Semibold"/>
      <family val="2"/>
    </font>
  </fonts>
  <fills count="12">
    <fill>
      <patternFill patternType="none"/>
    </fill>
    <fill>
      <patternFill patternType="gray125"/>
    </fill>
    <fill>
      <patternFill patternType="solid">
        <fgColor theme="3" tint="0.79998168889431442"/>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rgb="FF000099"/>
        <bgColor indexed="64"/>
      </patternFill>
    </fill>
    <fill>
      <patternFill patternType="solid">
        <fgColor theme="9" tint="0.79998168889431442"/>
        <bgColor indexed="64"/>
      </patternFill>
    </fill>
  </fills>
  <borders count="14">
    <border>
      <left/>
      <right/>
      <top/>
      <bottom/>
      <diagonal/>
    </border>
    <border>
      <left/>
      <right/>
      <top style="thin">
        <color theme="0" tint="-0.24994659260841701"/>
      </top>
      <bottom style="thin">
        <color theme="0" tint="-0.24994659260841701"/>
      </bottom>
      <diagonal/>
    </border>
    <border>
      <left/>
      <right/>
      <top style="dotted">
        <color theme="0" tint="-0.24994659260841701"/>
      </top>
      <bottom style="dotted">
        <color theme="0" tint="-0.2499465926084170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
      <left/>
      <right/>
      <top/>
      <bottom style="thin">
        <color theme="2" tint="-0.24994659260841701"/>
      </bottom>
      <diagonal/>
    </border>
    <border>
      <left/>
      <right/>
      <top style="thin">
        <color theme="2" tint="-0.24994659260841701"/>
      </top>
      <bottom style="thin">
        <color theme="2" tint="-0.24994659260841701"/>
      </bottom>
      <diagonal/>
    </border>
    <border>
      <left/>
      <right style="thick">
        <color theme="2" tint="-0.24994659260841701"/>
      </right>
      <top style="thick">
        <color theme="2" tint="-0.24994659260841701"/>
      </top>
      <bottom style="thick">
        <color theme="2" tint="-0.24994659260841701"/>
      </bottom>
      <diagonal/>
    </border>
    <border>
      <left/>
      <right/>
      <top style="thick">
        <color theme="2" tint="-0.24994659260841701"/>
      </top>
      <bottom style="thick">
        <color theme="2" tint="-0.24994659260841701"/>
      </bottom>
      <diagonal/>
    </border>
  </borders>
  <cellStyleXfs count="2">
    <xf numFmtId="0" fontId="0" fillId="0" borderId="0"/>
    <xf numFmtId="44" fontId="1" fillId="0" borderId="0" applyFont="0" applyFill="0" applyBorder="0" applyAlignment="0" applyProtection="0"/>
  </cellStyleXfs>
  <cellXfs count="82">
    <xf numFmtId="0" fontId="0" fillId="0" borderId="0" xfId="0"/>
    <xf numFmtId="0" fontId="2" fillId="0" borderId="0" xfId="0" applyFont="1"/>
    <xf numFmtId="0" fontId="2" fillId="0" borderId="0" xfId="0" applyFont="1" applyAlignment="1">
      <alignment horizontal="right"/>
    </xf>
    <xf numFmtId="6" fontId="0" fillId="0" borderId="0" xfId="0" applyNumberFormat="1"/>
    <xf numFmtId="3" fontId="0" fillId="0" borderId="0" xfId="0" applyNumberFormat="1"/>
    <xf numFmtId="0" fontId="4" fillId="0" borderId="0" xfId="0" applyFont="1"/>
    <xf numFmtId="0" fontId="0" fillId="0" borderId="0" xfId="0" applyNumberFormat="1"/>
    <xf numFmtId="44" fontId="0" fillId="0" borderId="0" xfId="1" applyFont="1"/>
    <xf numFmtId="164" fontId="0" fillId="0" borderId="0" xfId="1" applyNumberFormat="1" applyFont="1"/>
    <xf numFmtId="3" fontId="0" fillId="0" borderId="0" xfId="1" applyNumberFormat="1" applyFont="1"/>
    <xf numFmtId="0" fontId="2" fillId="2" borderId="0" xfId="0" applyFont="1" applyFill="1"/>
    <xf numFmtId="0" fontId="2" fillId="2" borderId="0" xfId="0" applyFont="1" applyFill="1" applyAlignment="1">
      <alignment horizontal="right"/>
    </xf>
    <xf numFmtId="0" fontId="3" fillId="0" borderId="0" xfId="0" applyFont="1"/>
    <xf numFmtId="0" fontId="2" fillId="2" borderId="1" xfId="0" applyFont="1" applyFill="1" applyBorder="1"/>
    <xf numFmtId="0" fontId="2" fillId="2" borderId="1" xfId="0" applyFont="1" applyFill="1" applyBorder="1" applyAlignment="1">
      <alignment horizontal="right"/>
    </xf>
    <xf numFmtId="0" fontId="0" fillId="0" borderId="1" xfId="0" applyBorder="1"/>
    <xf numFmtId="44" fontId="0" fillId="0" borderId="1" xfId="1" applyFont="1" applyBorder="1"/>
    <xf numFmtId="3" fontId="5" fillId="0" borderId="1" xfId="1" applyNumberFormat="1" applyFont="1" applyBorder="1"/>
    <xf numFmtId="0" fontId="2" fillId="3" borderId="0" xfId="0" applyFont="1" applyFill="1"/>
    <xf numFmtId="0" fontId="0" fillId="3" borderId="0" xfId="0" applyFill="1"/>
    <xf numFmtId="0" fontId="0" fillId="0" borderId="2" xfId="0" applyBorder="1"/>
    <xf numFmtId="0" fontId="2" fillId="0" borderId="2" xfId="0" applyFont="1" applyBorder="1" applyAlignment="1">
      <alignment horizontal="center"/>
    </xf>
    <xf numFmtId="0" fontId="0" fillId="0" borderId="0" xfId="0" pivotButton="1"/>
    <xf numFmtId="0" fontId="0" fillId="0" borderId="0" xfId="0" applyAlignment="1">
      <alignment horizontal="left"/>
    </xf>
    <xf numFmtId="0" fontId="6" fillId="0" borderId="0" xfId="0" applyFont="1"/>
    <xf numFmtId="0" fontId="3" fillId="0" borderId="0" xfId="0" applyNumberFormat="1" applyFont="1"/>
    <xf numFmtId="165" fontId="0" fillId="0" borderId="0" xfId="0" applyNumberFormat="1"/>
    <xf numFmtId="166" fontId="0" fillId="0" borderId="0" xfId="0" applyNumberFormat="1"/>
    <xf numFmtId="0" fontId="7" fillId="5" borderId="5" xfId="0" applyFont="1" applyFill="1" applyBorder="1"/>
    <xf numFmtId="0" fontId="7" fillId="5" borderId="6" xfId="0" applyFont="1" applyFill="1" applyBorder="1"/>
    <xf numFmtId="0" fontId="7" fillId="5" borderId="6" xfId="0" applyFont="1" applyFill="1" applyBorder="1" applyAlignment="1">
      <alignment horizontal="right"/>
    </xf>
    <xf numFmtId="0" fontId="0" fillId="4" borderId="5" xfId="0" applyFont="1" applyFill="1" applyBorder="1"/>
    <xf numFmtId="0" fontId="0" fillId="4" borderId="6" xfId="0" applyFont="1" applyFill="1" applyBorder="1"/>
    <xf numFmtId="6" fontId="0" fillId="4" borderId="6" xfId="0" applyNumberFormat="1" applyFont="1" applyFill="1" applyBorder="1"/>
    <xf numFmtId="3" fontId="0" fillId="4" borderId="6" xfId="0" applyNumberFormat="1" applyFont="1" applyFill="1" applyBorder="1"/>
    <xf numFmtId="0" fontId="0" fillId="0" borderId="5" xfId="0" applyFont="1" applyBorder="1"/>
    <xf numFmtId="0" fontId="0" fillId="0" borderId="6" xfId="0" applyFont="1" applyBorder="1"/>
    <xf numFmtId="6" fontId="0" fillId="0" borderId="6" xfId="0" applyNumberFormat="1" applyFont="1" applyBorder="1"/>
    <xf numFmtId="3" fontId="0" fillId="0" borderId="6" xfId="0" applyNumberFormat="1" applyFont="1" applyBorder="1"/>
    <xf numFmtId="0" fontId="0" fillId="0" borderId="0" xfId="0" applyAlignment="1">
      <alignment horizontal="left" indent="1"/>
    </xf>
    <xf numFmtId="8" fontId="0" fillId="4" borderId="6" xfId="0" applyNumberFormat="1" applyFont="1" applyFill="1" applyBorder="1"/>
    <xf numFmtId="8" fontId="0" fillId="0" borderId="6" xfId="0" applyNumberFormat="1" applyFont="1" applyBorder="1"/>
    <xf numFmtId="0" fontId="7" fillId="5" borderId="3" xfId="0" applyFont="1" applyFill="1" applyBorder="1"/>
    <xf numFmtId="0" fontId="0" fillId="0" borderId="4" xfId="0" applyFont="1" applyBorder="1"/>
    <xf numFmtId="8" fontId="0" fillId="0" borderId="4" xfId="0" applyNumberFormat="1" applyFont="1" applyBorder="1"/>
    <xf numFmtId="167" fontId="0" fillId="0" borderId="0" xfId="0" applyNumberFormat="1"/>
    <xf numFmtId="0" fontId="2" fillId="6" borderId="9" xfId="0" applyFont="1" applyFill="1" applyBorder="1"/>
    <xf numFmtId="0" fontId="0" fillId="0" borderId="0" xfId="0" applyBorder="1"/>
    <xf numFmtId="0" fontId="0" fillId="8" borderId="10" xfId="0" applyFill="1" applyBorder="1"/>
    <xf numFmtId="0" fontId="0" fillId="0" borderId="11" xfId="0" applyBorder="1"/>
    <xf numFmtId="167" fontId="0" fillId="0" borderId="11" xfId="0" applyNumberFormat="1" applyBorder="1"/>
    <xf numFmtId="3" fontId="0" fillId="0" borderId="11" xfId="0" applyNumberFormat="1" applyBorder="1"/>
    <xf numFmtId="0" fontId="2" fillId="0" borderId="11" xfId="0" applyFont="1" applyBorder="1"/>
    <xf numFmtId="0" fontId="2" fillId="8" borderId="10" xfId="0" applyFont="1" applyFill="1" applyBorder="1" applyAlignment="1">
      <alignment horizontal="right"/>
    </xf>
    <xf numFmtId="0" fontId="8" fillId="8" borderId="10" xfId="0" applyFont="1" applyFill="1" applyBorder="1" applyAlignment="1">
      <alignment horizontal="center"/>
    </xf>
    <xf numFmtId="0" fontId="0" fillId="0" borderId="11" xfId="0" applyBorder="1" applyAlignment="1">
      <alignment horizontal="center"/>
    </xf>
    <xf numFmtId="6" fontId="9" fillId="0" borderId="0" xfId="0" applyNumberFormat="1" applyFont="1"/>
    <xf numFmtId="168" fontId="0" fillId="0" borderId="0" xfId="0" applyNumberFormat="1"/>
    <xf numFmtId="0" fontId="0" fillId="9" borderId="0" xfId="0" applyFill="1"/>
    <xf numFmtId="0" fontId="0" fillId="10" borderId="0" xfId="0" applyFill="1"/>
    <xf numFmtId="0" fontId="11" fillId="3" borderId="0" xfId="0" applyFont="1" applyFill="1" applyAlignment="1">
      <alignment horizontal="center" vertical="center"/>
    </xf>
    <xf numFmtId="0" fontId="10" fillId="3" borderId="0" xfId="0" applyFont="1" applyFill="1" applyAlignment="1">
      <alignment vertical="center"/>
    </xf>
    <xf numFmtId="0" fontId="12" fillId="3" borderId="0" xfId="0" applyFont="1" applyFill="1"/>
    <xf numFmtId="0" fontId="0" fillId="7" borderId="10" xfId="0" applyFill="1" applyBorder="1"/>
    <xf numFmtId="167" fontId="0" fillId="7" borderId="10" xfId="0" applyNumberFormat="1" applyFill="1" applyBorder="1"/>
    <xf numFmtId="3" fontId="0" fillId="7" borderId="10" xfId="0" applyNumberFormat="1" applyFill="1" applyBorder="1"/>
    <xf numFmtId="0" fontId="0" fillId="7" borderId="11" xfId="0" applyFill="1" applyBorder="1"/>
    <xf numFmtId="167" fontId="0" fillId="7" borderId="11" xfId="0" applyNumberFormat="1" applyFill="1" applyBorder="1"/>
    <xf numFmtId="3" fontId="0" fillId="7" borderId="11" xfId="0" applyNumberFormat="1" applyFill="1" applyBorder="1"/>
    <xf numFmtId="0" fontId="0" fillId="11" borderId="11" xfId="0" applyFill="1" applyBorder="1"/>
    <xf numFmtId="167" fontId="0" fillId="11" borderId="11" xfId="0" applyNumberFormat="1" applyFill="1" applyBorder="1"/>
    <xf numFmtId="3" fontId="0" fillId="11" borderId="11" xfId="0" applyNumberFormat="1" applyFill="1" applyBorder="1"/>
    <xf numFmtId="0" fontId="13" fillId="0" borderId="0" xfId="0" applyFont="1"/>
    <xf numFmtId="0" fontId="0" fillId="0" borderId="13" xfId="0" applyBorder="1"/>
    <xf numFmtId="0" fontId="0" fillId="0" borderId="12" xfId="0" applyBorder="1" applyAlignment="1">
      <alignment horizontal="left"/>
    </xf>
    <xf numFmtId="0" fontId="2" fillId="0" borderId="0" xfId="0" applyFont="1" applyAlignment="1">
      <alignment horizontal="left"/>
    </xf>
    <xf numFmtId="0" fontId="0" fillId="0" borderId="10" xfId="0" applyBorder="1" applyAlignment="1">
      <alignment horizontal="left"/>
    </xf>
    <xf numFmtId="166" fontId="0" fillId="0" borderId="10" xfId="0" applyNumberFormat="1" applyBorder="1"/>
    <xf numFmtId="0" fontId="0" fillId="0" borderId="11" xfId="0" applyBorder="1" applyAlignment="1">
      <alignment horizontal="left"/>
    </xf>
    <xf numFmtId="166" fontId="0" fillId="0" borderId="11" xfId="0" applyNumberFormat="1" applyBorder="1"/>
    <xf numFmtId="0" fontId="0" fillId="7" borderId="7" xfId="0" applyFill="1" applyBorder="1" applyAlignment="1">
      <alignment horizontal="center"/>
    </xf>
    <xf numFmtId="0" fontId="0" fillId="7" borderId="8" xfId="0" applyFill="1" applyBorder="1" applyAlignment="1">
      <alignment horizontal="center"/>
    </xf>
  </cellXfs>
  <cellStyles count="2">
    <cellStyle name="Currency" xfId="1" builtinId="4"/>
    <cellStyle name="Normal" xfId="0" builtinId="0"/>
  </cellStyles>
  <dxfs count="51">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font>
        <color theme="5" tint="-0.249977111117893"/>
      </font>
    </dxf>
    <dxf>
      <font>
        <color theme="0"/>
      </font>
    </dxf>
    <dxf>
      <numFmt numFmtId="167" formatCode="&quot;$&quot;#,##0"/>
    </dxf>
    <dxf>
      <numFmt numFmtId="3" formatCode="#,##0"/>
    </dxf>
    <dxf>
      <numFmt numFmtId="167" formatCode="&quot;$&quot;#,##0"/>
    </dxf>
    <dxf>
      <border>
        <bottom style="thin">
          <color theme="2" tint="-0.24994659260841701"/>
        </bottom>
        <horizontal style="thin">
          <color theme="2" tint="-0.24994659260841701"/>
        </horizontal>
      </border>
    </dxf>
    <dxf>
      <numFmt numFmtId="166" formatCode="\$#,##0.00;\(\$#,##0.00\);\$#,##0.00"/>
    </dxf>
    <dxf>
      <numFmt numFmtId="167" formatCode="&quot;$&quot;#,##0"/>
    </dxf>
    <dxf>
      <font>
        <color theme="0"/>
      </font>
    </dxf>
    <dxf>
      <font>
        <color theme="5" tint="-0.249977111117893"/>
      </font>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2" formatCode="&quot;$&quot;#,##0.00_);[Red]\(&quot;$&quot;#,##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99FF99"/>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33"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Anamolies in the data</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'6'!$S$4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'6'!$R$5:$R$304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'6'!$S$5:$S$304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1072133040"/>
        <c:axId val="-1072108016"/>
      </c:scatterChart>
      <c:valAx>
        <c:axId val="-1072133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08016"/>
        <c:crosses val="autoZero"/>
        <c:crossBetween val="midCat"/>
      </c:valAx>
      <c:valAx>
        <c:axId val="-107210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133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209549</xdr:colOff>
      <xdr:row>2</xdr:row>
      <xdr:rowOff>57149</xdr:rowOff>
    </xdr:from>
    <xdr:to>
      <xdr:col>3</xdr:col>
      <xdr:colOff>381000</xdr:colOff>
      <xdr:row>8</xdr:row>
      <xdr:rowOff>152400</xdr:rowOff>
    </xdr:to>
    <xdr:pic>
      <xdr:nvPicPr>
        <xdr:cNvPr id="2" name="Picture 1"/>
        <xdr:cNvPicPr>
          <a:picLocks noChangeAspect="1"/>
        </xdr:cNvPicPr>
      </xdr:nvPicPr>
      <xdr:blipFill rotWithShape="1">
        <a:blip xmlns:r="http://schemas.openxmlformats.org/officeDocument/2006/relationships" r:embed="rId1"/>
        <a:srcRect t="1" b="869"/>
        <a:stretch/>
      </xdr:blipFill>
      <xdr:spPr>
        <a:xfrm>
          <a:off x="571499" y="914399"/>
          <a:ext cx="1238251" cy="12382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604837</xdr:colOff>
      <xdr:row>2</xdr:row>
      <xdr:rowOff>87315</xdr:rowOff>
    </xdr:from>
    <xdr:to>
      <xdr:col>12</xdr:col>
      <xdr:colOff>604839</xdr:colOff>
      <xdr:row>12</xdr:row>
      <xdr:rowOff>39689</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930900" y="944565"/>
              <a:ext cx="3055939" cy="1857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342900</xdr:colOff>
      <xdr:row>5</xdr:row>
      <xdr:rowOff>61911</xdr:rowOff>
    </xdr:from>
    <xdr:to>
      <xdr:col>12</xdr:col>
      <xdr:colOff>76200</xdr:colOff>
      <xdr:row>22</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12701</xdr:colOff>
      <xdr:row>2</xdr:row>
      <xdr:rowOff>11113</xdr:rowOff>
    </xdr:from>
    <xdr:to>
      <xdr:col>10</xdr:col>
      <xdr:colOff>7939</xdr:colOff>
      <xdr:row>15</xdr:row>
      <xdr:rowOff>58738</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735639" y="86836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200025</xdr:colOff>
      <xdr:row>3</xdr:row>
      <xdr:rowOff>38100</xdr:rowOff>
    </xdr:from>
    <xdr:to>
      <xdr:col>14</xdr:col>
      <xdr:colOff>9525</xdr:colOff>
      <xdr:row>6</xdr:row>
      <xdr:rowOff>19050</xdr:rowOff>
    </xdr:to>
    <xdr:sp macro="" textlink="">
      <xdr:nvSpPr>
        <xdr:cNvPr id="3" name="Rounded Rectangle 2"/>
        <xdr:cNvSpPr/>
      </xdr:nvSpPr>
      <xdr:spPr>
        <a:xfrm>
          <a:off x="5943600" y="1085850"/>
          <a:ext cx="2457450" cy="628650"/>
        </a:xfrm>
        <a:prstGeom prst="roundRect">
          <a:avLst/>
        </a:prstGeom>
        <a:gradFill>
          <a:gsLst>
            <a:gs pos="4000">
              <a:schemeClr val="accent4"/>
            </a:gs>
            <a:gs pos="62000">
              <a:schemeClr val="bg1">
                <a:alpha val="0"/>
              </a:schemeClr>
            </a:gs>
            <a:gs pos="93000">
              <a:schemeClr val="accent4"/>
            </a:gs>
          </a:gsLst>
          <a:lin ang="2700000" scaled="1"/>
        </a:gradFill>
        <a:ln>
          <a:solidFill>
            <a:schemeClr val="accent1">
              <a:shade val="50000"/>
              <a:alpha val="9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sales Target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38100</xdr:colOff>
      <xdr:row>2</xdr:row>
      <xdr:rowOff>0</xdr:rowOff>
    </xdr:from>
    <xdr:to>
      <xdr:col>11</xdr:col>
      <xdr:colOff>38100</xdr:colOff>
      <xdr:row>15</xdr:row>
      <xdr:rowOff>47625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29325" y="857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466.607908449078" createdVersion="5" refreshedVersion="5" minRefreshableVersion="3" recordCount="300">
  <cacheSource type="worksheet">
    <worksheetSource name="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Helper" numFmtId="0">
      <sharedItems containsSemiMixedTypes="0" containsString="0" containsNumber="1" containsInteger="1" minValue="1" maxValue="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4466.849763310187" backgroundQuery="1" createdVersion="5" refreshedVersion="5"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Helper]" caption="Helper" attribute="1" defaultMemberUniqueName="[data].[Helper].[All]" allUniqueName="[data].[Helper].[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ge]" caption="Profit %ge" measure="1" displayFolder="" measureGroup="data" count="0"/>
    <cacheHierarchy uniqueName="[Measures].[__XL_Count data]" caption="__XL_Count data" measure="1" displayFolder="" measureGroup="data" count="0" hidden="1"/>
    <cacheHierarchy uniqueName="[Measures].[__XL_Count of Models]" caption="__XL_Count of Models"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4466.930524189818" backgroundQuery="1" createdVersion="5" refreshedVersion="5"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3" level="32767"/>
    <cacheField name="[data].[Geography].[Geography]" caption="Geography" numFmtId="0" hierarchy="1"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Helper]" caption="Helper" attribute="1" defaultMemberUniqueName="[data].[Helper].[All]" allUniqueName="[data].[Helper].[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ge]" caption="Profit %ge" measure="1" displayFolder="" measureGroup="data" count="0"/>
    <cacheHierarchy uniqueName="[Measures].[__XL_Count data]" caption="__XL_Count data" measure="1" displayFolder="" measureGroup="data" count="0" hidden="1"/>
    <cacheHierarchy uniqueName="[Measures].[__XL_Count of Models]" caption="__XL_Count of Models"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4466.936367592592" backgroundQuery="1" createdVersion="5" refreshedVersion="5"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8" level="32767"/>
    <cacheField name="[Measures].[Sum of Units]" caption="Sum of Units" numFmtId="0" hierarchy="9" level="32767"/>
    <cacheField name="[Measures].[Total Profit]" caption="Total Profit" numFmtId="0" hierarchy="13" level="32767"/>
    <cacheField name="[Measures].[Profit %ge]" caption="Profit %ge" numFmtId="0" hierarchy="14" level="32767"/>
    <cacheField name="[data].[Geography].[Geography]" caption="Geography" numFmtId="0" hierarchy="1" level="1">
      <sharedItems containsSemiMixedTypes="0" containsNonDate="0" containsString="0"/>
    </cacheField>
  </cacheFields>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Helper]" caption="Helper" attribute="1" defaultMemberUniqueName="[data].[Helper].[All]" allUniqueName="[data].[Helper].[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ge]" caption="Profit %ge"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of Models]" caption="__XL_Count of Models"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4466.84975844907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Helper]" caption="Helper" attribute="1" defaultMemberUniqueName="[data].[Helper].[All]" allUniqueName="[data].[Helper].[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ge]" caption="Profit %ge" measure="1" displayFolder="" measureGroup="data" count="0"/>
    <cacheHierarchy uniqueName="[Measures].[__XL_Count data]" caption="__XL_Count data" measure="1" displayFolder="" measureGroup="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4466.852834143516"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Helper]" caption="Helper" attribute="1" defaultMemberUniqueName="[data].[Helper].[All]" allUniqueName="[data].[Helper].[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per unit]" caption="Sum of Cost per unit" measure="1" displayFolder="" measureGroup="data" count="0">
      <extLst>
        <ext xmlns:x15="http://schemas.microsoft.com/office/spreadsheetml/2010/11/main" uri="{B97F6D7D-B522-45F9-BDA1-12C45D357490}">
          <x15:cacheHierarchy aggregatedColumn="6"/>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7"/>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ge]" caption="Profit %ge" measure="1" displayFolder="" measureGroup="data" count="0"/>
    <cacheHierarchy uniqueName="[Measures].[__XL_Count data]" caption="__XL_Count data" measure="1" displayFolder="" measureGroup="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n v="1"/>
  </r>
  <r>
    <x v="1"/>
    <x v="1"/>
    <s v="Choco Coated Almonds"/>
    <n v="6706"/>
    <n v="459"/>
    <n v="2"/>
  </r>
  <r>
    <x v="2"/>
    <x v="1"/>
    <s v="Almond Choco"/>
    <n v="959"/>
    <n v="147"/>
    <n v="2"/>
  </r>
  <r>
    <x v="3"/>
    <x v="2"/>
    <s v="Drinking Coco"/>
    <n v="9632"/>
    <n v="288"/>
    <n v="3"/>
  </r>
  <r>
    <x v="4"/>
    <x v="3"/>
    <s v="White Choc"/>
    <n v="2100"/>
    <n v="414"/>
    <n v="4"/>
  </r>
  <r>
    <x v="0"/>
    <x v="1"/>
    <s v="Peanut Butter Cubes"/>
    <n v="8869"/>
    <n v="432"/>
    <n v="4"/>
  </r>
  <r>
    <x v="4"/>
    <x v="4"/>
    <s v="Smooth Sliky Salty"/>
    <n v="2681"/>
    <n v="54"/>
    <n v="5"/>
  </r>
  <r>
    <x v="1"/>
    <x v="1"/>
    <s v="After Nines"/>
    <n v="5012"/>
    <n v="210"/>
    <n v="5"/>
  </r>
  <r>
    <x v="5"/>
    <x v="4"/>
    <s v="50% Dark Bites"/>
    <n v="1281"/>
    <n v="75"/>
    <n v="5"/>
  </r>
  <r>
    <x v="6"/>
    <x v="0"/>
    <s v="50% Dark Bites"/>
    <n v="4991"/>
    <n v="12"/>
    <n v="5"/>
  </r>
  <r>
    <x v="7"/>
    <x v="3"/>
    <s v="White Choc"/>
    <n v="1785"/>
    <n v="462"/>
    <n v="5"/>
  </r>
  <r>
    <x v="8"/>
    <x v="0"/>
    <s v="Eclairs"/>
    <n v="3983"/>
    <n v="144"/>
    <n v="5"/>
  </r>
  <r>
    <x v="2"/>
    <x v="4"/>
    <s v="Mint Chip Choco"/>
    <n v="2646"/>
    <n v="120"/>
    <n v="5"/>
  </r>
  <r>
    <x v="7"/>
    <x v="5"/>
    <s v="Milk Bars"/>
    <n v="252"/>
    <n v="54"/>
    <n v="6"/>
  </r>
  <r>
    <x v="8"/>
    <x v="1"/>
    <s v="White Choc"/>
    <n v="2464"/>
    <n v="234"/>
    <n v="6"/>
  </r>
  <r>
    <x v="8"/>
    <x v="1"/>
    <s v="Manuka Honey Choco"/>
    <n v="2114"/>
    <n v="66"/>
    <n v="6"/>
  </r>
  <r>
    <x v="4"/>
    <x v="0"/>
    <s v="Smooth Sliky Salty"/>
    <n v="7693"/>
    <n v="87"/>
    <n v="6"/>
  </r>
  <r>
    <x v="6"/>
    <x v="5"/>
    <s v="Orange Choco"/>
    <n v="15610"/>
    <n v="339"/>
    <n v="6"/>
  </r>
  <r>
    <x v="3"/>
    <x v="5"/>
    <s v="After Nines"/>
    <n v="336"/>
    <n v="144"/>
    <n v="6"/>
  </r>
  <r>
    <x v="7"/>
    <x v="3"/>
    <s v="Orange Choco"/>
    <n v="9443"/>
    <n v="162"/>
    <n v="6"/>
  </r>
  <r>
    <x v="2"/>
    <x v="5"/>
    <s v="Fruit &amp; Nut Bars"/>
    <n v="8155"/>
    <n v="90"/>
    <n v="6"/>
  </r>
  <r>
    <x v="1"/>
    <x v="4"/>
    <s v="Fruit &amp; Nut Bars"/>
    <n v="1701"/>
    <n v="234"/>
    <n v="6"/>
  </r>
  <r>
    <x v="9"/>
    <x v="4"/>
    <s v="After Nines"/>
    <n v="2205"/>
    <n v="141"/>
    <n v="6"/>
  </r>
  <r>
    <x v="1"/>
    <x v="0"/>
    <s v="99% Dark &amp; Pure"/>
    <n v="1771"/>
    <n v="204"/>
    <n v="6"/>
  </r>
  <r>
    <x v="3"/>
    <x v="1"/>
    <s v="Raspberry Choco"/>
    <n v="2114"/>
    <n v="186"/>
    <n v="6"/>
  </r>
  <r>
    <x v="3"/>
    <x v="2"/>
    <s v="Milk Bars"/>
    <n v="10311"/>
    <n v="231"/>
    <n v="6"/>
  </r>
  <r>
    <x v="8"/>
    <x v="3"/>
    <s v="Mint Chip Choco"/>
    <n v="21"/>
    <n v="168"/>
    <n v="6"/>
  </r>
  <r>
    <x v="9"/>
    <x v="1"/>
    <s v="Orange Choco"/>
    <n v="1974"/>
    <n v="195"/>
    <n v="6"/>
  </r>
  <r>
    <x v="6"/>
    <x v="2"/>
    <s v="Fruit &amp; Nut Bars"/>
    <n v="6314"/>
    <n v="15"/>
    <n v="6"/>
  </r>
  <r>
    <x v="9"/>
    <x v="0"/>
    <s v="Fruit &amp; Nut Bars"/>
    <n v="4683"/>
    <n v="30"/>
    <n v="6"/>
  </r>
  <r>
    <x v="3"/>
    <x v="0"/>
    <s v="85% Dark Bars"/>
    <n v="6398"/>
    <n v="102"/>
    <n v="6"/>
  </r>
  <r>
    <x v="7"/>
    <x v="1"/>
    <s v="99% Dark &amp; Pure"/>
    <n v="553"/>
    <n v="15"/>
    <n v="6"/>
  </r>
  <r>
    <x v="1"/>
    <x v="3"/>
    <s v="70% Dark Bites"/>
    <n v="7021"/>
    <n v="183"/>
    <n v="6"/>
  </r>
  <r>
    <x v="0"/>
    <x v="3"/>
    <s v="After Nines"/>
    <n v="5817"/>
    <n v="12"/>
    <n v="6"/>
  </r>
  <r>
    <x v="3"/>
    <x v="3"/>
    <s v="50% Dark Bites"/>
    <n v="3976"/>
    <n v="72"/>
    <n v="6"/>
  </r>
  <r>
    <x v="4"/>
    <x v="4"/>
    <s v="Organic Choco Syrup"/>
    <n v="1134"/>
    <n v="282"/>
    <n v="6"/>
  </r>
  <r>
    <x v="7"/>
    <x v="3"/>
    <s v="Caramel Stuffed Bars"/>
    <n v="6027"/>
    <n v="144"/>
    <n v="6"/>
  </r>
  <r>
    <x v="4"/>
    <x v="0"/>
    <s v="Mint Chip Choco"/>
    <n v="1904"/>
    <n v="405"/>
    <n v="6"/>
  </r>
  <r>
    <x v="5"/>
    <x v="5"/>
    <s v="Choco Coated Almonds"/>
    <n v="3262"/>
    <n v="75"/>
    <n v="6"/>
  </r>
  <r>
    <x v="0"/>
    <x v="5"/>
    <s v="Organic Choco Syrup"/>
    <n v="2289"/>
    <n v="135"/>
    <n v="6"/>
  </r>
  <r>
    <x v="6"/>
    <x v="5"/>
    <s v="Organic Choco Syrup"/>
    <n v="6986"/>
    <n v="21"/>
    <n v="6"/>
  </r>
  <r>
    <x v="7"/>
    <x v="4"/>
    <s v="Fruit &amp; Nut Bars"/>
    <n v="4417"/>
    <n v="153"/>
    <n v="6"/>
  </r>
  <r>
    <x v="4"/>
    <x v="5"/>
    <s v="Raspberry Choco"/>
    <n v="1442"/>
    <n v="15"/>
    <n v="6"/>
  </r>
  <r>
    <x v="8"/>
    <x v="1"/>
    <s v="50% Dark Bites"/>
    <n v="2415"/>
    <n v="255"/>
    <n v="6"/>
  </r>
  <r>
    <x v="7"/>
    <x v="0"/>
    <s v="99% Dark &amp; Pure"/>
    <n v="238"/>
    <n v="18"/>
    <n v="6"/>
  </r>
  <r>
    <x v="4"/>
    <x v="0"/>
    <s v="Fruit &amp; Nut Bars"/>
    <n v="4949"/>
    <n v="189"/>
    <n v="6"/>
  </r>
  <r>
    <x v="6"/>
    <x v="4"/>
    <s v="Choco Coated Almonds"/>
    <n v="5075"/>
    <n v="21"/>
    <n v="6"/>
  </r>
  <r>
    <x v="8"/>
    <x v="2"/>
    <s v="Mint Chip Choco"/>
    <n v="9198"/>
    <n v="36"/>
    <n v="6"/>
  </r>
  <r>
    <x v="4"/>
    <x v="5"/>
    <s v="Manuka Honey Choco"/>
    <n v="3339"/>
    <n v="75"/>
    <n v="6"/>
  </r>
  <r>
    <x v="0"/>
    <x v="5"/>
    <s v="Eclairs"/>
    <n v="5019"/>
    <n v="156"/>
    <n v="6"/>
  </r>
  <r>
    <x v="6"/>
    <x v="2"/>
    <s v="Mint Chip Choco"/>
    <n v="16184"/>
    <n v="39"/>
    <n v="6"/>
  </r>
  <r>
    <x v="4"/>
    <x v="2"/>
    <s v="Spicy Special Slims"/>
    <n v="497"/>
    <n v="63"/>
    <n v="6"/>
  </r>
  <r>
    <x v="7"/>
    <x v="2"/>
    <s v="Manuka Honey Choco"/>
    <n v="8211"/>
    <n v="75"/>
    <n v="6"/>
  </r>
  <r>
    <x v="7"/>
    <x v="4"/>
    <s v="Caramel Stuffed Bars"/>
    <n v="6580"/>
    <n v="183"/>
    <n v="6"/>
  </r>
  <r>
    <x v="3"/>
    <x v="1"/>
    <s v="Milk Bars"/>
    <n v="4760"/>
    <n v="69"/>
    <n v="6"/>
  </r>
  <r>
    <x v="0"/>
    <x v="2"/>
    <s v="White Choc"/>
    <n v="5439"/>
    <n v="30"/>
    <n v="6"/>
  </r>
  <r>
    <x v="3"/>
    <x v="5"/>
    <s v="Eclairs"/>
    <n v="1463"/>
    <n v="39"/>
    <n v="6"/>
  </r>
  <r>
    <x v="8"/>
    <x v="5"/>
    <s v="Choco Coated Almonds"/>
    <n v="7777"/>
    <n v="504"/>
    <n v="6"/>
  </r>
  <r>
    <x v="2"/>
    <x v="0"/>
    <s v="Manuka Honey Choco"/>
    <n v="1085"/>
    <n v="273"/>
    <n v="6"/>
  </r>
  <r>
    <x v="6"/>
    <x v="0"/>
    <s v="Smooth Sliky Salty"/>
    <n v="182"/>
    <n v="48"/>
    <n v="6"/>
  </r>
  <r>
    <x v="4"/>
    <x v="5"/>
    <s v="Organic Choco Syrup"/>
    <n v="4242"/>
    <n v="207"/>
    <n v="6"/>
  </r>
  <r>
    <x v="4"/>
    <x v="2"/>
    <s v="Choco Coated Almonds"/>
    <n v="6118"/>
    <n v="9"/>
    <n v="6"/>
  </r>
  <r>
    <x v="9"/>
    <x v="2"/>
    <s v="Fruit &amp; Nut Bars"/>
    <n v="2317"/>
    <n v="261"/>
    <n v="6"/>
  </r>
  <r>
    <x v="4"/>
    <x v="4"/>
    <s v="Mint Chip Choco"/>
    <n v="938"/>
    <n v="6"/>
    <n v="6"/>
  </r>
  <r>
    <x v="1"/>
    <x v="0"/>
    <s v="Raspberry Choco"/>
    <n v="9709"/>
    <n v="30"/>
    <n v="6"/>
  </r>
  <r>
    <x v="5"/>
    <x v="5"/>
    <s v="Orange Choco"/>
    <n v="2205"/>
    <n v="138"/>
    <n v="6"/>
  </r>
  <r>
    <x v="5"/>
    <x v="0"/>
    <s v="Eclairs"/>
    <n v="4487"/>
    <n v="111"/>
    <n v="6"/>
  </r>
  <r>
    <x v="6"/>
    <x v="1"/>
    <s v="Drinking Coco"/>
    <n v="2415"/>
    <n v="15"/>
    <n v="6"/>
  </r>
  <r>
    <x v="0"/>
    <x v="5"/>
    <s v="99% Dark &amp; Pure"/>
    <n v="4018"/>
    <n v="162"/>
    <n v="6"/>
  </r>
  <r>
    <x v="6"/>
    <x v="5"/>
    <s v="99% Dark &amp; Pure"/>
    <n v="861"/>
    <n v="195"/>
    <n v="6"/>
  </r>
  <r>
    <x v="9"/>
    <x v="4"/>
    <s v="50% Dark Bites"/>
    <n v="5586"/>
    <n v="525"/>
    <n v="6"/>
  </r>
  <r>
    <x v="5"/>
    <x v="5"/>
    <s v="Peanut Butter Cubes"/>
    <n v="2226"/>
    <n v="48"/>
    <n v="6"/>
  </r>
  <r>
    <x v="2"/>
    <x v="5"/>
    <s v="Caramel Stuffed Bars"/>
    <n v="14329"/>
    <n v="150"/>
    <n v="6"/>
  </r>
  <r>
    <x v="2"/>
    <x v="5"/>
    <s v="Orange Choco"/>
    <n v="8463"/>
    <n v="492"/>
    <n v="6"/>
  </r>
  <r>
    <x v="6"/>
    <x v="5"/>
    <s v="Manuka Honey Choco"/>
    <n v="2891"/>
    <n v="102"/>
    <n v="6"/>
  </r>
  <r>
    <x v="8"/>
    <x v="2"/>
    <s v="Fruit &amp; Nut Bars"/>
    <n v="3773"/>
    <n v="165"/>
    <n v="6"/>
  </r>
  <r>
    <x v="3"/>
    <x v="2"/>
    <s v="Caramel Stuffed Bars"/>
    <n v="854"/>
    <n v="309"/>
    <n v="6"/>
  </r>
  <r>
    <x v="4"/>
    <x v="2"/>
    <s v="Eclairs"/>
    <n v="4970"/>
    <n v="156"/>
    <n v="6"/>
  </r>
  <r>
    <x v="2"/>
    <x v="1"/>
    <s v="Baker's Choco Chips"/>
    <n v="98"/>
    <n v="159"/>
    <n v="6"/>
  </r>
  <r>
    <x v="6"/>
    <x v="1"/>
    <s v="Raspberry Choco"/>
    <n v="13391"/>
    <n v="201"/>
    <n v="6"/>
  </r>
  <r>
    <x v="1"/>
    <x v="3"/>
    <s v="Smooth Sliky Salty"/>
    <n v="8890"/>
    <n v="210"/>
    <n v="6"/>
  </r>
  <r>
    <x v="7"/>
    <x v="4"/>
    <s v="Milk Bars"/>
    <n v="56"/>
    <n v="51"/>
    <n v="6"/>
  </r>
  <r>
    <x v="8"/>
    <x v="2"/>
    <s v="White Choc"/>
    <n v="3339"/>
    <n v="39"/>
    <n v="6"/>
  </r>
  <r>
    <x v="9"/>
    <x v="1"/>
    <s v="Drinking Coco"/>
    <n v="3808"/>
    <n v="279"/>
    <n v="6"/>
  </r>
  <r>
    <x v="9"/>
    <x v="4"/>
    <s v="Milk Bars"/>
    <n v="63"/>
    <n v="123"/>
    <n v="6"/>
  </r>
  <r>
    <x v="7"/>
    <x v="3"/>
    <s v="Organic Choco Syrup"/>
    <n v="7812"/>
    <n v="81"/>
    <n v="6"/>
  </r>
  <r>
    <x v="0"/>
    <x v="0"/>
    <s v="99% Dark &amp; Pure"/>
    <n v="7693"/>
    <n v="21"/>
    <n v="6"/>
  </r>
  <r>
    <x v="8"/>
    <x v="2"/>
    <s v="Caramel Stuffed Bars"/>
    <n v="973"/>
    <n v="162"/>
    <n v="6"/>
  </r>
  <r>
    <x v="9"/>
    <x v="1"/>
    <s v="Spicy Special Slims"/>
    <n v="567"/>
    <n v="228"/>
    <n v="6"/>
  </r>
  <r>
    <x v="9"/>
    <x v="2"/>
    <s v="Manuka Honey Choco"/>
    <n v="2471"/>
    <n v="342"/>
    <n v="6"/>
  </r>
  <r>
    <x v="6"/>
    <x v="4"/>
    <s v="Milk Bars"/>
    <n v="7189"/>
    <n v="54"/>
    <n v="6"/>
  </r>
  <r>
    <x v="3"/>
    <x v="1"/>
    <s v="Caramel Stuffed Bars"/>
    <n v="7455"/>
    <n v="216"/>
    <n v="6"/>
  </r>
  <r>
    <x v="8"/>
    <x v="5"/>
    <s v="Baker's Choco Chips"/>
    <n v="3108"/>
    <n v="54"/>
    <n v="6"/>
  </r>
  <r>
    <x v="4"/>
    <x v="4"/>
    <s v="White Choc"/>
    <n v="469"/>
    <n v="75"/>
    <n v="6"/>
  </r>
  <r>
    <x v="2"/>
    <x v="0"/>
    <s v="Fruit &amp; Nut Bars"/>
    <n v="2737"/>
    <n v="93"/>
    <n v="6"/>
  </r>
  <r>
    <x v="2"/>
    <x v="0"/>
    <s v="White Choc"/>
    <n v="4305"/>
    <n v="156"/>
    <n v="6"/>
  </r>
  <r>
    <x v="2"/>
    <x v="4"/>
    <s v="Eclairs"/>
    <n v="2408"/>
    <n v="9"/>
    <n v="6"/>
  </r>
  <r>
    <x v="8"/>
    <x v="2"/>
    <s v="99% Dark &amp; Pure"/>
    <n v="1281"/>
    <n v="18"/>
    <n v="6"/>
  </r>
  <r>
    <x v="0"/>
    <x v="1"/>
    <s v="Choco Coated Almonds"/>
    <n v="12348"/>
    <n v="234"/>
    <n v="6"/>
  </r>
  <r>
    <x v="8"/>
    <x v="5"/>
    <s v="Caramel Stuffed Bars"/>
    <n v="3689"/>
    <n v="312"/>
    <n v="6"/>
  </r>
  <r>
    <x v="5"/>
    <x v="2"/>
    <s v="99% Dark &amp; Pure"/>
    <n v="2870"/>
    <n v="300"/>
    <n v="6"/>
  </r>
  <r>
    <x v="7"/>
    <x v="2"/>
    <s v="Organic Choco Syrup"/>
    <n v="798"/>
    <n v="519"/>
    <n v="6"/>
  </r>
  <r>
    <x v="3"/>
    <x v="0"/>
    <s v="Spicy Special Slims"/>
    <n v="2933"/>
    <n v="9"/>
    <n v="6"/>
  </r>
  <r>
    <x v="6"/>
    <x v="1"/>
    <s v="Almond Choco"/>
    <n v="2744"/>
    <n v="9"/>
    <n v="6"/>
  </r>
  <r>
    <x v="0"/>
    <x v="2"/>
    <s v="Peanut Butter Cubes"/>
    <n v="9772"/>
    <n v="90"/>
    <n v="6"/>
  </r>
  <r>
    <x v="5"/>
    <x v="5"/>
    <s v="White Choc"/>
    <n v="1568"/>
    <n v="96"/>
    <n v="6"/>
  </r>
  <r>
    <x v="7"/>
    <x v="2"/>
    <s v="Mint Chip Choco"/>
    <n v="11417"/>
    <n v="21"/>
    <n v="6"/>
  </r>
  <r>
    <x v="0"/>
    <x v="5"/>
    <s v="Baker's Choco Chips"/>
    <n v="6748"/>
    <n v="48"/>
    <n v="6"/>
  </r>
  <r>
    <x v="9"/>
    <x v="2"/>
    <s v="Organic Choco Syrup"/>
    <n v="1407"/>
    <n v="72"/>
    <n v="6"/>
  </r>
  <r>
    <x v="1"/>
    <x v="1"/>
    <s v="Manuka Honey Choco"/>
    <n v="2023"/>
    <n v="168"/>
    <n v="6"/>
  </r>
  <r>
    <x v="6"/>
    <x v="3"/>
    <s v="Baker's Choco Chips"/>
    <n v="5236"/>
    <n v="51"/>
    <n v="6"/>
  </r>
  <r>
    <x v="3"/>
    <x v="2"/>
    <s v="99% Dark &amp; Pure"/>
    <n v="1925"/>
    <n v="192"/>
    <n v="6"/>
  </r>
  <r>
    <x v="5"/>
    <x v="0"/>
    <s v="50% Dark Bites"/>
    <n v="6608"/>
    <n v="225"/>
    <n v="6"/>
  </r>
  <r>
    <x v="4"/>
    <x v="5"/>
    <s v="Baker's Choco Chips"/>
    <n v="8008"/>
    <n v="456"/>
    <n v="6"/>
  </r>
  <r>
    <x v="9"/>
    <x v="5"/>
    <s v="White Choc"/>
    <n v="1428"/>
    <n v="93"/>
    <n v="6"/>
  </r>
  <r>
    <x v="4"/>
    <x v="5"/>
    <s v="Almond Choco"/>
    <n v="525"/>
    <n v="48"/>
    <n v="6"/>
  </r>
  <r>
    <x v="4"/>
    <x v="0"/>
    <s v="Drinking Coco"/>
    <n v="1505"/>
    <n v="102"/>
    <n v="6"/>
  </r>
  <r>
    <x v="5"/>
    <x v="1"/>
    <s v="70% Dark Bites"/>
    <n v="6755"/>
    <n v="252"/>
    <n v="6"/>
  </r>
  <r>
    <x v="7"/>
    <x v="0"/>
    <s v="Drinking Coco"/>
    <n v="11571"/>
    <n v="138"/>
    <n v="6"/>
  </r>
  <r>
    <x v="0"/>
    <x v="4"/>
    <s v="White Choc"/>
    <n v="2541"/>
    <n v="90"/>
    <n v="6"/>
  </r>
  <r>
    <x v="3"/>
    <x v="0"/>
    <s v="70% Dark Bites"/>
    <n v="1526"/>
    <n v="240"/>
    <n v="6"/>
  </r>
  <r>
    <x v="0"/>
    <x v="4"/>
    <s v="Almond Choco"/>
    <n v="6125"/>
    <n v="102"/>
    <n v="6"/>
  </r>
  <r>
    <x v="3"/>
    <x v="1"/>
    <s v="Organic Choco Syrup"/>
    <n v="847"/>
    <n v="129"/>
    <n v="6"/>
  </r>
  <r>
    <x v="1"/>
    <x v="1"/>
    <s v="Organic Choco Syrup"/>
    <n v="4753"/>
    <n v="300"/>
    <n v="6"/>
  </r>
  <r>
    <x v="4"/>
    <x v="4"/>
    <s v="Peanut Butter Cubes"/>
    <n v="959"/>
    <n v="135"/>
    <n v="6"/>
  </r>
  <r>
    <x v="5"/>
    <x v="1"/>
    <s v="85% Dark Bars"/>
    <n v="2793"/>
    <n v="114"/>
    <n v="6"/>
  </r>
  <r>
    <x v="5"/>
    <x v="1"/>
    <s v="50% Dark Bites"/>
    <n v="4606"/>
    <n v="63"/>
    <n v="6"/>
  </r>
  <r>
    <x v="5"/>
    <x v="2"/>
    <s v="Manuka Honey Choco"/>
    <n v="5551"/>
    <n v="252"/>
    <n v="6"/>
  </r>
  <r>
    <x v="9"/>
    <x v="2"/>
    <s v="Choco Coated Almonds"/>
    <n v="6657"/>
    <n v="303"/>
    <n v="6"/>
  </r>
  <r>
    <x v="5"/>
    <x v="3"/>
    <s v="Eclairs"/>
    <n v="4438"/>
    <n v="246"/>
    <n v="6"/>
  </r>
  <r>
    <x v="1"/>
    <x v="4"/>
    <s v="After Nines"/>
    <n v="168"/>
    <n v="84"/>
    <n v="6"/>
  </r>
  <r>
    <x v="5"/>
    <x v="5"/>
    <s v="Eclairs"/>
    <n v="7777"/>
    <n v="39"/>
    <n v="6"/>
  </r>
  <r>
    <x v="6"/>
    <x v="2"/>
    <s v="Eclairs"/>
    <n v="3339"/>
    <n v="348"/>
    <n v="6"/>
  </r>
  <r>
    <x v="5"/>
    <x v="0"/>
    <s v="Peanut Butter Cubes"/>
    <n v="6391"/>
    <n v="48"/>
    <n v="6"/>
  </r>
  <r>
    <x v="6"/>
    <x v="0"/>
    <s v="After Nines"/>
    <n v="518"/>
    <n v="75"/>
    <n v="6"/>
  </r>
  <r>
    <x v="5"/>
    <x v="4"/>
    <s v="Caramel Stuffed Bars"/>
    <n v="5677"/>
    <n v="258"/>
    <n v="6"/>
  </r>
  <r>
    <x v="4"/>
    <x v="3"/>
    <s v="Eclairs"/>
    <n v="6048"/>
    <n v="27"/>
    <n v="6"/>
  </r>
  <r>
    <x v="1"/>
    <x v="4"/>
    <s v="Choco Coated Almonds"/>
    <n v="3752"/>
    <n v="213"/>
    <n v="6"/>
  </r>
  <r>
    <x v="6"/>
    <x v="1"/>
    <s v="Manuka Honey Choco"/>
    <n v="4480"/>
    <n v="357"/>
    <n v="6"/>
  </r>
  <r>
    <x v="2"/>
    <x v="0"/>
    <s v="Almond Choco"/>
    <n v="259"/>
    <n v="207"/>
    <n v="6"/>
  </r>
  <r>
    <x v="1"/>
    <x v="0"/>
    <s v="70% Dark Bites"/>
    <n v="42"/>
    <n v="150"/>
    <n v="6"/>
  </r>
  <r>
    <x v="3"/>
    <x v="2"/>
    <s v="Baker's Choco Chips"/>
    <n v="98"/>
    <n v="204"/>
    <n v="6"/>
  </r>
  <r>
    <x v="5"/>
    <x v="1"/>
    <s v="Organic Choco Syrup"/>
    <n v="2478"/>
    <n v="21"/>
    <n v="6"/>
  </r>
  <r>
    <x v="3"/>
    <x v="5"/>
    <s v="Peanut Butter Cubes"/>
    <n v="7847"/>
    <n v="174"/>
    <n v="6"/>
  </r>
  <r>
    <x v="7"/>
    <x v="0"/>
    <s v="Eclairs"/>
    <n v="9926"/>
    <n v="201"/>
    <n v="6"/>
  </r>
  <r>
    <x v="1"/>
    <x v="4"/>
    <s v="Milk Bars"/>
    <n v="819"/>
    <n v="510"/>
    <n v="6"/>
  </r>
  <r>
    <x v="4"/>
    <x v="3"/>
    <s v="Manuka Honey Choco"/>
    <n v="3052"/>
    <n v="378"/>
    <n v="6"/>
  </r>
  <r>
    <x v="2"/>
    <x v="5"/>
    <s v="Spicy Special Slims"/>
    <n v="6832"/>
    <n v="27"/>
    <n v="6"/>
  </r>
  <r>
    <x v="7"/>
    <x v="3"/>
    <s v="Mint Chip Choco"/>
    <n v="2016"/>
    <n v="117"/>
    <n v="6"/>
  </r>
  <r>
    <x v="4"/>
    <x v="4"/>
    <s v="Spicy Special Slims"/>
    <n v="7322"/>
    <n v="36"/>
    <n v="6"/>
  </r>
  <r>
    <x v="1"/>
    <x v="1"/>
    <s v="Peanut Butter Cubes"/>
    <n v="357"/>
    <n v="126"/>
    <n v="6"/>
  </r>
  <r>
    <x v="2"/>
    <x v="3"/>
    <s v="White Choc"/>
    <n v="3192"/>
    <n v="72"/>
    <n v="6"/>
  </r>
  <r>
    <x v="5"/>
    <x v="2"/>
    <s v="After Nines"/>
    <n v="8435"/>
    <n v="42"/>
    <n v="6"/>
  </r>
  <r>
    <x v="0"/>
    <x v="3"/>
    <s v="Manuka Honey Choco"/>
    <n v="0"/>
    <n v="135"/>
    <n v="6"/>
  </r>
  <r>
    <x v="5"/>
    <x v="5"/>
    <s v="85% Dark Bars"/>
    <n v="8862"/>
    <n v="189"/>
    <n v="6"/>
  </r>
  <r>
    <x v="4"/>
    <x v="0"/>
    <s v="Caramel Stuffed Bars"/>
    <n v="3556"/>
    <n v="459"/>
    <n v="6"/>
  </r>
  <r>
    <x v="6"/>
    <x v="5"/>
    <s v="Raspberry Choco"/>
    <n v="7280"/>
    <n v="201"/>
    <n v="6"/>
  </r>
  <r>
    <x v="4"/>
    <x v="5"/>
    <s v="70% Dark Bites"/>
    <n v="3402"/>
    <n v="366"/>
    <n v="6"/>
  </r>
  <r>
    <x v="8"/>
    <x v="0"/>
    <s v="Manuka Honey Choco"/>
    <n v="4592"/>
    <n v="324"/>
    <n v="6"/>
  </r>
  <r>
    <x v="2"/>
    <x v="1"/>
    <s v="Raspberry Choco"/>
    <n v="7833"/>
    <n v="243"/>
    <n v="6"/>
  </r>
  <r>
    <x v="7"/>
    <x v="3"/>
    <s v="Spicy Special Slims"/>
    <n v="7651"/>
    <n v="213"/>
    <n v="6"/>
  </r>
  <r>
    <x v="0"/>
    <x v="1"/>
    <s v="70% Dark Bites"/>
    <n v="2275"/>
    <n v="447"/>
    <n v="6"/>
  </r>
  <r>
    <x v="0"/>
    <x v="4"/>
    <s v="Milk Bars"/>
    <n v="5670"/>
    <n v="297"/>
    <n v="6"/>
  </r>
  <r>
    <x v="5"/>
    <x v="1"/>
    <s v="Mint Chip Choco"/>
    <n v="2135"/>
    <n v="27"/>
    <n v="6"/>
  </r>
  <r>
    <x v="0"/>
    <x v="5"/>
    <s v="Fruit &amp; Nut Bars"/>
    <n v="2779"/>
    <n v="75"/>
    <n v="6"/>
  </r>
  <r>
    <x v="9"/>
    <x v="3"/>
    <s v="Peanut Butter Cubes"/>
    <n v="12950"/>
    <n v="30"/>
    <n v="6"/>
  </r>
  <r>
    <x v="5"/>
    <x v="2"/>
    <s v="Drinking Coco"/>
    <n v="2646"/>
    <n v="177"/>
    <n v="6"/>
  </r>
  <r>
    <x v="0"/>
    <x v="5"/>
    <s v="Peanut Butter Cubes"/>
    <n v="3794"/>
    <n v="159"/>
    <n v="6"/>
  </r>
  <r>
    <x v="8"/>
    <x v="1"/>
    <s v="Peanut Butter Cubes"/>
    <n v="819"/>
    <n v="306"/>
    <n v="6"/>
  </r>
  <r>
    <x v="8"/>
    <x v="5"/>
    <s v="Orange Choco"/>
    <n v="2583"/>
    <n v="18"/>
    <n v="6"/>
  </r>
  <r>
    <x v="5"/>
    <x v="1"/>
    <s v="99% Dark &amp; Pure"/>
    <n v="4585"/>
    <n v="240"/>
    <n v="6"/>
  </r>
  <r>
    <x v="6"/>
    <x v="5"/>
    <s v="Peanut Butter Cubes"/>
    <n v="1652"/>
    <n v="93"/>
    <n v="6"/>
  </r>
  <r>
    <x v="9"/>
    <x v="5"/>
    <s v="Baker's Choco Chips"/>
    <n v="4991"/>
    <n v="9"/>
    <n v="6"/>
  </r>
  <r>
    <x v="1"/>
    <x v="5"/>
    <s v="Mint Chip Choco"/>
    <n v="2009"/>
    <n v="219"/>
    <n v="6"/>
  </r>
  <r>
    <x v="7"/>
    <x v="3"/>
    <s v="After Nines"/>
    <n v="1568"/>
    <n v="141"/>
    <n v="6"/>
  </r>
  <r>
    <x v="3"/>
    <x v="0"/>
    <s v="Orange Choco"/>
    <n v="3388"/>
    <n v="123"/>
    <n v="6"/>
  </r>
  <r>
    <x v="0"/>
    <x v="4"/>
    <s v="85% Dark Bars"/>
    <n v="623"/>
    <n v="51"/>
    <n v="6"/>
  </r>
  <r>
    <x v="4"/>
    <x v="2"/>
    <s v="Almond Choco"/>
    <n v="10073"/>
    <n v="120"/>
    <n v="6"/>
  </r>
  <r>
    <x v="1"/>
    <x v="3"/>
    <s v="Baker's Choco Chips"/>
    <n v="1561"/>
    <n v="27"/>
    <n v="6"/>
  </r>
  <r>
    <x v="2"/>
    <x v="2"/>
    <s v="Organic Choco Syrup"/>
    <n v="11522"/>
    <n v="204"/>
    <n v="6"/>
  </r>
  <r>
    <x v="4"/>
    <x v="4"/>
    <s v="Milk Bars"/>
    <n v="2317"/>
    <n v="123"/>
    <n v="6"/>
  </r>
  <r>
    <x v="9"/>
    <x v="0"/>
    <s v="Caramel Stuffed Bars"/>
    <n v="3059"/>
    <n v="27"/>
    <n v="6"/>
  </r>
  <r>
    <x v="3"/>
    <x v="0"/>
    <s v="Baker's Choco Chips"/>
    <n v="2324"/>
    <n v="177"/>
    <n v="6"/>
  </r>
  <r>
    <x v="8"/>
    <x v="3"/>
    <s v="Baker's Choco Chips"/>
    <n v="4956"/>
    <n v="171"/>
    <n v="6"/>
  </r>
  <r>
    <x v="9"/>
    <x v="5"/>
    <s v="99% Dark &amp; Pure"/>
    <n v="5355"/>
    <n v="204"/>
    <n v="6"/>
  </r>
  <r>
    <x v="8"/>
    <x v="5"/>
    <s v="50% Dark Bites"/>
    <n v="7259"/>
    <n v="276"/>
    <n v="6"/>
  </r>
  <r>
    <x v="1"/>
    <x v="0"/>
    <s v="Baker's Choco Chips"/>
    <n v="6279"/>
    <n v="45"/>
    <n v="6"/>
  </r>
  <r>
    <x v="0"/>
    <x v="4"/>
    <s v="Manuka Honey Choco"/>
    <n v="2541"/>
    <n v="45"/>
    <n v="6"/>
  </r>
  <r>
    <x v="4"/>
    <x v="1"/>
    <s v="Organic Choco Syrup"/>
    <n v="3864"/>
    <n v="177"/>
    <n v="6"/>
  </r>
  <r>
    <x v="6"/>
    <x v="2"/>
    <s v="Milk Bars"/>
    <n v="6146"/>
    <n v="63"/>
    <n v="6"/>
  </r>
  <r>
    <x v="2"/>
    <x v="3"/>
    <s v="Drinking Coco"/>
    <n v="2639"/>
    <n v="204"/>
    <n v="6"/>
  </r>
  <r>
    <x v="1"/>
    <x v="0"/>
    <s v="After Nines"/>
    <n v="1890"/>
    <n v="195"/>
    <n v="6"/>
  </r>
  <r>
    <x v="5"/>
    <x v="5"/>
    <s v="50% Dark Bites"/>
    <n v="1932"/>
    <n v="369"/>
    <n v="6"/>
  </r>
  <r>
    <x v="8"/>
    <x v="5"/>
    <s v="White Choc"/>
    <n v="6300"/>
    <n v="42"/>
    <n v="6"/>
  </r>
  <r>
    <x v="4"/>
    <x v="0"/>
    <s v="70% Dark Bites"/>
    <n v="560"/>
    <n v="81"/>
    <n v="6"/>
  </r>
  <r>
    <x v="2"/>
    <x v="0"/>
    <s v="Baker's Choco Chips"/>
    <n v="2856"/>
    <n v="246"/>
    <n v="6"/>
  </r>
  <r>
    <x v="2"/>
    <x v="5"/>
    <s v="Eclairs"/>
    <n v="707"/>
    <n v="174"/>
    <n v="6"/>
  </r>
  <r>
    <x v="1"/>
    <x v="1"/>
    <s v="70% Dark Bites"/>
    <n v="3598"/>
    <n v="81"/>
    <n v="6"/>
  </r>
  <r>
    <x v="0"/>
    <x v="1"/>
    <s v="After Nines"/>
    <n v="6853"/>
    <n v="372"/>
    <n v="6"/>
  </r>
  <r>
    <x v="0"/>
    <x v="1"/>
    <s v="Mint Chip Choco"/>
    <n v="4725"/>
    <n v="174"/>
    <n v="6"/>
  </r>
  <r>
    <x v="3"/>
    <x v="2"/>
    <s v="Choco Coated Almonds"/>
    <n v="10304"/>
    <n v="84"/>
    <n v="6"/>
  </r>
  <r>
    <x v="3"/>
    <x v="5"/>
    <s v="Mint Chip Choco"/>
    <n v="1274"/>
    <n v="225"/>
    <n v="6"/>
  </r>
  <r>
    <x v="6"/>
    <x v="2"/>
    <s v="70% Dark Bites"/>
    <n v="1526"/>
    <n v="105"/>
    <n v="6"/>
  </r>
  <r>
    <x v="0"/>
    <x v="3"/>
    <s v="Caramel Stuffed Bars"/>
    <n v="3101"/>
    <n v="225"/>
    <n v="6"/>
  </r>
  <r>
    <x v="7"/>
    <x v="0"/>
    <s v="50% Dark Bites"/>
    <n v="1057"/>
    <n v="54"/>
    <n v="6"/>
  </r>
  <r>
    <x v="5"/>
    <x v="0"/>
    <s v="Baker's Choco Chips"/>
    <n v="5306"/>
    <n v="0"/>
    <n v="6"/>
  </r>
  <r>
    <x v="6"/>
    <x v="3"/>
    <s v="85% Dark Bars"/>
    <n v="4018"/>
    <n v="171"/>
    <n v="6"/>
  </r>
  <r>
    <x v="2"/>
    <x v="5"/>
    <s v="Mint Chip Choco"/>
    <n v="938"/>
    <n v="189"/>
    <n v="6"/>
  </r>
  <r>
    <x v="5"/>
    <x v="4"/>
    <s v="Drinking Coco"/>
    <n v="1778"/>
    <n v="270"/>
    <n v="6"/>
  </r>
  <r>
    <x v="4"/>
    <x v="3"/>
    <s v="70% Dark Bites"/>
    <n v="1638"/>
    <n v="63"/>
    <n v="6"/>
  </r>
  <r>
    <x v="3"/>
    <x v="4"/>
    <s v="White Choc"/>
    <n v="154"/>
    <n v="21"/>
    <n v="6"/>
  </r>
  <r>
    <x v="5"/>
    <x v="0"/>
    <s v="After Nines"/>
    <n v="9835"/>
    <n v="207"/>
    <n v="6"/>
  </r>
  <r>
    <x v="2"/>
    <x v="0"/>
    <s v="Orange Choco"/>
    <n v="7273"/>
    <n v="96"/>
    <n v="6"/>
  </r>
  <r>
    <x v="6"/>
    <x v="3"/>
    <s v="After Nines"/>
    <n v="6909"/>
    <n v="81"/>
    <n v="6"/>
  </r>
  <r>
    <x v="2"/>
    <x v="3"/>
    <s v="85% Dark Bars"/>
    <n v="3920"/>
    <n v="306"/>
    <n v="6"/>
  </r>
  <r>
    <x v="9"/>
    <x v="3"/>
    <s v="Spicy Special Slims"/>
    <n v="4858"/>
    <n v="279"/>
    <n v="6"/>
  </r>
  <r>
    <x v="7"/>
    <x v="4"/>
    <s v="Almond Choco"/>
    <n v="3549"/>
    <n v="3"/>
    <n v="6"/>
  </r>
  <r>
    <x v="5"/>
    <x v="3"/>
    <s v="Organic Choco Syrup"/>
    <n v="966"/>
    <n v="198"/>
    <n v="6"/>
  </r>
  <r>
    <x v="6"/>
    <x v="3"/>
    <s v="Drinking Coco"/>
    <n v="385"/>
    <n v="249"/>
    <n v="6"/>
  </r>
  <r>
    <x v="4"/>
    <x v="5"/>
    <s v="Mint Chip Choco"/>
    <n v="2219"/>
    <n v="75"/>
    <n v="6"/>
  </r>
  <r>
    <x v="2"/>
    <x v="2"/>
    <s v="Choco Coated Almonds"/>
    <n v="2954"/>
    <n v="189"/>
    <n v="6"/>
  </r>
  <r>
    <x v="5"/>
    <x v="2"/>
    <s v="Choco Coated Almonds"/>
    <n v="280"/>
    <n v="87"/>
    <n v="6"/>
  </r>
  <r>
    <x v="3"/>
    <x v="2"/>
    <s v="70% Dark Bites"/>
    <n v="6118"/>
    <n v="174"/>
    <n v="6"/>
  </r>
  <r>
    <x v="7"/>
    <x v="3"/>
    <s v="Raspberry Choco"/>
    <n v="4802"/>
    <n v="36"/>
    <n v="6"/>
  </r>
  <r>
    <x v="2"/>
    <x v="4"/>
    <s v="85% Dark Bars"/>
    <n v="4137"/>
    <n v="60"/>
    <n v="6"/>
  </r>
  <r>
    <x v="8"/>
    <x v="1"/>
    <s v="Fruit &amp; Nut Bars"/>
    <n v="2023"/>
    <n v="78"/>
    <n v="6"/>
  </r>
  <r>
    <x v="2"/>
    <x v="2"/>
    <s v="70% Dark Bites"/>
    <n v="9051"/>
    <n v="57"/>
    <n v="6"/>
  </r>
  <r>
    <x v="2"/>
    <x v="0"/>
    <s v="Caramel Stuffed Bars"/>
    <n v="2919"/>
    <n v="45"/>
    <n v="6"/>
  </r>
  <r>
    <x v="3"/>
    <x v="4"/>
    <s v="After Nines"/>
    <n v="5915"/>
    <n v="3"/>
    <n v="6"/>
  </r>
  <r>
    <x v="9"/>
    <x v="1"/>
    <s v="Raspberry Choco"/>
    <n v="2562"/>
    <n v="6"/>
    <n v="6"/>
  </r>
  <r>
    <x v="6"/>
    <x v="0"/>
    <s v="White Choc"/>
    <n v="8813"/>
    <n v="21"/>
    <n v="6"/>
  </r>
  <r>
    <x v="6"/>
    <x v="2"/>
    <s v="Drinking Coco"/>
    <n v="6111"/>
    <n v="3"/>
    <n v="6"/>
  </r>
  <r>
    <x v="1"/>
    <x v="5"/>
    <s v="Smooth Sliky Salty"/>
    <n v="3507"/>
    <n v="288"/>
    <n v="6"/>
  </r>
  <r>
    <x v="4"/>
    <x v="2"/>
    <s v="Milk Bars"/>
    <n v="4319"/>
    <n v="30"/>
    <n v="6"/>
  </r>
  <r>
    <x v="0"/>
    <x v="4"/>
    <s v="Baker's Choco Chips"/>
    <n v="609"/>
    <n v="87"/>
    <n v="6"/>
  </r>
  <r>
    <x v="0"/>
    <x v="3"/>
    <s v="Organic Choco Syrup"/>
    <n v="6370"/>
    <n v="30"/>
    <n v="6"/>
  </r>
  <r>
    <x v="6"/>
    <x v="4"/>
    <s v="99% Dark &amp; Pure"/>
    <n v="5474"/>
    <n v="168"/>
    <n v="6"/>
  </r>
  <r>
    <x v="0"/>
    <x v="2"/>
    <s v="Organic Choco Syrup"/>
    <n v="3164"/>
    <n v="306"/>
    <n v="6"/>
  </r>
  <r>
    <x v="4"/>
    <x v="1"/>
    <s v="Almond Choco"/>
    <n v="1302"/>
    <n v="402"/>
    <n v="6"/>
  </r>
  <r>
    <x v="8"/>
    <x v="0"/>
    <s v="Caramel Stuffed Bars"/>
    <n v="7308"/>
    <n v="327"/>
    <n v="6"/>
  </r>
  <r>
    <x v="0"/>
    <x v="0"/>
    <s v="Organic Choco Syrup"/>
    <n v="6132"/>
    <n v="93"/>
    <n v="6"/>
  </r>
  <r>
    <x v="9"/>
    <x v="1"/>
    <s v="50% Dark Bites"/>
    <n v="3472"/>
    <n v="96"/>
    <n v="6"/>
  </r>
  <r>
    <x v="1"/>
    <x v="3"/>
    <s v="Drinking Coco"/>
    <n v="9660"/>
    <n v="27"/>
    <n v="6"/>
  </r>
  <r>
    <x v="2"/>
    <x v="4"/>
    <s v="Baker's Choco Chips"/>
    <n v="2436"/>
    <n v="99"/>
    <n v="6"/>
  </r>
  <r>
    <x v="2"/>
    <x v="4"/>
    <s v="Peanut Butter Cubes"/>
    <n v="9506"/>
    <n v="87"/>
    <n v="6"/>
  </r>
  <r>
    <x v="9"/>
    <x v="0"/>
    <s v="Spicy Special Slims"/>
    <n v="245"/>
    <n v="288"/>
    <n v="6"/>
  </r>
  <r>
    <x v="1"/>
    <x v="1"/>
    <s v="Orange Choco"/>
    <n v="2702"/>
    <n v="363"/>
    <n v="6"/>
  </r>
  <r>
    <x v="9"/>
    <x v="5"/>
    <s v="Eclairs"/>
    <n v="700"/>
    <n v="87"/>
    <n v="6"/>
  </r>
  <r>
    <x v="4"/>
    <x v="5"/>
    <s v="Eclairs"/>
    <n v="3759"/>
    <n v="150"/>
    <n v="6"/>
  </r>
  <r>
    <x v="7"/>
    <x v="1"/>
    <s v="Eclairs"/>
    <n v="1589"/>
    <n v="303"/>
    <n v="6"/>
  </r>
  <r>
    <x v="5"/>
    <x v="1"/>
    <s v="Caramel Stuffed Bars"/>
    <n v="5194"/>
    <n v="288"/>
    <n v="6"/>
  </r>
  <r>
    <x v="9"/>
    <x v="2"/>
    <s v="Milk Bars"/>
    <n v="945"/>
    <n v="75"/>
    <n v="6"/>
  </r>
  <r>
    <x v="0"/>
    <x v="4"/>
    <s v="Smooth Sliky Salty"/>
    <n v="1988"/>
    <n v="39"/>
    <n v="6"/>
  </r>
  <r>
    <x v="4"/>
    <x v="5"/>
    <s v="Choco Coated Almonds"/>
    <n v="6734"/>
    <n v="123"/>
    <n v="6"/>
  </r>
  <r>
    <x v="0"/>
    <x v="2"/>
    <s v="Almond Choco"/>
    <n v="217"/>
    <n v="36"/>
    <n v="6"/>
  </r>
  <r>
    <x v="6"/>
    <x v="5"/>
    <s v="After Nines"/>
    <n v="6279"/>
    <n v="237"/>
    <n v="6"/>
  </r>
  <r>
    <x v="0"/>
    <x v="2"/>
    <s v="Milk Bars"/>
    <n v="4424"/>
    <n v="201"/>
    <n v="6"/>
  </r>
  <r>
    <x v="7"/>
    <x v="2"/>
    <s v="Eclairs"/>
    <n v="189"/>
    <n v="48"/>
    <n v="6"/>
  </r>
  <r>
    <x v="6"/>
    <x v="1"/>
    <s v="After Nines"/>
    <n v="490"/>
    <n v="84"/>
    <n v="6"/>
  </r>
  <r>
    <x v="1"/>
    <x v="0"/>
    <s v="Spicy Special Slims"/>
    <n v="434"/>
    <n v="87"/>
    <n v="6"/>
  </r>
  <r>
    <x v="5"/>
    <x v="4"/>
    <s v="70% Dark Bites"/>
    <n v="10129"/>
    <n v="312"/>
    <n v="6"/>
  </r>
  <r>
    <x v="8"/>
    <x v="3"/>
    <s v="Caramel Stuffed Bars"/>
    <n v="1652"/>
    <n v="102"/>
    <n v="6"/>
  </r>
  <r>
    <x v="1"/>
    <x v="4"/>
    <s v="Spicy Special Slims"/>
    <n v="6433"/>
    <n v="78"/>
    <n v="6"/>
  </r>
  <r>
    <x v="8"/>
    <x v="5"/>
    <s v="Fruit &amp; Nut Bars"/>
    <n v="2212"/>
    <n v="117"/>
    <n v="6"/>
  </r>
  <r>
    <x v="3"/>
    <x v="1"/>
    <s v="99% Dark &amp; Pure"/>
    <n v="609"/>
    <n v="99"/>
    <n v="6"/>
  </r>
  <r>
    <x v="0"/>
    <x v="1"/>
    <s v="85% Dark Bars"/>
    <n v="1638"/>
    <n v="48"/>
    <n v="6"/>
  </r>
  <r>
    <x v="5"/>
    <x v="5"/>
    <s v="Raspberry Choco"/>
    <n v="3829"/>
    <n v="24"/>
    <n v="6"/>
  </r>
  <r>
    <x v="0"/>
    <x v="3"/>
    <s v="Raspberry Choco"/>
    <n v="5775"/>
    <n v="42"/>
    <n v="6"/>
  </r>
  <r>
    <x v="4"/>
    <x v="1"/>
    <s v="Orange Choco"/>
    <n v="1071"/>
    <n v="270"/>
    <n v="6"/>
  </r>
  <r>
    <x v="1"/>
    <x v="2"/>
    <s v="Fruit &amp; Nut Bars"/>
    <n v="5019"/>
    <n v="150"/>
    <n v="6"/>
  </r>
  <r>
    <x v="7"/>
    <x v="0"/>
    <s v="Raspberry Choco"/>
    <n v="2863"/>
    <n v="42"/>
    <n v="6"/>
  </r>
  <r>
    <x v="0"/>
    <x v="1"/>
    <s v="Manuka Honey Choco"/>
    <n v="1617"/>
    <n v="126"/>
    <n v="6"/>
  </r>
  <r>
    <x v="4"/>
    <x v="0"/>
    <s v="Baker's Choco Chips"/>
    <n v="6818"/>
    <n v="6"/>
    <n v="6"/>
  </r>
  <r>
    <x v="8"/>
    <x v="1"/>
    <s v="Raspberry Choco"/>
    <n v="6657"/>
    <n v="276"/>
    <n v="6"/>
  </r>
  <r>
    <x v="8"/>
    <x v="5"/>
    <s v="Eclairs"/>
    <n v="2919"/>
    <n v="93"/>
    <n v="6"/>
  </r>
  <r>
    <x v="7"/>
    <x v="2"/>
    <s v="Smooth Sliky Salty"/>
    <n v="3094"/>
    <n v="246"/>
    <n v="6"/>
  </r>
  <r>
    <x v="4"/>
    <x v="3"/>
    <s v="85% Dark Bars"/>
    <n v="2989"/>
    <n v="3"/>
    <n v="6"/>
  </r>
  <r>
    <x v="1"/>
    <x v="4"/>
    <s v="Organic Choco Syrup"/>
    <n v="2268"/>
    <n v="63"/>
    <n v="6"/>
  </r>
  <r>
    <x v="6"/>
    <x v="1"/>
    <s v="Smooth Sliky Salty"/>
    <n v="4753"/>
    <n v="246"/>
    <n v="6"/>
  </r>
  <r>
    <x v="7"/>
    <x v="5"/>
    <s v="99% Dark &amp; Pure"/>
    <n v="7511"/>
    <n v="120"/>
    <n v="6"/>
  </r>
  <r>
    <x v="7"/>
    <x v="4"/>
    <s v="Smooth Sliky Salty"/>
    <n v="4326"/>
    <n v="348"/>
    <n v="6"/>
  </r>
  <r>
    <x v="3"/>
    <x v="5"/>
    <s v="Fruit &amp; Nut Bars"/>
    <n v="4935"/>
    <n v="126"/>
    <n v="6"/>
  </r>
  <r>
    <x v="4"/>
    <x v="1"/>
    <s v="70% Dark Bites"/>
    <n v="4781"/>
    <n v="123"/>
    <n v="6"/>
  </r>
  <r>
    <x v="6"/>
    <x v="4"/>
    <s v="White Choc"/>
    <n v="7483"/>
    <n v="45"/>
    <n v="6"/>
  </r>
  <r>
    <x v="9"/>
    <x v="4"/>
    <s v="Almond Choco"/>
    <n v="6860"/>
    <n v="126"/>
    <n v="6"/>
  </r>
  <r>
    <x v="0"/>
    <x v="0"/>
    <s v="Manuka Honey Choco"/>
    <n v="9002"/>
    <n v="72"/>
    <n v="6"/>
  </r>
  <r>
    <x v="4"/>
    <x v="2"/>
    <s v="Manuka Honey Choco"/>
    <n v="1400"/>
    <n v="135"/>
    <n v="6"/>
  </r>
  <r>
    <x v="9"/>
    <x v="5"/>
    <s v="After Nines"/>
    <n v="4053"/>
    <n v="24"/>
    <n v="6"/>
  </r>
  <r>
    <x v="5"/>
    <x v="2"/>
    <s v="Smooth Sliky Salty"/>
    <n v="2149"/>
    <n v="117"/>
    <n v="6"/>
  </r>
  <r>
    <x v="8"/>
    <x v="3"/>
    <s v="Manuka Honey Choco"/>
    <n v="3640"/>
    <n v="51"/>
    <n v="6"/>
  </r>
  <r>
    <x v="7"/>
    <x v="3"/>
    <s v="Fruit &amp; Nut Bars"/>
    <n v="630"/>
    <n v="36"/>
    <n v="6"/>
  </r>
  <r>
    <x v="2"/>
    <x v="1"/>
    <s v="Organic Choco Syrup"/>
    <n v="2429"/>
    <n v="144"/>
    <n v="6"/>
  </r>
  <r>
    <x v="2"/>
    <x v="2"/>
    <s v="White Choc"/>
    <n v="2142"/>
    <n v="114"/>
    <n v="6"/>
  </r>
  <r>
    <x v="5"/>
    <x v="0"/>
    <s v="70% Dark Bites"/>
    <n v="6454"/>
    <n v="54"/>
    <n v="6"/>
  </r>
  <r>
    <x v="5"/>
    <x v="0"/>
    <s v="Mint Chip Choco"/>
    <n v="4487"/>
    <n v="333"/>
    <n v="6"/>
  </r>
  <r>
    <x v="8"/>
    <x v="0"/>
    <s v="Almond Choco"/>
    <n v="938"/>
    <n v="366"/>
    <n v="6"/>
  </r>
  <r>
    <x v="8"/>
    <x v="4"/>
    <s v="Baker's Choco Chips"/>
    <n v="8841"/>
    <n v="303"/>
    <n v="6"/>
  </r>
  <r>
    <x v="7"/>
    <x v="3"/>
    <s v="Peanut Butter Cubes"/>
    <n v="4018"/>
    <n v="126"/>
    <n v="6"/>
  </r>
  <r>
    <x v="3"/>
    <x v="0"/>
    <s v="Raspberry Choco"/>
    <n v="714"/>
    <n v="231"/>
    <n v="6"/>
  </r>
  <r>
    <x v="2"/>
    <x v="4"/>
    <s v="White Choc"/>
    <n v="3850"/>
    <n v="102"/>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4:G11" firstHeaderRow="0" firstDataRow="1" firstDataCol="1"/>
  <pivotFields count="6">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s>
  <rowFields count="1">
    <field x="1"/>
  </rowFields>
  <rowItems count="7">
    <i>
      <x v="2"/>
    </i>
    <i>
      <x v="1"/>
    </i>
    <i>
      <x v="3"/>
    </i>
    <i>
      <x v="5"/>
    </i>
    <i>
      <x v="4"/>
    </i>
    <i>
      <x/>
    </i>
    <i t="grand">
      <x/>
    </i>
  </rowItems>
  <colFields count="1">
    <field x="-2"/>
  </colFields>
  <colItems count="3">
    <i>
      <x/>
    </i>
    <i i="1">
      <x v="1"/>
    </i>
    <i i="2">
      <x v="2"/>
    </i>
  </colItems>
  <dataFields count="3">
    <dataField name="Sum of Amount" fld="3" baseField="0" baseItem="0"/>
    <dataField name="Sum of Amount2" fld="3" baseField="0" baseItem="0"/>
    <dataField name="Sum of Units" fld="4" baseField="0" baseItem="0"/>
  </dataFields>
  <formats count="4">
    <format dxfId="35">
      <pivotArea collapsedLevelsAreSubtotals="1" fieldPosition="0">
        <references count="2">
          <reference field="4294967294" count="1" selected="0">
            <x v="2"/>
          </reference>
          <reference field="1" count="0"/>
        </references>
      </pivotArea>
    </format>
    <format dxfId="34">
      <pivotArea dataOnly="0" labelOnly="1" outline="0" fieldPosition="0">
        <references count="1">
          <reference field="4294967294" count="1">
            <x v="1"/>
          </reference>
        </references>
      </pivotArea>
    </format>
    <format dxfId="33">
      <pivotArea field="1" grandRow="1" outline="0" collapsedLevelsAreSubtotals="1" axis="axisRow" fieldPosition="0">
        <references count="1">
          <reference field="4294967294" count="1" selected="0">
            <x v="1"/>
          </reference>
        </references>
      </pivotArea>
    </format>
    <format dxfId="32">
      <pivotArea collapsedLevelsAreSubtotals="1" fieldPosition="0">
        <references count="2">
          <reference field="4294967294" count="1" selected="0">
            <x v="0"/>
          </reference>
          <reference field="1" count="0"/>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120e3179-c119-4329-af88-9ac3a0e39c31" updatedVersion="5" minRefreshableVersion="3" useAutoFormatting="1" subtotalHiddenItems="1" rowGrandTotals="0" itemPrintTitles="1" createdVersion="5" indent="0" outline="1" outlineData="1" multipleFieldFilters="0">
  <location ref="E5:F10"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4"/>
    </i>
    <i>
      <x v="3"/>
    </i>
    <i>
      <x/>
    </i>
    <i>
      <x v="2"/>
    </i>
    <i>
      <x v="1"/>
    </i>
  </rowItems>
  <colItems count="1">
    <i/>
  </colItems>
  <dataFields count="1">
    <dataField name="Sales Per Unit" fld="1" subtotal="count" baseField="0" baseItem="0" numFmtId="166"/>
  </dataFields>
  <formats count="2">
    <format dxfId="31">
      <pivotArea outline="0" collapsedLevelsAreSubtotals="1" fieldPosition="0">
        <references count="1">
          <reference field="4294967294" count="1" selected="0">
            <x v="0"/>
          </reference>
        </references>
      </pivotArea>
    </format>
    <format dxfId="30">
      <pivotArea dataOnly="0" fieldPosition="0">
        <references count="1">
          <reference field="0" count="4">
            <x v="0"/>
            <x v="2"/>
            <x v="3"/>
            <x v="4"/>
          </reference>
        </references>
      </pivotArea>
    </format>
  </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Sales Per Unit"/>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9"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ekay Confectionaries.xlsx!data">
        <x15:activeTabTopLevelEntity name="[data]"/>
      </x15:pivotTableUISettings>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4:J17"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Dark3" showRowHeaders="1" showColHeaders="1" showRowStripes="0" showColStripes="0" showLastColumn="1"/>
  <filters count="1">
    <filter fld="0" type="count" evalOrder="-1" id="4"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4:E17"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Dark7"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 applyNumberFormats="0" applyBorderFormats="0" applyFontFormats="0" applyPatternFormats="0" applyAlignmentFormats="0" applyWidthHeightFormats="1" dataCaption="Values" tag="107e016a-e4da-4e52-9575-3c8de6e63d7c" updatedVersion="5" minRefreshableVersion="3" useAutoFormatting="1" itemPrintTitles="1" createdVersion="5" indent="0" outline="1" outlineData="1" multipleFieldFilters="0">
  <location ref="E3:F26" firstHeaderRow="1" firstDataRow="1" firstDataCol="1"/>
  <pivotFields count="3">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name="Total Profit" fld="1" subtotal="count" baseField="0" baseItem="0"/>
  </dataField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Total Profit"/>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ekay Confectionaries.xlsx!data">
        <x15:activeTabTopLevelEntity name="[data]"/>
      </x15:pivotTableUISettings>
    </ext>
  </extLst>
</pivotTableDefinition>
</file>

<file path=xl/pivotTables/pivotTable6.xml><?xml version="1.0" encoding="utf-8"?>
<pivotTableDefinition xmlns="http://schemas.openxmlformats.org/spreadsheetml/2006/main" name="PivotTable8" cacheId="3" applyNumberFormats="0" applyBorderFormats="0" applyFontFormats="0" applyPatternFormats="0" applyAlignmentFormats="0" applyWidthHeightFormats="1" dataCaption="Values" tag="55f6a568-4745-4aee-bfe4-bf1b305a6ce2" updatedVersion="5" minRefreshableVersion="3" useAutoFormatting="1" itemPrintTitles="1" createdVersion="5" indent="0" outline="1" outlineData="1" multipleFieldFilters="0">
  <location ref="C3:G26"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numFmtId="167"/>
    <dataField name="Sum of Units" fld="2" baseField="0" baseItem="0" numFmtId="3"/>
    <dataField fld="3" subtotal="count" baseField="0" baseItem="0"/>
    <dataField name="Profit %ge" fld="4" subtotal="count" baseField="0" baseItem="0"/>
  </dataFields>
  <formats count="2">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rofit %ge"/>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ekay Confectionaries.xlsx!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6"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12" name="PivotTable7"/>
  </pivotTables>
  <data>
    <olap pivotCacheId="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4" name="PivotTable8"/>
  </pivotTables>
  <data>
    <olap pivotCacheId="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data" displayName="data" ref="C11:J311" totalsRowShown="0" headerRowDxfId="50">
  <autoFilter ref="C11:J311"/>
  <tableColumns count="8">
    <tableColumn id="1" name="Sales Person"/>
    <tableColumn id="2" name="Geography"/>
    <tableColumn id="3" name="Product"/>
    <tableColumn id="4" name="Amount" dataDxfId="49"/>
    <tableColumn id="5" name="Units" dataDxfId="48"/>
    <tableColumn id="6" name="Helper" dataDxfId="47">
      <calculatedColumnFormula>SUM(IF(COUNTIF(D$12:D12,D12)&lt;&gt;1,0,COUNTIF(D$12:D12,D12)),H11)</calculatedColumnFormula>
    </tableColumn>
    <tableColumn id="7" name="Cost per unit" dataDxfId="46">
      <calculatedColumnFormula>VLOOKUP($E12,product[],2,FALSE)</calculatedColumnFormula>
    </tableColumn>
    <tableColumn id="8" name="Total cost" dataDxfId="45">
      <calculatedColumnFormula>data[[#This Row],[Cost per unit]]*data[[#This Row],[Units]]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product" displayName="product" ref="P11:Q33" totalsRowShown="0" headerRowDxfId="44" headerRowBorderDxfId="43" tableBorderDxfId="42" totalsRowBorderDxfId="41">
  <autoFilter ref="P11:Q33"/>
  <tableColumns count="2">
    <tableColumn id="1" name="Product" dataDxfId="40"/>
    <tableColumn id="2" name="Cost per unit" dataDxfId="39"/>
  </tableColumns>
  <tableStyleInfo name="TableStyleMedium2" showFirstColumn="0" showLastColumn="0" showRowStripes="1" showColumnStripes="0"/>
</table>
</file>

<file path=xl/tables/table3.xml><?xml version="1.0" encoding="utf-8"?>
<table xmlns="http://schemas.openxmlformats.org/spreadsheetml/2006/main" id="2" name="data2" displayName="data2" ref="F4:J304" totalsRowShown="0" headerRowDxfId="38">
  <autoFilter ref="F4:J304"/>
  <sortState ref="F5:J304">
    <sortCondition descending="1" ref="I5"/>
  </sortState>
  <tableColumns count="5">
    <tableColumn id="1" name="Sales Person"/>
    <tableColumn id="2" name="Geography"/>
    <tableColumn id="3" name="Product"/>
    <tableColumn id="4" name="Amount" dataDxfId="37"/>
    <tableColumn id="5" name="Units"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9FF99"/>
  </sheetPr>
  <dimension ref="A1:Z311"/>
  <sheetViews>
    <sheetView showGridLines="0" tabSelected="1" workbookViewId="0">
      <pane xSplit="2" ySplit="11" topLeftCell="C12" activePane="bottomRight" state="frozen"/>
      <selection pane="topRight" activeCell="C1" sqref="C1"/>
      <selection pane="bottomLeft" activeCell="A12" sqref="A12"/>
      <selection pane="bottomRight" activeCell="E6" sqref="E6"/>
    </sheetView>
  </sheetViews>
  <sheetFormatPr defaultRowHeight="15" x14ac:dyDescent="0.25"/>
  <cols>
    <col min="1" max="1" width="1.7109375" customWidth="1"/>
    <col min="2" max="2" width="3.7109375" customWidth="1"/>
    <col min="3" max="3" width="16" bestFit="1" customWidth="1"/>
    <col min="4" max="4" width="13" bestFit="1" customWidth="1"/>
    <col min="5" max="5" width="21.85546875" bestFit="1" customWidth="1"/>
    <col min="6" max="6" width="8.28515625" customWidth="1"/>
    <col min="7" max="7" width="5.7109375" bestFit="1" customWidth="1"/>
    <col min="9" max="9" width="14.5703125" bestFit="1" customWidth="1"/>
    <col min="10" max="10" width="11.7109375" bestFit="1" customWidth="1"/>
    <col min="12" max="12" width="4" customWidth="1"/>
    <col min="13" max="13" width="51.140625" bestFit="1" customWidth="1"/>
    <col min="16" max="16" width="21.85546875" bestFit="1" customWidth="1"/>
    <col min="17" max="17" width="14.42578125" customWidth="1"/>
  </cols>
  <sheetData>
    <row r="1" spans="1:26" ht="52.5" customHeight="1" x14ac:dyDescent="0.7">
      <c r="A1" s="59"/>
      <c r="B1" s="60">
        <v>1</v>
      </c>
      <c r="C1" s="62" t="s">
        <v>83</v>
      </c>
      <c r="D1" s="19"/>
      <c r="E1" s="19"/>
      <c r="F1" s="19"/>
      <c r="G1" s="19"/>
      <c r="H1" s="19"/>
      <c r="I1" s="19"/>
      <c r="J1" s="19"/>
      <c r="K1" s="19"/>
      <c r="L1" s="19"/>
      <c r="M1" s="19"/>
      <c r="N1" s="19"/>
      <c r="O1" s="19"/>
      <c r="P1" s="19"/>
      <c r="Q1" s="19"/>
      <c r="R1" s="19"/>
      <c r="S1" s="19"/>
      <c r="T1" s="19"/>
      <c r="U1" s="19"/>
      <c r="V1" s="19"/>
      <c r="W1" s="19"/>
      <c r="X1" s="19"/>
      <c r="Y1" s="19"/>
      <c r="Z1" s="19"/>
    </row>
    <row r="11" spans="1:26" x14ac:dyDescent="0.25">
      <c r="C11" s="1" t="s">
        <v>0</v>
      </c>
      <c r="D11" s="1" t="s">
        <v>1</v>
      </c>
      <c r="E11" s="1" t="s">
        <v>2</v>
      </c>
      <c r="F11" s="2" t="s">
        <v>3</v>
      </c>
      <c r="G11" s="2" t="s">
        <v>4</v>
      </c>
      <c r="H11" s="5" t="s">
        <v>53</v>
      </c>
      <c r="I11" s="5" t="s">
        <v>68</v>
      </c>
      <c r="J11" s="5" t="s">
        <v>69</v>
      </c>
      <c r="L11" s="18" t="s">
        <v>86</v>
      </c>
      <c r="M11" s="19"/>
      <c r="P11" s="42" t="s">
        <v>2</v>
      </c>
      <c r="Q11" s="42" t="s">
        <v>68</v>
      </c>
    </row>
    <row r="12" spans="1:26" x14ac:dyDescent="0.25">
      <c r="C12" t="s">
        <v>5</v>
      </c>
      <c r="D12" t="s">
        <v>6</v>
      </c>
      <c r="E12" t="s">
        <v>7</v>
      </c>
      <c r="F12" s="3">
        <v>1624</v>
      </c>
      <c r="G12" s="4">
        <v>114</v>
      </c>
      <c r="H12">
        <f>SUM(IF(COUNTIF(D$12:D12,D12)&lt;&gt;1,0,COUNTIF(D$12:D12,D12)),H11)</f>
        <v>1</v>
      </c>
      <c r="I12">
        <f>VLOOKUP($E12,product[],2,FALSE)</f>
        <v>14.49</v>
      </c>
      <c r="J12">
        <f>data[[#This Row],[Cost per unit]]*data[[#This Row],[Units]]</f>
        <v>1651.8600000000001</v>
      </c>
      <c r="L12" s="21">
        <v>1</v>
      </c>
      <c r="M12" s="20" t="s">
        <v>54</v>
      </c>
      <c r="P12" s="32" t="s">
        <v>31</v>
      </c>
      <c r="Q12" s="40">
        <v>9.33</v>
      </c>
    </row>
    <row r="13" spans="1:26" x14ac:dyDescent="0.25">
      <c r="C13" t="s">
        <v>8</v>
      </c>
      <c r="D13" t="s">
        <v>9</v>
      </c>
      <c r="E13" t="s">
        <v>10</v>
      </c>
      <c r="F13" s="3">
        <v>6706</v>
      </c>
      <c r="G13" s="4">
        <v>459</v>
      </c>
      <c r="H13">
        <f>SUM(IF(COUNTIF(D$12:D13,D13)&lt;&gt;1,0,COUNTIF(D$12:D13,D13)),H12)</f>
        <v>2</v>
      </c>
      <c r="I13">
        <f>VLOOKUP($E13,product[],2,FALSE)</f>
        <v>8.65</v>
      </c>
      <c r="J13">
        <f>data[[#This Row],[Cost per unit]]*data[[#This Row],[Units]]</f>
        <v>3970.3500000000004</v>
      </c>
      <c r="L13" s="21">
        <v>2</v>
      </c>
      <c r="M13" s="20" t="s">
        <v>55</v>
      </c>
      <c r="P13" s="36" t="s">
        <v>24</v>
      </c>
      <c r="Q13" s="41">
        <v>11.7</v>
      </c>
    </row>
    <row r="14" spans="1:26" x14ac:dyDescent="0.25">
      <c r="C14" t="s">
        <v>11</v>
      </c>
      <c r="D14" t="s">
        <v>9</v>
      </c>
      <c r="E14" t="s">
        <v>12</v>
      </c>
      <c r="F14" s="3">
        <v>959</v>
      </c>
      <c r="G14" s="4">
        <v>147</v>
      </c>
      <c r="H14">
        <f>SUM(IF(COUNTIF(D$12:D14,D14)&lt;&gt;1,0,COUNTIF(D$12:D14,D14)),H13)</f>
        <v>2</v>
      </c>
      <c r="I14">
        <f>VLOOKUP($E14,product[],2,FALSE)</f>
        <v>11.88</v>
      </c>
      <c r="J14">
        <f>data[[#This Row],[Cost per unit]]*data[[#This Row],[Units]]</f>
        <v>1746.3600000000001</v>
      </c>
      <c r="L14" s="21">
        <v>3</v>
      </c>
      <c r="M14" s="20" t="s">
        <v>56</v>
      </c>
      <c r="P14" s="32" t="s">
        <v>12</v>
      </c>
      <c r="Q14" s="40">
        <v>11.88</v>
      </c>
    </row>
    <row r="15" spans="1:26" x14ac:dyDescent="0.25">
      <c r="C15" t="s">
        <v>13</v>
      </c>
      <c r="D15" t="s">
        <v>14</v>
      </c>
      <c r="E15" t="s">
        <v>15</v>
      </c>
      <c r="F15" s="3">
        <v>9632</v>
      </c>
      <c r="G15" s="4">
        <v>288</v>
      </c>
      <c r="H15">
        <f>SUM(IF(COUNTIF(D$12:D15,D15)&lt;&gt;1,0,COUNTIF(D$12:D15,D15)),H14)</f>
        <v>3</v>
      </c>
      <c r="I15">
        <f>VLOOKUP($E15,product[],2,FALSE)</f>
        <v>6.47</v>
      </c>
      <c r="J15">
        <f>data[[#This Row],[Cost per unit]]*data[[#This Row],[Units]]</f>
        <v>1863.36</v>
      </c>
      <c r="L15" s="21">
        <v>4</v>
      </c>
      <c r="M15" s="20" t="s">
        <v>57</v>
      </c>
      <c r="P15" s="36" t="s">
        <v>37</v>
      </c>
      <c r="Q15" s="41">
        <v>11.73</v>
      </c>
    </row>
    <row r="16" spans="1:26" x14ac:dyDescent="0.25">
      <c r="C16" t="s">
        <v>16</v>
      </c>
      <c r="D16" t="s">
        <v>17</v>
      </c>
      <c r="E16" t="s">
        <v>18</v>
      </c>
      <c r="F16" s="3">
        <v>2100</v>
      </c>
      <c r="G16" s="4">
        <v>414</v>
      </c>
      <c r="H16">
        <f>SUM(IF(COUNTIF(D$12:D16,D16)&lt;&gt;1,0,COUNTIF(D$12:D16,D16)),H15)</f>
        <v>4</v>
      </c>
      <c r="I16">
        <f>VLOOKUP($E16,product[],2,FALSE)</f>
        <v>13.15</v>
      </c>
      <c r="J16">
        <f>data[[#This Row],[Cost per unit]]*data[[#This Row],[Units]]</f>
        <v>5444.1</v>
      </c>
      <c r="L16" s="21">
        <v>5</v>
      </c>
      <c r="M16" s="20" t="s">
        <v>58</v>
      </c>
      <c r="P16" s="32" t="s">
        <v>29</v>
      </c>
      <c r="Q16" s="40">
        <v>8.7899999999999991</v>
      </c>
    </row>
    <row r="17" spans="3:17" x14ac:dyDescent="0.25">
      <c r="C17" t="s">
        <v>5</v>
      </c>
      <c r="D17" t="s">
        <v>9</v>
      </c>
      <c r="E17" t="s">
        <v>19</v>
      </c>
      <c r="F17" s="3">
        <v>8869</v>
      </c>
      <c r="G17" s="4">
        <v>432</v>
      </c>
      <c r="H17">
        <f>SUM(IF(COUNTIF(D$12:D17,D17)&lt;&gt;1,0,COUNTIF(D$12:D17,D17)),H16)</f>
        <v>4</v>
      </c>
      <c r="I17">
        <f>VLOOKUP($E17,product[],2,FALSE)</f>
        <v>12.37</v>
      </c>
      <c r="J17">
        <f>data[[#This Row],[Cost per unit]]*data[[#This Row],[Units]]</f>
        <v>5343.8399999999992</v>
      </c>
      <c r="L17" s="21">
        <v>6</v>
      </c>
      <c r="M17" s="20" t="s">
        <v>59</v>
      </c>
      <c r="P17" s="36" t="s">
        <v>28</v>
      </c>
      <c r="Q17" s="41">
        <v>3.11</v>
      </c>
    </row>
    <row r="18" spans="3:17" x14ac:dyDescent="0.25">
      <c r="C18" t="s">
        <v>16</v>
      </c>
      <c r="D18" t="s">
        <v>20</v>
      </c>
      <c r="E18" t="s">
        <v>21</v>
      </c>
      <c r="F18" s="3">
        <v>2681</v>
      </c>
      <c r="G18" s="4">
        <v>54</v>
      </c>
      <c r="H18">
        <f>SUM(IF(COUNTIF(D$12:D18,D18)&lt;&gt;1,0,COUNTIF(D$12:D18,D18)),H17)</f>
        <v>5</v>
      </c>
      <c r="I18">
        <f>VLOOKUP($E18,product[],2,FALSE)</f>
        <v>5.79</v>
      </c>
      <c r="J18">
        <f>data[[#This Row],[Cost per unit]]*data[[#This Row],[Units]]</f>
        <v>312.66000000000003</v>
      </c>
      <c r="L18" s="21">
        <v>7</v>
      </c>
      <c r="M18" s="20" t="s">
        <v>84</v>
      </c>
      <c r="P18" s="32" t="s">
        <v>15</v>
      </c>
      <c r="Q18" s="40">
        <v>6.47</v>
      </c>
    </row>
    <row r="19" spans="3:17" x14ac:dyDescent="0.25">
      <c r="C19" t="s">
        <v>8</v>
      </c>
      <c r="D19" t="s">
        <v>9</v>
      </c>
      <c r="E19" t="s">
        <v>22</v>
      </c>
      <c r="F19" s="3">
        <v>5012</v>
      </c>
      <c r="G19" s="4">
        <v>210</v>
      </c>
      <c r="H19">
        <f>SUM(IF(COUNTIF(D$12:D19,D19)&lt;&gt;1,0,COUNTIF(D$12:D19,D19)),H18)</f>
        <v>5</v>
      </c>
      <c r="I19">
        <f>VLOOKUP($E19,product[],2,FALSE)</f>
        <v>9.77</v>
      </c>
      <c r="J19">
        <f>data[[#This Row],[Cost per unit]]*data[[#This Row],[Units]]</f>
        <v>2051.6999999999998</v>
      </c>
      <c r="L19" s="21">
        <v>8</v>
      </c>
      <c r="M19" s="20" t="s">
        <v>85</v>
      </c>
      <c r="P19" s="36" t="s">
        <v>36</v>
      </c>
      <c r="Q19" s="41">
        <v>7.64</v>
      </c>
    </row>
    <row r="20" spans="3:17" x14ac:dyDescent="0.25">
      <c r="C20" t="s">
        <v>23</v>
      </c>
      <c r="D20" t="s">
        <v>20</v>
      </c>
      <c r="E20" t="s">
        <v>24</v>
      </c>
      <c r="F20" s="3">
        <v>1281</v>
      </c>
      <c r="G20" s="4">
        <v>75</v>
      </c>
      <c r="H20">
        <f>SUM(IF(COUNTIF(D$12:D20,D20)&lt;&gt;1,0,COUNTIF(D$12:D20,D20)),H19)</f>
        <v>5</v>
      </c>
      <c r="I20">
        <f>VLOOKUP($E20,product[],2,FALSE)</f>
        <v>11.7</v>
      </c>
      <c r="J20">
        <f>data[[#This Row],[Cost per unit]]*data[[#This Row],[Units]]</f>
        <v>877.5</v>
      </c>
      <c r="L20" s="21">
        <v>9</v>
      </c>
      <c r="M20" s="20" t="s">
        <v>60</v>
      </c>
      <c r="P20" s="32" t="s">
        <v>33</v>
      </c>
      <c r="Q20" s="40">
        <v>10.62</v>
      </c>
    </row>
    <row r="21" spans="3:17" x14ac:dyDescent="0.25">
      <c r="C21" t="s">
        <v>25</v>
      </c>
      <c r="D21" t="s">
        <v>6</v>
      </c>
      <c r="E21" t="s">
        <v>24</v>
      </c>
      <c r="F21" s="3">
        <v>4991</v>
      </c>
      <c r="G21" s="4">
        <v>12</v>
      </c>
      <c r="H21">
        <f>SUM(IF(COUNTIF(D$12:D21,D21)&lt;&gt;1,0,COUNTIF(D$12:D21,D21)),H20)</f>
        <v>5</v>
      </c>
      <c r="I21">
        <f>VLOOKUP($E21,product[],2,FALSE)</f>
        <v>11.7</v>
      </c>
      <c r="J21">
        <f>data[[#This Row],[Cost per unit]]*data[[#This Row],[Units]]</f>
        <v>140.39999999999998</v>
      </c>
      <c r="L21" s="21">
        <v>10</v>
      </c>
      <c r="M21" s="20" t="s">
        <v>61</v>
      </c>
      <c r="P21" s="36" t="s">
        <v>41</v>
      </c>
      <c r="Q21" s="41">
        <v>9</v>
      </c>
    </row>
    <row r="22" spans="3:17" x14ac:dyDescent="0.25">
      <c r="C22" t="s">
        <v>26</v>
      </c>
      <c r="D22" t="s">
        <v>17</v>
      </c>
      <c r="E22" t="s">
        <v>18</v>
      </c>
      <c r="F22" s="3">
        <v>1785</v>
      </c>
      <c r="G22" s="4">
        <v>462</v>
      </c>
      <c r="H22">
        <f>SUM(IF(COUNTIF(D$12:D22,D22)&lt;&gt;1,0,COUNTIF(D$12:D22,D22)),H21)</f>
        <v>5</v>
      </c>
      <c r="I22">
        <f>VLOOKUP($E22,product[],2,FALSE)</f>
        <v>13.15</v>
      </c>
      <c r="J22">
        <f>data[[#This Row],[Cost per unit]]*data[[#This Row],[Units]]</f>
        <v>6075.3</v>
      </c>
      <c r="P22" s="32" t="s">
        <v>22</v>
      </c>
      <c r="Q22" s="40">
        <v>9.77</v>
      </c>
    </row>
    <row r="23" spans="3:17" x14ac:dyDescent="0.25">
      <c r="C23" t="s">
        <v>27</v>
      </c>
      <c r="D23" t="s">
        <v>6</v>
      </c>
      <c r="E23" t="s">
        <v>28</v>
      </c>
      <c r="F23" s="3">
        <v>3983</v>
      </c>
      <c r="G23" s="4">
        <v>144</v>
      </c>
      <c r="H23">
        <f>SUM(IF(COUNTIF(D$12:D23,D23)&lt;&gt;1,0,COUNTIF(D$12:D23,D23)),H22)</f>
        <v>5</v>
      </c>
      <c r="I23">
        <f>VLOOKUP($E23,product[],2,FALSE)</f>
        <v>3.11</v>
      </c>
      <c r="J23">
        <f>data[[#This Row],[Cost per unit]]*data[[#This Row],[Units]]</f>
        <v>447.84</v>
      </c>
      <c r="P23" s="36" t="s">
        <v>34</v>
      </c>
      <c r="Q23" s="41">
        <v>6.49</v>
      </c>
    </row>
    <row r="24" spans="3:17" x14ac:dyDescent="0.25">
      <c r="C24" t="s">
        <v>11</v>
      </c>
      <c r="D24" t="s">
        <v>20</v>
      </c>
      <c r="E24" t="s">
        <v>29</v>
      </c>
      <c r="F24" s="3">
        <v>2646</v>
      </c>
      <c r="G24" s="4">
        <v>120</v>
      </c>
      <c r="H24">
        <f>SUM(IF(COUNTIF(D$12:D24,D24)&lt;&gt;1,0,COUNTIF(D$12:D24,D24)),H23)</f>
        <v>5</v>
      </c>
      <c r="I24">
        <f>VLOOKUP($E24,product[],2,FALSE)</f>
        <v>8.7899999999999991</v>
      </c>
      <c r="J24">
        <f>data[[#This Row],[Cost per unit]]*data[[#This Row],[Units]]</f>
        <v>1054.8</v>
      </c>
      <c r="P24" s="32" t="s">
        <v>38</v>
      </c>
      <c r="Q24" s="40">
        <v>4.97</v>
      </c>
    </row>
    <row r="25" spans="3:17" x14ac:dyDescent="0.25">
      <c r="C25" t="s">
        <v>26</v>
      </c>
      <c r="D25" t="s">
        <v>30</v>
      </c>
      <c r="E25" t="s">
        <v>31</v>
      </c>
      <c r="F25" s="3">
        <v>252</v>
      </c>
      <c r="G25" s="4">
        <v>54</v>
      </c>
      <c r="H25">
        <f>SUM(IF(COUNTIF(D$12:D25,D25)&lt;&gt;1,0,COUNTIF(D$12:D25,D25)),H24)</f>
        <v>6</v>
      </c>
      <c r="I25">
        <f>VLOOKUP($E25,product[],2,FALSE)</f>
        <v>9.33</v>
      </c>
      <c r="J25">
        <f>data[[#This Row],[Cost per unit]]*data[[#This Row],[Units]]</f>
        <v>503.82</v>
      </c>
      <c r="P25" s="36" t="s">
        <v>18</v>
      </c>
      <c r="Q25" s="41">
        <v>13.15</v>
      </c>
    </row>
    <row r="26" spans="3:17" x14ac:dyDescent="0.25">
      <c r="C26" t="s">
        <v>27</v>
      </c>
      <c r="D26" t="s">
        <v>9</v>
      </c>
      <c r="E26" t="s">
        <v>18</v>
      </c>
      <c r="F26" s="3">
        <v>2464</v>
      </c>
      <c r="G26" s="4">
        <v>234</v>
      </c>
      <c r="H26">
        <f>SUM(IF(COUNTIF(D$12:D26,D26)&lt;&gt;1,0,COUNTIF(D$12:D26,D26)),H25)</f>
        <v>6</v>
      </c>
      <c r="I26">
        <f>VLOOKUP($E26,product[],2,FALSE)</f>
        <v>13.15</v>
      </c>
      <c r="J26">
        <f>data[[#This Row],[Cost per unit]]*data[[#This Row],[Units]]</f>
        <v>3077.1</v>
      </c>
      <c r="P26" s="32" t="s">
        <v>42</v>
      </c>
      <c r="Q26" s="40">
        <v>5.6</v>
      </c>
    </row>
    <row r="27" spans="3:17" x14ac:dyDescent="0.25">
      <c r="C27" t="s">
        <v>27</v>
      </c>
      <c r="D27" t="s">
        <v>9</v>
      </c>
      <c r="E27" t="s">
        <v>32</v>
      </c>
      <c r="F27" s="3">
        <v>2114</v>
      </c>
      <c r="G27" s="4">
        <v>66</v>
      </c>
      <c r="H27">
        <f>SUM(IF(COUNTIF(D$12:D27,D27)&lt;&gt;1,0,COUNTIF(D$12:D27,D27)),H26)</f>
        <v>6</v>
      </c>
      <c r="I27">
        <f>VLOOKUP($E27,product[],2,FALSE)</f>
        <v>7.16</v>
      </c>
      <c r="J27">
        <f>data[[#This Row],[Cost per unit]]*data[[#This Row],[Units]]</f>
        <v>472.56</v>
      </c>
      <c r="P27" s="36" t="s">
        <v>39</v>
      </c>
      <c r="Q27" s="41">
        <v>16.73</v>
      </c>
    </row>
    <row r="28" spans="3:17" x14ac:dyDescent="0.25">
      <c r="C28" t="s">
        <v>16</v>
      </c>
      <c r="D28" t="s">
        <v>6</v>
      </c>
      <c r="E28" t="s">
        <v>21</v>
      </c>
      <c r="F28" s="3">
        <v>7693</v>
      </c>
      <c r="G28" s="4">
        <v>87</v>
      </c>
      <c r="H28">
        <f>SUM(IF(COUNTIF(D$12:D28,D28)&lt;&gt;1,0,COUNTIF(D$12:D28,D28)),H27)</f>
        <v>6</v>
      </c>
      <c r="I28">
        <f>VLOOKUP($E28,product[],2,FALSE)</f>
        <v>5.79</v>
      </c>
      <c r="J28">
        <f>data[[#This Row],[Cost per unit]]*data[[#This Row],[Units]]</f>
        <v>503.73</v>
      </c>
      <c r="P28" s="32" t="s">
        <v>40</v>
      </c>
      <c r="Q28" s="40">
        <v>10.38</v>
      </c>
    </row>
    <row r="29" spans="3:17" x14ac:dyDescent="0.25">
      <c r="C29" t="s">
        <v>25</v>
      </c>
      <c r="D29" t="s">
        <v>30</v>
      </c>
      <c r="E29" t="s">
        <v>33</v>
      </c>
      <c r="F29" s="3">
        <v>15610</v>
      </c>
      <c r="G29" s="4">
        <v>339</v>
      </c>
      <c r="H29">
        <f>SUM(IF(COUNTIF(D$12:D29,D29)&lt;&gt;1,0,COUNTIF(D$12:D29,D29)),H28)</f>
        <v>6</v>
      </c>
      <c r="I29">
        <f>VLOOKUP($E29,product[],2,FALSE)</f>
        <v>10.62</v>
      </c>
      <c r="J29">
        <f>data[[#This Row],[Cost per unit]]*data[[#This Row],[Units]]</f>
        <v>3600.18</v>
      </c>
      <c r="P29" s="36" t="s">
        <v>32</v>
      </c>
      <c r="Q29" s="41">
        <v>7.16</v>
      </c>
    </row>
    <row r="30" spans="3:17" x14ac:dyDescent="0.25">
      <c r="C30" t="s">
        <v>13</v>
      </c>
      <c r="D30" t="s">
        <v>30</v>
      </c>
      <c r="E30" t="s">
        <v>22</v>
      </c>
      <c r="F30" s="3">
        <v>336</v>
      </c>
      <c r="G30" s="4">
        <v>144</v>
      </c>
      <c r="H30">
        <f>SUM(IF(COUNTIF(D$12:D30,D30)&lt;&gt;1,0,COUNTIF(D$12:D30,D30)),H29)</f>
        <v>6</v>
      </c>
      <c r="I30">
        <f>VLOOKUP($E30,product[],2,FALSE)</f>
        <v>9.77</v>
      </c>
      <c r="J30">
        <f>data[[#This Row],[Cost per unit]]*data[[#This Row],[Units]]</f>
        <v>1406.8799999999999</v>
      </c>
      <c r="P30" s="32" t="s">
        <v>7</v>
      </c>
      <c r="Q30" s="40">
        <v>14.49</v>
      </c>
    </row>
    <row r="31" spans="3:17" x14ac:dyDescent="0.25">
      <c r="C31" t="s">
        <v>26</v>
      </c>
      <c r="D31" t="s">
        <v>17</v>
      </c>
      <c r="E31" t="s">
        <v>33</v>
      </c>
      <c r="F31" s="3">
        <v>9443</v>
      </c>
      <c r="G31" s="4">
        <v>162</v>
      </c>
      <c r="H31">
        <f>SUM(IF(COUNTIF(D$12:D31,D31)&lt;&gt;1,0,COUNTIF(D$12:D31,D31)),H30)</f>
        <v>6</v>
      </c>
      <c r="I31">
        <f>VLOOKUP($E31,product[],2,FALSE)</f>
        <v>10.62</v>
      </c>
      <c r="J31">
        <f>data[[#This Row],[Cost per unit]]*data[[#This Row],[Units]]</f>
        <v>1720.4399999999998</v>
      </c>
      <c r="P31" s="36" t="s">
        <v>21</v>
      </c>
      <c r="Q31" s="41">
        <v>5.79</v>
      </c>
    </row>
    <row r="32" spans="3:17" x14ac:dyDescent="0.25">
      <c r="C32" t="s">
        <v>11</v>
      </c>
      <c r="D32" t="s">
        <v>30</v>
      </c>
      <c r="E32" t="s">
        <v>34</v>
      </c>
      <c r="F32" s="3">
        <v>8155</v>
      </c>
      <c r="G32" s="4">
        <v>90</v>
      </c>
      <c r="H32">
        <f>SUM(IF(COUNTIF(D$12:D32,D32)&lt;&gt;1,0,COUNTIF(D$12:D32,D32)),H31)</f>
        <v>6</v>
      </c>
      <c r="I32">
        <f>VLOOKUP($E32,product[],2,FALSE)</f>
        <v>6.49</v>
      </c>
      <c r="J32">
        <f>data[[#This Row],[Cost per unit]]*data[[#This Row],[Units]]</f>
        <v>584.1</v>
      </c>
      <c r="P32" s="32" t="s">
        <v>10</v>
      </c>
      <c r="Q32" s="40">
        <v>8.65</v>
      </c>
    </row>
    <row r="33" spans="3:17" x14ac:dyDescent="0.25">
      <c r="C33" t="s">
        <v>8</v>
      </c>
      <c r="D33" t="s">
        <v>20</v>
      </c>
      <c r="E33" t="s">
        <v>34</v>
      </c>
      <c r="F33" s="3">
        <v>1701</v>
      </c>
      <c r="G33" s="4">
        <v>234</v>
      </c>
      <c r="H33">
        <f>SUM(IF(COUNTIF(D$12:D33,D33)&lt;&gt;1,0,COUNTIF(D$12:D33,D33)),H32)</f>
        <v>6</v>
      </c>
      <c r="I33">
        <f>VLOOKUP($E33,product[],2,FALSE)</f>
        <v>6.49</v>
      </c>
      <c r="J33">
        <f>data[[#This Row],[Cost per unit]]*data[[#This Row],[Units]]</f>
        <v>1518.66</v>
      </c>
      <c r="P33" s="43" t="s">
        <v>19</v>
      </c>
      <c r="Q33" s="44">
        <v>12.37</v>
      </c>
    </row>
    <row r="34" spans="3:17" x14ac:dyDescent="0.25">
      <c r="C34" t="s">
        <v>35</v>
      </c>
      <c r="D34" t="s">
        <v>20</v>
      </c>
      <c r="E34" t="s">
        <v>22</v>
      </c>
      <c r="F34" s="3">
        <v>2205</v>
      </c>
      <c r="G34" s="4">
        <v>141</v>
      </c>
      <c r="H34">
        <f>SUM(IF(COUNTIF(D$12:D34,D34)&lt;&gt;1,0,COUNTIF(D$12:D34,D34)),H33)</f>
        <v>6</v>
      </c>
      <c r="I34">
        <f>VLOOKUP($E34,product[],2,FALSE)</f>
        <v>9.77</v>
      </c>
      <c r="J34">
        <f>data[[#This Row],[Cost per unit]]*data[[#This Row],[Units]]</f>
        <v>1377.57</v>
      </c>
    </row>
    <row r="35" spans="3:17" x14ac:dyDescent="0.25">
      <c r="C35" t="s">
        <v>8</v>
      </c>
      <c r="D35" t="s">
        <v>6</v>
      </c>
      <c r="E35" t="s">
        <v>36</v>
      </c>
      <c r="F35" s="3">
        <v>1771</v>
      </c>
      <c r="G35" s="4">
        <v>204</v>
      </c>
      <c r="H35">
        <f>SUM(IF(COUNTIF(D$12:D35,D35)&lt;&gt;1,0,COUNTIF(D$12:D35,D35)),H34)</f>
        <v>6</v>
      </c>
      <c r="I35">
        <f>VLOOKUP($E35,product[],2,FALSE)</f>
        <v>7.64</v>
      </c>
      <c r="J35">
        <f>data[[#This Row],[Cost per unit]]*data[[#This Row],[Units]]</f>
        <v>1558.56</v>
      </c>
    </row>
    <row r="36" spans="3:17" x14ac:dyDescent="0.25">
      <c r="C36" t="s">
        <v>13</v>
      </c>
      <c r="D36" t="s">
        <v>9</v>
      </c>
      <c r="E36" t="s">
        <v>37</v>
      </c>
      <c r="F36" s="3">
        <v>2114</v>
      </c>
      <c r="G36" s="4">
        <v>186</v>
      </c>
      <c r="H36">
        <f>SUM(IF(COUNTIF(D$12:D36,D36)&lt;&gt;1,0,COUNTIF(D$12:D36,D36)),H35)</f>
        <v>6</v>
      </c>
      <c r="I36">
        <f>VLOOKUP($E36,product[],2,FALSE)</f>
        <v>11.73</v>
      </c>
      <c r="J36">
        <f>data[[#This Row],[Cost per unit]]*data[[#This Row],[Units]]</f>
        <v>2181.7800000000002</v>
      </c>
    </row>
    <row r="37" spans="3:17" x14ac:dyDescent="0.25">
      <c r="C37" t="s">
        <v>13</v>
      </c>
      <c r="D37" t="s">
        <v>14</v>
      </c>
      <c r="E37" t="s">
        <v>31</v>
      </c>
      <c r="F37" s="3">
        <v>10311</v>
      </c>
      <c r="G37" s="4">
        <v>231</v>
      </c>
      <c r="H37">
        <f>SUM(IF(COUNTIF(D$12:D37,D37)&lt;&gt;1,0,COUNTIF(D$12:D37,D37)),H36)</f>
        <v>6</v>
      </c>
      <c r="I37">
        <f>VLOOKUP($E37,product[],2,FALSE)</f>
        <v>9.33</v>
      </c>
      <c r="J37">
        <f>data[[#This Row],[Cost per unit]]*data[[#This Row],[Units]]</f>
        <v>2155.23</v>
      </c>
    </row>
    <row r="38" spans="3:17" x14ac:dyDescent="0.25">
      <c r="C38" t="s">
        <v>27</v>
      </c>
      <c r="D38" t="s">
        <v>17</v>
      </c>
      <c r="E38" t="s">
        <v>29</v>
      </c>
      <c r="F38" s="3">
        <v>21</v>
      </c>
      <c r="G38" s="4">
        <v>168</v>
      </c>
      <c r="H38">
        <f>SUM(IF(COUNTIF(D$12:D38,D38)&lt;&gt;1,0,COUNTIF(D$12:D38,D38)),H37)</f>
        <v>6</v>
      </c>
      <c r="I38">
        <f>VLOOKUP($E38,product[],2,FALSE)</f>
        <v>8.7899999999999991</v>
      </c>
      <c r="J38">
        <f>data[[#This Row],[Cost per unit]]*data[[#This Row],[Units]]</f>
        <v>1476.7199999999998</v>
      </c>
    </row>
    <row r="39" spans="3:17" x14ac:dyDescent="0.25">
      <c r="C39" t="s">
        <v>35</v>
      </c>
      <c r="D39" t="s">
        <v>9</v>
      </c>
      <c r="E39" t="s">
        <v>33</v>
      </c>
      <c r="F39" s="3">
        <v>1974</v>
      </c>
      <c r="G39" s="4">
        <v>195</v>
      </c>
      <c r="H39">
        <f>SUM(IF(COUNTIF(D$12:D39,D39)&lt;&gt;1,0,COUNTIF(D$12:D39,D39)),H38)</f>
        <v>6</v>
      </c>
      <c r="I39">
        <f>VLOOKUP($E39,product[],2,FALSE)</f>
        <v>10.62</v>
      </c>
      <c r="J39">
        <f>data[[#This Row],[Cost per unit]]*data[[#This Row],[Units]]</f>
        <v>2070.8999999999996</v>
      </c>
    </row>
    <row r="40" spans="3:17" x14ac:dyDescent="0.25">
      <c r="C40" t="s">
        <v>25</v>
      </c>
      <c r="D40" t="s">
        <v>14</v>
      </c>
      <c r="E40" t="s">
        <v>34</v>
      </c>
      <c r="F40" s="3">
        <v>6314</v>
      </c>
      <c r="G40" s="4">
        <v>15</v>
      </c>
      <c r="H40">
        <f>SUM(IF(COUNTIF(D$12:D40,D40)&lt;&gt;1,0,COUNTIF(D$12:D40,D40)),H39)</f>
        <v>6</v>
      </c>
      <c r="I40">
        <f>VLOOKUP($E40,product[],2,FALSE)</f>
        <v>6.49</v>
      </c>
      <c r="J40">
        <f>data[[#This Row],[Cost per unit]]*data[[#This Row],[Units]]</f>
        <v>97.350000000000009</v>
      </c>
    </row>
    <row r="41" spans="3:17" x14ac:dyDescent="0.25">
      <c r="C41" t="s">
        <v>35</v>
      </c>
      <c r="D41" t="s">
        <v>6</v>
      </c>
      <c r="E41" t="s">
        <v>34</v>
      </c>
      <c r="F41" s="3">
        <v>4683</v>
      </c>
      <c r="G41" s="4">
        <v>30</v>
      </c>
      <c r="H41">
        <f>SUM(IF(COUNTIF(D$12:D41,D41)&lt;&gt;1,0,COUNTIF(D$12:D41,D41)),H40)</f>
        <v>6</v>
      </c>
      <c r="I41">
        <f>VLOOKUP($E41,product[],2,FALSE)</f>
        <v>6.49</v>
      </c>
      <c r="J41">
        <f>data[[#This Row],[Cost per unit]]*data[[#This Row],[Units]]</f>
        <v>194.70000000000002</v>
      </c>
    </row>
    <row r="42" spans="3:17" x14ac:dyDescent="0.25">
      <c r="C42" t="s">
        <v>13</v>
      </c>
      <c r="D42" t="s">
        <v>6</v>
      </c>
      <c r="E42" t="s">
        <v>38</v>
      </c>
      <c r="F42" s="3">
        <v>6398</v>
      </c>
      <c r="G42" s="4">
        <v>102</v>
      </c>
      <c r="H42">
        <f>SUM(IF(COUNTIF(D$12:D42,D42)&lt;&gt;1,0,COUNTIF(D$12:D42,D42)),H41)</f>
        <v>6</v>
      </c>
      <c r="I42">
        <f>VLOOKUP($E42,product[],2,FALSE)</f>
        <v>4.97</v>
      </c>
      <c r="J42">
        <f>data[[#This Row],[Cost per unit]]*data[[#This Row],[Units]]</f>
        <v>506.94</v>
      </c>
    </row>
    <row r="43" spans="3:17" x14ac:dyDescent="0.25">
      <c r="C43" t="s">
        <v>26</v>
      </c>
      <c r="D43" t="s">
        <v>9</v>
      </c>
      <c r="E43" t="s">
        <v>36</v>
      </c>
      <c r="F43" s="3">
        <v>553</v>
      </c>
      <c r="G43" s="4">
        <v>15</v>
      </c>
      <c r="H43">
        <f>SUM(IF(COUNTIF(D$12:D43,D43)&lt;&gt;1,0,COUNTIF(D$12:D43,D43)),H42)</f>
        <v>6</v>
      </c>
      <c r="I43">
        <f>VLOOKUP($E43,product[],2,FALSE)</f>
        <v>7.64</v>
      </c>
      <c r="J43">
        <f>data[[#This Row],[Cost per unit]]*data[[#This Row],[Units]]</f>
        <v>114.6</v>
      </c>
    </row>
    <row r="44" spans="3:17" x14ac:dyDescent="0.25">
      <c r="C44" t="s">
        <v>8</v>
      </c>
      <c r="D44" t="s">
        <v>17</v>
      </c>
      <c r="E44" t="s">
        <v>7</v>
      </c>
      <c r="F44" s="3">
        <v>7021</v>
      </c>
      <c r="G44" s="4">
        <v>183</v>
      </c>
      <c r="H44">
        <f>SUM(IF(COUNTIF(D$12:D44,D44)&lt;&gt;1,0,COUNTIF(D$12:D44,D44)),H43)</f>
        <v>6</v>
      </c>
      <c r="I44">
        <f>VLOOKUP($E44,product[],2,FALSE)</f>
        <v>14.49</v>
      </c>
      <c r="J44">
        <f>data[[#This Row],[Cost per unit]]*data[[#This Row],[Units]]</f>
        <v>2651.67</v>
      </c>
    </row>
    <row r="45" spans="3:17" x14ac:dyDescent="0.25">
      <c r="C45" t="s">
        <v>5</v>
      </c>
      <c r="D45" t="s">
        <v>17</v>
      </c>
      <c r="E45" t="s">
        <v>22</v>
      </c>
      <c r="F45" s="3">
        <v>5817</v>
      </c>
      <c r="G45" s="4">
        <v>12</v>
      </c>
      <c r="H45">
        <f>SUM(IF(COUNTIF(D$12:D45,D45)&lt;&gt;1,0,COUNTIF(D$12:D45,D45)),H44)</f>
        <v>6</v>
      </c>
      <c r="I45">
        <f>VLOOKUP($E45,product[],2,FALSE)</f>
        <v>9.77</v>
      </c>
      <c r="J45">
        <f>data[[#This Row],[Cost per unit]]*data[[#This Row],[Units]]</f>
        <v>117.24</v>
      </c>
    </row>
    <row r="46" spans="3:17" x14ac:dyDescent="0.25">
      <c r="C46" t="s">
        <v>13</v>
      </c>
      <c r="D46" t="s">
        <v>17</v>
      </c>
      <c r="E46" t="s">
        <v>24</v>
      </c>
      <c r="F46" s="3">
        <v>3976</v>
      </c>
      <c r="G46" s="4">
        <v>72</v>
      </c>
      <c r="H46">
        <f>SUM(IF(COUNTIF(D$12:D46,D46)&lt;&gt;1,0,COUNTIF(D$12:D46,D46)),H45)</f>
        <v>6</v>
      </c>
      <c r="I46">
        <f>VLOOKUP($E46,product[],2,FALSE)</f>
        <v>11.7</v>
      </c>
      <c r="J46">
        <f>data[[#This Row],[Cost per unit]]*data[[#This Row],[Units]]</f>
        <v>842.4</v>
      </c>
    </row>
    <row r="47" spans="3:17" x14ac:dyDescent="0.25">
      <c r="C47" t="s">
        <v>16</v>
      </c>
      <c r="D47" t="s">
        <v>20</v>
      </c>
      <c r="E47" t="s">
        <v>39</v>
      </c>
      <c r="F47" s="3">
        <v>1134</v>
      </c>
      <c r="G47" s="4">
        <v>282</v>
      </c>
      <c r="H47">
        <f>SUM(IF(COUNTIF(D$12:D47,D47)&lt;&gt;1,0,COUNTIF(D$12:D47,D47)),H46)</f>
        <v>6</v>
      </c>
      <c r="I47">
        <f>VLOOKUP($E47,product[],2,FALSE)</f>
        <v>16.73</v>
      </c>
      <c r="J47">
        <f>data[[#This Row],[Cost per unit]]*data[[#This Row],[Units]]</f>
        <v>4717.8599999999997</v>
      </c>
    </row>
    <row r="48" spans="3:17" x14ac:dyDescent="0.25">
      <c r="C48" t="s">
        <v>26</v>
      </c>
      <c r="D48" t="s">
        <v>17</v>
      </c>
      <c r="E48" t="s">
        <v>40</v>
      </c>
      <c r="F48" s="3">
        <v>6027</v>
      </c>
      <c r="G48" s="4">
        <v>144</v>
      </c>
      <c r="H48">
        <f>SUM(IF(COUNTIF(D$12:D48,D48)&lt;&gt;1,0,COUNTIF(D$12:D48,D48)),H47)</f>
        <v>6</v>
      </c>
      <c r="I48">
        <f>VLOOKUP($E48,product[],2,FALSE)</f>
        <v>10.38</v>
      </c>
      <c r="J48">
        <f>data[[#This Row],[Cost per unit]]*data[[#This Row],[Units]]</f>
        <v>1494.72</v>
      </c>
    </row>
    <row r="49" spans="3:10" x14ac:dyDescent="0.25">
      <c r="C49" t="s">
        <v>16</v>
      </c>
      <c r="D49" t="s">
        <v>6</v>
      </c>
      <c r="E49" t="s">
        <v>29</v>
      </c>
      <c r="F49" s="3">
        <v>1904</v>
      </c>
      <c r="G49" s="4">
        <v>405</v>
      </c>
      <c r="H49">
        <f>SUM(IF(COUNTIF(D$12:D49,D49)&lt;&gt;1,0,COUNTIF(D$12:D49,D49)),H48)</f>
        <v>6</v>
      </c>
      <c r="I49">
        <f>VLOOKUP($E49,product[],2,FALSE)</f>
        <v>8.7899999999999991</v>
      </c>
      <c r="J49">
        <f>data[[#This Row],[Cost per unit]]*data[[#This Row],[Units]]</f>
        <v>3559.95</v>
      </c>
    </row>
    <row r="50" spans="3:10" x14ac:dyDescent="0.25">
      <c r="C50" t="s">
        <v>23</v>
      </c>
      <c r="D50" t="s">
        <v>30</v>
      </c>
      <c r="E50" t="s">
        <v>10</v>
      </c>
      <c r="F50" s="3">
        <v>3262</v>
      </c>
      <c r="G50" s="4">
        <v>75</v>
      </c>
      <c r="H50">
        <f>SUM(IF(COUNTIF(D$12:D50,D50)&lt;&gt;1,0,COUNTIF(D$12:D50,D50)),H49)</f>
        <v>6</v>
      </c>
      <c r="I50">
        <f>VLOOKUP($E50,product[],2,FALSE)</f>
        <v>8.65</v>
      </c>
      <c r="J50">
        <f>data[[#This Row],[Cost per unit]]*data[[#This Row],[Units]]</f>
        <v>648.75</v>
      </c>
    </row>
    <row r="51" spans="3:10" x14ac:dyDescent="0.25">
      <c r="C51" t="s">
        <v>5</v>
      </c>
      <c r="D51" t="s">
        <v>30</v>
      </c>
      <c r="E51" t="s">
        <v>39</v>
      </c>
      <c r="F51" s="3">
        <v>2289</v>
      </c>
      <c r="G51" s="4">
        <v>135</v>
      </c>
      <c r="H51">
        <f>SUM(IF(COUNTIF(D$12:D51,D51)&lt;&gt;1,0,COUNTIF(D$12:D51,D51)),H50)</f>
        <v>6</v>
      </c>
      <c r="I51">
        <f>VLOOKUP($E51,product[],2,FALSE)</f>
        <v>16.73</v>
      </c>
      <c r="J51">
        <f>data[[#This Row],[Cost per unit]]*data[[#This Row],[Units]]</f>
        <v>2258.5500000000002</v>
      </c>
    </row>
    <row r="52" spans="3:10" x14ac:dyDescent="0.25">
      <c r="C52" t="s">
        <v>25</v>
      </c>
      <c r="D52" t="s">
        <v>30</v>
      </c>
      <c r="E52" t="s">
        <v>39</v>
      </c>
      <c r="F52" s="3">
        <v>6986</v>
      </c>
      <c r="G52" s="4">
        <v>21</v>
      </c>
      <c r="H52">
        <f>SUM(IF(COUNTIF(D$12:D52,D52)&lt;&gt;1,0,COUNTIF(D$12:D52,D52)),H51)</f>
        <v>6</v>
      </c>
      <c r="I52">
        <f>VLOOKUP($E52,product[],2,FALSE)</f>
        <v>16.73</v>
      </c>
      <c r="J52">
        <f>data[[#This Row],[Cost per unit]]*data[[#This Row],[Units]]</f>
        <v>351.33</v>
      </c>
    </row>
    <row r="53" spans="3:10" x14ac:dyDescent="0.25">
      <c r="C53" t="s">
        <v>26</v>
      </c>
      <c r="D53" t="s">
        <v>20</v>
      </c>
      <c r="E53" t="s">
        <v>34</v>
      </c>
      <c r="F53" s="3">
        <v>4417</v>
      </c>
      <c r="G53" s="4">
        <v>153</v>
      </c>
      <c r="H53">
        <f>SUM(IF(COUNTIF(D$12:D53,D53)&lt;&gt;1,0,COUNTIF(D$12:D53,D53)),H52)</f>
        <v>6</v>
      </c>
      <c r="I53">
        <f>VLOOKUP($E53,product[],2,FALSE)</f>
        <v>6.49</v>
      </c>
      <c r="J53">
        <f>data[[#This Row],[Cost per unit]]*data[[#This Row],[Units]]</f>
        <v>992.97</v>
      </c>
    </row>
    <row r="54" spans="3:10" x14ac:dyDescent="0.25">
      <c r="C54" t="s">
        <v>16</v>
      </c>
      <c r="D54" t="s">
        <v>30</v>
      </c>
      <c r="E54" t="s">
        <v>37</v>
      </c>
      <c r="F54" s="3">
        <v>1442</v>
      </c>
      <c r="G54" s="4">
        <v>15</v>
      </c>
      <c r="H54">
        <f>SUM(IF(COUNTIF(D$12:D54,D54)&lt;&gt;1,0,COUNTIF(D$12:D54,D54)),H53)</f>
        <v>6</v>
      </c>
      <c r="I54">
        <f>VLOOKUP($E54,product[],2,FALSE)</f>
        <v>11.73</v>
      </c>
      <c r="J54">
        <f>data[[#This Row],[Cost per unit]]*data[[#This Row],[Units]]</f>
        <v>175.95000000000002</v>
      </c>
    </row>
    <row r="55" spans="3:10" x14ac:dyDescent="0.25">
      <c r="C55" t="s">
        <v>27</v>
      </c>
      <c r="D55" t="s">
        <v>9</v>
      </c>
      <c r="E55" t="s">
        <v>24</v>
      </c>
      <c r="F55" s="3">
        <v>2415</v>
      </c>
      <c r="G55" s="4">
        <v>255</v>
      </c>
      <c r="H55">
        <f>SUM(IF(COUNTIF(D$12:D55,D55)&lt;&gt;1,0,COUNTIF(D$12:D55,D55)),H54)</f>
        <v>6</v>
      </c>
      <c r="I55">
        <f>VLOOKUP($E55,product[],2,FALSE)</f>
        <v>11.7</v>
      </c>
      <c r="J55">
        <f>data[[#This Row],[Cost per unit]]*data[[#This Row],[Units]]</f>
        <v>2983.5</v>
      </c>
    </row>
    <row r="56" spans="3:10" x14ac:dyDescent="0.25">
      <c r="C56" t="s">
        <v>26</v>
      </c>
      <c r="D56" t="s">
        <v>6</v>
      </c>
      <c r="E56" t="s">
        <v>36</v>
      </c>
      <c r="F56" s="3">
        <v>238</v>
      </c>
      <c r="G56" s="4">
        <v>18</v>
      </c>
      <c r="H56">
        <f>SUM(IF(COUNTIF(D$12:D56,D56)&lt;&gt;1,0,COUNTIF(D$12:D56,D56)),H55)</f>
        <v>6</v>
      </c>
      <c r="I56">
        <f>VLOOKUP($E56,product[],2,FALSE)</f>
        <v>7.64</v>
      </c>
      <c r="J56">
        <f>data[[#This Row],[Cost per unit]]*data[[#This Row],[Units]]</f>
        <v>137.51999999999998</v>
      </c>
    </row>
    <row r="57" spans="3:10" x14ac:dyDescent="0.25">
      <c r="C57" t="s">
        <v>16</v>
      </c>
      <c r="D57" t="s">
        <v>6</v>
      </c>
      <c r="E57" t="s">
        <v>34</v>
      </c>
      <c r="F57" s="3">
        <v>4949</v>
      </c>
      <c r="G57" s="4">
        <v>189</v>
      </c>
      <c r="H57">
        <f>SUM(IF(COUNTIF(D$12:D57,D57)&lt;&gt;1,0,COUNTIF(D$12:D57,D57)),H56)</f>
        <v>6</v>
      </c>
      <c r="I57">
        <f>VLOOKUP($E57,product[],2,FALSE)</f>
        <v>6.49</v>
      </c>
      <c r="J57">
        <f>data[[#This Row],[Cost per unit]]*data[[#This Row],[Units]]</f>
        <v>1226.6100000000001</v>
      </c>
    </row>
    <row r="58" spans="3:10" x14ac:dyDescent="0.25">
      <c r="C58" t="s">
        <v>25</v>
      </c>
      <c r="D58" t="s">
        <v>20</v>
      </c>
      <c r="E58" t="s">
        <v>10</v>
      </c>
      <c r="F58" s="3">
        <v>5075</v>
      </c>
      <c r="G58" s="4">
        <v>21</v>
      </c>
      <c r="H58">
        <f>SUM(IF(COUNTIF(D$12:D58,D58)&lt;&gt;1,0,COUNTIF(D$12:D58,D58)),H57)</f>
        <v>6</v>
      </c>
      <c r="I58">
        <f>VLOOKUP($E58,product[],2,FALSE)</f>
        <v>8.65</v>
      </c>
      <c r="J58">
        <f>data[[#This Row],[Cost per unit]]*data[[#This Row],[Units]]</f>
        <v>181.65</v>
      </c>
    </row>
    <row r="59" spans="3:10" x14ac:dyDescent="0.25">
      <c r="C59" t="s">
        <v>27</v>
      </c>
      <c r="D59" t="s">
        <v>14</v>
      </c>
      <c r="E59" t="s">
        <v>29</v>
      </c>
      <c r="F59" s="3">
        <v>9198</v>
      </c>
      <c r="G59" s="4">
        <v>36</v>
      </c>
      <c r="H59">
        <f>SUM(IF(COUNTIF(D$12:D59,D59)&lt;&gt;1,0,COUNTIF(D$12:D59,D59)),H58)</f>
        <v>6</v>
      </c>
      <c r="I59">
        <f>VLOOKUP($E59,product[],2,FALSE)</f>
        <v>8.7899999999999991</v>
      </c>
      <c r="J59">
        <f>data[[#This Row],[Cost per unit]]*data[[#This Row],[Units]]</f>
        <v>316.43999999999994</v>
      </c>
    </row>
    <row r="60" spans="3:10" x14ac:dyDescent="0.25">
      <c r="C60" t="s">
        <v>16</v>
      </c>
      <c r="D60" t="s">
        <v>30</v>
      </c>
      <c r="E60" t="s">
        <v>32</v>
      </c>
      <c r="F60" s="3">
        <v>3339</v>
      </c>
      <c r="G60" s="4">
        <v>75</v>
      </c>
      <c r="H60">
        <f>SUM(IF(COUNTIF(D$12:D60,D60)&lt;&gt;1,0,COUNTIF(D$12:D60,D60)),H59)</f>
        <v>6</v>
      </c>
      <c r="I60">
        <f>VLOOKUP($E60,product[],2,FALSE)</f>
        <v>7.16</v>
      </c>
      <c r="J60">
        <f>data[[#This Row],[Cost per unit]]*data[[#This Row],[Units]]</f>
        <v>537</v>
      </c>
    </row>
    <row r="61" spans="3:10" x14ac:dyDescent="0.25">
      <c r="C61" t="s">
        <v>5</v>
      </c>
      <c r="D61" t="s">
        <v>30</v>
      </c>
      <c r="E61" t="s">
        <v>28</v>
      </c>
      <c r="F61" s="3">
        <v>5019</v>
      </c>
      <c r="G61" s="4">
        <v>156</v>
      </c>
      <c r="H61">
        <f>SUM(IF(COUNTIF(D$12:D61,D61)&lt;&gt;1,0,COUNTIF(D$12:D61,D61)),H60)</f>
        <v>6</v>
      </c>
      <c r="I61">
        <f>VLOOKUP($E61,product[],2,FALSE)</f>
        <v>3.11</v>
      </c>
      <c r="J61">
        <f>data[[#This Row],[Cost per unit]]*data[[#This Row],[Units]]</f>
        <v>485.15999999999997</v>
      </c>
    </row>
    <row r="62" spans="3:10" x14ac:dyDescent="0.25">
      <c r="C62" t="s">
        <v>25</v>
      </c>
      <c r="D62" t="s">
        <v>14</v>
      </c>
      <c r="E62" t="s">
        <v>29</v>
      </c>
      <c r="F62" s="3">
        <v>16184</v>
      </c>
      <c r="G62" s="4">
        <v>39</v>
      </c>
      <c r="H62">
        <f>SUM(IF(COUNTIF(D$12:D62,D62)&lt;&gt;1,0,COUNTIF(D$12:D62,D62)),H61)</f>
        <v>6</v>
      </c>
      <c r="I62">
        <f>VLOOKUP($E62,product[],2,FALSE)</f>
        <v>8.7899999999999991</v>
      </c>
      <c r="J62">
        <f>data[[#This Row],[Cost per unit]]*data[[#This Row],[Units]]</f>
        <v>342.80999999999995</v>
      </c>
    </row>
    <row r="63" spans="3:10" x14ac:dyDescent="0.25">
      <c r="C63" t="s">
        <v>16</v>
      </c>
      <c r="D63" t="s">
        <v>14</v>
      </c>
      <c r="E63" t="s">
        <v>41</v>
      </c>
      <c r="F63" s="3">
        <v>497</v>
      </c>
      <c r="G63" s="4">
        <v>63</v>
      </c>
      <c r="H63">
        <f>SUM(IF(COUNTIF(D$12:D63,D63)&lt;&gt;1,0,COUNTIF(D$12:D63,D63)),H62)</f>
        <v>6</v>
      </c>
      <c r="I63">
        <f>VLOOKUP($E63,product[],2,FALSE)</f>
        <v>9</v>
      </c>
      <c r="J63">
        <f>data[[#This Row],[Cost per unit]]*data[[#This Row],[Units]]</f>
        <v>567</v>
      </c>
    </row>
    <row r="64" spans="3:10" x14ac:dyDescent="0.25">
      <c r="C64" t="s">
        <v>26</v>
      </c>
      <c r="D64" t="s">
        <v>14</v>
      </c>
      <c r="E64" t="s">
        <v>32</v>
      </c>
      <c r="F64" s="3">
        <v>8211</v>
      </c>
      <c r="G64" s="4">
        <v>75</v>
      </c>
      <c r="H64">
        <f>SUM(IF(COUNTIF(D$12:D64,D64)&lt;&gt;1,0,COUNTIF(D$12:D64,D64)),H63)</f>
        <v>6</v>
      </c>
      <c r="I64">
        <f>VLOOKUP($E64,product[],2,FALSE)</f>
        <v>7.16</v>
      </c>
      <c r="J64">
        <f>data[[#This Row],[Cost per unit]]*data[[#This Row],[Units]]</f>
        <v>537</v>
      </c>
    </row>
    <row r="65" spans="3:10" x14ac:dyDescent="0.25">
      <c r="C65" t="s">
        <v>26</v>
      </c>
      <c r="D65" t="s">
        <v>20</v>
      </c>
      <c r="E65" t="s">
        <v>40</v>
      </c>
      <c r="F65" s="3">
        <v>6580</v>
      </c>
      <c r="G65" s="4">
        <v>183</v>
      </c>
      <c r="H65">
        <f>SUM(IF(COUNTIF(D$12:D65,D65)&lt;&gt;1,0,COUNTIF(D$12:D65,D65)),H64)</f>
        <v>6</v>
      </c>
      <c r="I65">
        <f>VLOOKUP($E65,product[],2,FALSE)</f>
        <v>10.38</v>
      </c>
      <c r="J65">
        <f>data[[#This Row],[Cost per unit]]*data[[#This Row],[Units]]</f>
        <v>1899.5400000000002</v>
      </c>
    </row>
    <row r="66" spans="3:10" x14ac:dyDescent="0.25">
      <c r="C66" t="s">
        <v>13</v>
      </c>
      <c r="D66" t="s">
        <v>9</v>
      </c>
      <c r="E66" t="s">
        <v>31</v>
      </c>
      <c r="F66" s="3">
        <v>4760</v>
      </c>
      <c r="G66" s="4">
        <v>69</v>
      </c>
      <c r="H66">
        <f>SUM(IF(COUNTIF(D$12:D66,D66)&lt;&gt;1,0,COUNTIF(D$12:D66,D66)),H65)</f>
        <v>6</v>
      </c>
      <c r="I66">
        <f>VLOOKUP($E66,product[],2,FALSE)</f>
        <v>9.33</v>
      </c>
      <c r="J66">
        <f>data[[#This Row],[Cost per unit]]*data[[#This Row],[Units]]</f>
        <v>643.77</v>
      </c>
    </row>
    <row r="67" spans="3:10" x14ac:dyDescent="0.25">
      <c r="C67" t="s">
        <v>5</v>
      </c>
      <c r="D67" t="s">
        <v>14</v>
      </c>
      <c r="E67" t="s">
        <v>18</v>
      </c>
      <c r="F67" s="3">
        <v>5439</v>
      </c>
      <c r="G67" s="4">
        <v>30</v>
      </c>
      <c r="H67">
        <f>SUM(IF(COUNTIF(D$12:D67,D67)&lt;&gt;1,0,COUNTIF(D$12:D67,D67)),H66)</f>
        <v>6</v>
      </c>
      <c r="I67">
        <f>VLOOKUP($E67,product[],2,FALSE)</f>
        <v>13.15</v>
      </c>
      <c r="J67">
        <f>data[[#This Row],[Cost per unit]]*data[[#This Row],[Units]]</f>
        <v>394.5</v>
      </c>
    </row>
    <row r="68" spans="3:10" x14ac:dyDescent="0.25">
      <c r="C68" t="s">
        <v>13</v>
      </c>
      <c r="D68" t="s">
        <v>30</v>
      </c>
      <c r="E68" t="s">
        <v>28</v>
      </c>
      <c r="F68" s="3">
        <v>1463</v>
      </c>
      <c r="G68" s="4">
        <v>39</v>
      </c>
      <c r="H68">
        <f>SUM(IF(COUNTIF(D$12:D68,D68)&lt;&gt;1,0,COUNTIF(D$12:D68,D68)),H67)</f>
        <v>6</v>
      </c>
      <c r="I68">
        <f>VLOOKUP($E68,product[],2,FALSE)</f>
        <v>3.11</v>
      </c>
      <c r="J68">
        <f>data[[#This Row],[Cost per unit]]*data[[#This Row],[Units]]</f>
        <v>121.28999999999999</v>
      </c>
    </row>
    <row r="69" spans="3:10" x14ac:dyDescent="0.25">
      <c r="C69" t="s">
        <v>27</v>
      </c>
      <c r="D69" t="s">
        <v>30</v>
      </c>
      <c r="E69" t="s">
        <v>10</v>
      </c>
      <c r="F69" s="3">
        <v>7777</v>
      </c>
      <c r="G69" s="4">
        <v>504</v>
      </c>
      <c r="H69">
        <f>SUM(IF(COUNTIF(D$12:D69,D69)&lt;&gt;1,0,COUNTIF(D$12:D69,D69)),H68)</f>
        <v>6</v>
      </c>
      <c r="I69">
        <f>VLOOKUP($E69,product[],2,FALSE)</f>
        <v>8.65</v>
      </c>
      <c r="J69">
        <f>data[[#This Row],[Cost per unit]]*data[[#This Row],[Units]]</f>
        <v>4359.6000000000004</v>
      </c>
    </row>
    <row r="70" spans="3:10" x14ac:dyDescent="0.25">
      <c r="C70" t="s">
        <v>11</v>
      </c>
      <c r="D70" t="s">
        <v>6</v>
      </c>
      <c r="E70" t="s">
        <v>32</v>
      </c>
      <c r="F70" s="3">
        <v>1085</v>
      </c>
      <c r="G70" s="4">
        <v>273</v>
      </c>
      <c r="H70">
        <f>SUM(IF(COUNTIF(D$12:D70,D70)&lt;&gt;1,0,COUNTIF(D$12:D70,D70)),H69)</f>
        <v>6</v>
      </c>
      <c r="I70">
        <f>VLOOKUP($E70,product[],2,FALSE)</f>
        <v>7.16</v>
      </c>
      <c r="J70">
        <f>data[[#This Row],[Cost per unit]]*data[[#This Row],[Units]]</f>
        <v>1954.68</v>
      </c>
    </row>
    <row r="71" spans="3:10" x14ac:dyDescent="0.25">
      <c r="C71" t="s">
        <v>25</v>
      </c>
      <c r="D71" t="s">
        <v>6</v>
      </c>
      <c r="E71" t="s">
        <v>21</v>
      </c>
      <c r="F71" s="3">
        <v>182</v>
      </c>
      <c r="G71" s="4">
        <v>48</v>
      </c>
      <c r="H71">
        <f>SUM(IF(COUNTIF(D$12:D71,D71)&lt;&gt;1,0,COUNTIF(D$12:D71,D71)),H70)</f>
        <v>6</v>
      </c>
      <c r="I71">
        <f>VLOOKUP($E71,product[],2,FALSE)</f>
        <v>5.79</v>
      </c>
      <c r="J71">
        <f>data[[#This Row],[Cost per unit]]*data[[#This Row],[Units]]</f>
        <v>277.92</v>
      </c>
    </row>
    <row r="72" spans="3:10" x14ac:dyDescent="0.25">
      <c r="C72" t="s">
        <v>16</v>
      </c>
      <c r="D72" t="s">
        <v>30</v>
      </c>
      <c r="E72" t="s">
        <v>39</v>
      </c>
      <c r="F72" s="3">
        <v>4242</v>
      </c>
      <c r="G72" s="4">
        <v>207</v>
      </c>
      <c r="H72">
        <f>SUM(IF(COUNTIF(D$12:D72,D72)&lt;&gt;1,0,COUNTIF(D$12:D72,D72)),H71)</f>
        <v>6</v>
      </c>
      <c r="I72">
        <f>VLOOKUP($E72,product[],2,FALSE)</f>
        <v>16.73</v>
      </c>
      <c r="J72">
        <f>data[[#This Row],[Cost per unit]]*data[[#This Row],[Units]]</f>
        <v>3463.11</v>
      </c>
    </row>
    <row r="73" spans="3:10" x14ac:dyDescent="0.25">
      <c r="C73" t="s">
        <v>16</v>
      </c>
      <c r="D73" t="s">
        <v>14</v>
      </c>
      <c r="E73" t="s">
        <v>10</v>
      </c>
      <c r="F73" s="3">
        <v>6118</v>
      </c>
      <c r="G73" s="4">
        <v>9</v>
      </c>
      <c r="H73">
        <f>SUM(IF(COUNTIF(D$12:D73,D73)&lt;&gt;1,0,COUNTIF(D$12:D73,D73)),H72)</f>
        <v>6</v>
      </c>
      <c r="I73">
        <f>VLOOKUP($E73,product[],2,FALSE)</f>
        <v>8.65</v>
      </c>
      <c r="J73">
        <f>data[[#This Row],[Cost per unit]]*data[[#This Row],[Units]]</f>
        <v>77.850000000000009</v>
      </c>
    </row>
    <row r="74" spans="3:10" x14ac:dyDescent="0.25">
      <c r="C74" t="s">
        <v>35</v>
      </c>
      <c r="D74" t="s">
        <v>14</v>
      </c>
      <c r="E74" t="s">
        <v>34</v>
      </c>
      <c r="F74" s="3">
        <v>2317</v>
      </c>
      <c r="G74" s="4">
        <v>261</v>
      </c>
      <c r="H74">
        <f>SUM(IF(COUNTIF(D$12:D74,D74)&lt;&gt;1,0,COUNTIF(D$12:D74,D74)),H73)</f>
        <v>6</v>
      </c>
      <c r="I74">
        <f>VLOOKUP($E74,product[],2,FALSE)</f>
        <v>6.49</v>
      </c>
      <c r="J74">
        <f>data[[#This Row],[Cost per unit]]*data[[#This Row],[Units]]</f>
        <v>1693.89</v>
      </c>
    </row>
    <row r="75" spans="3:10" x14ac:dyDescent="0.25">
      <c r="C75" t="s">
        <v>16</v>
      </c>
      <c r="D75" t="s">
        <v>20</v>
      </c>
      <c r="E75" t="s">
        <v>29</v>
      </c>
      <c r="F75" s="3">
        <v>938</v>
      </c>
      <c r="G75" s="4">
        <v>6</v>
      </c>
      <c r="H75">
        <f>SUM(IF(COUNTIF(D$12:D75,D75)&lt;&gt;1,0,COUNTIF(D$12:D75,D75)),H74)</f>
        <v>6</v>
      </c>
      <c r="I75">
        <f>VLOOKUP($E75,product[],2,FALSE)</f>
        <v>8.7899999999999991</v>
      </c>
      <c r="J75">
        <f>data[[#This Row],[Cost per unit]]*data[[#This Row],[Units]]</f>
        <v>52.739999999999995</v>
      </c>
    </row>
    <row r="76" spans="3:10" x14ac:dyDescent="0.25">
      <c r="C76" t="s">
        <v>8</v>
      </c>
      <c r="D76" t="s">
        <v>6</v>
      </c>
      <c r="E76" t="s">
        <v>37</v>
      </c>
      <c r="F76" s="3">
        <v>9709</v>
      </c>
      <c r="G76" s="4">
        <v>30</v>
      </c>
      <c r="H76">
        <f>SUM(IF(COUNTIF(D$12:D76,D76)&lt;&gt;1,0,COUNTIF(D$12:D76,D76)),H75)</f>
        <v>6</v>
      </c>
      <c r="I76">
        <f>VLOOKUP($E76,product[],2,FALSE)</f>
        <v>11.73</v>
      </c>
      <c r="J76">
        <f>data[[#This Row],[Cost per unit]]*data[[#This Row],[Units]]</f>
        <v>351.90000000000003</v>
      </c>
    </row>
    <row r="77" spans="3:10" x14ac:dyDescent="0.25">
      <c r="C77" t="s">
        <v>23</v>
      </c>
      <c r="D77" t="s">
        <v>30</v>
      </c>
      <c r="E77" t="s">
        <v>33</v>
      </c>
      <c r="F77" s="3">
        <v>2205</v>
      </c>
      <c r="G77" s="4">
        <v>138</v>
      </c>
      <c r="H77">
        <f>SUM(IF(COUNTIF(D$12:D77,D77)&lt;&gt;1,0,COUNTIF(D$12:D77,D77)),H76)</f>
        <v>6</v>
      </c>
      <c r="I77">
        <f>VLOOKUP($E77,product[],2,FALSE)</f>
        <v>10.62</v>
      </c>
      <c r="J77">
        <f>data[[#This Row],[Cost per unit]]*data[[#This Row],[Units]]</f>
        <v>1465.56</v>
      </c>
    </row>
    <row r="78" spans="3:10" x14ac:dyDescent="0.25">
      <c r="C78" t="s">
        <v>23</v>
      </c>
      <c r="D78" t="s">
        <v>6</v>
      </c>
      <c r="E78" t="s">
        <v>28</v>
      </c>
      <c r="F78" s="3">
        <v>4487</v>
      </c>
      <c r="G78" s="4">
        <v>111</v>
      </c>
      <c r="H78">
        <f>SUM(IF(COUNTIF(D$12:D78,D78)&lt;&gt;1,0,COUNTIF(D$12:D78,D78)),H77)</f>
        <v>6</v>
      </c>
      <c r="I78">
        <f>VLOOKUP($E78,product[],2,FALSE)</f>
        <v>3.11</v>
      </c>
      <c r="J78">
        <f>data[[#This Row],[Cost per unit]]*data[[#This Row],[Units]]</f>
        <v>345.21</v>
      </c>
    </row>
    <row r="79" spans="3:10" x14ac:dyDescent="0.25">
      <c r="C79" t="s">
        <v>25</v>
      </c>
      <c r="D79" t="s">
        <v>9</v>
      </c>
      <c r="E79" t="s">
        <v>15</v>
      </c>
      <c r="F79" s="3">
        <v>2415</v>
      </c>
      <c r="G79" s="4">
        <v>15</v>
      </c>
      <c r="H79">
        <f>SUM(IF(COUNTIF(D$12:D79,D79)&lt;&gt;1,0,COUNTIF(D$12:D79,D79)),H78)</f>
        <v>6</v>
      </c>
      <c r="I79">
        <f>VLOOKUP($E79,product[],2,FALSE)</f>
        <v>6.47</v>
      </c>
      <c r="J79">
        <f>data[[#This Row],[Cost per unit]]*data[[#This Row],[Units]]</f>
        <v>97.05</v>
      </c>
    </row>
    <row r="80" spans="3:10" x14ac:dyDescent="0.25">
      <c r="C80" t="s">
        <v>5</v>
      </c>
      <c r="D80" t="s">
        <v>30</v>
      </c>
      <c r="E80" t="s">
        <v>36</v>
      </c>
      <c r="F80" s="3">
        <v>4018</v>
      </c>
      <c r="G80" s="4">
        <v>162</v>
      </c>
      <c r="H80">
        <f>SUM(IF(COUNTIF(D$12:D80,D80)&lt;&gt;1,0,COUNTIF(D$12:D80,D80)),H79)</f>
        <v>6</v>
      </c>
      <c r="I80">
        <f>VLOOKUP($E80,product[],2,FALSE)</f>
        <v>7.64</v>
      </c>
      <c r="J80">
        <f>data[[#This Row],[Cost per unit]]*data[[#This Row],[Units]]</f>
        <v>1237.6799999999998</v>
      </c>
    </row>
    <row r="81" spans="3:10" x14ac:dyDescent="0.25">
      <c r="C81" t="s">
        <v>25</v>
      </c>
      <c r="D81" t="s">
        <v>30</v>
      </c>
      <c r="E81" t="s">
        <v>36</v>
      </c>
      <c r="F81" s="3">
        <v>861</v>
      </c>
      <c r="G81" s="4">
        <v>195</v>
      </c>
      <c r="H81">
        <f>SUM(IF(COUNTIF(D$12:D81,D81)&lt;&gt;1,0,COUNTIF(D$12:D81,D81)),H80)</f>
        <v>6</v>
      </c>
      <c r="I81">
        <f>VLOOKUP($E81,product[],2,FALSE)</f>
        <v>7.64</v>
      </c>
      <c r="J81">
        <f>data[[#This Row],[Cost per unit]]*data[[#This Row],[Units]]</f>
        <v>1489.8</v>
      </c>
    </row>
    <row r="82" spans="3:10" x14ac:dyDescent="0.25">
      <c r="C82" t="s">
        <v>35</v>
      </c>
      <c r="D82" t="s">
        <v>20</v>
      </c>
      <c r="E82" t="s">
        <v>24</v>
      </c>
      <c r="F82" s="3">
        <v>5586</v>
      </c>
      <c r="G82" s="4">
        <v>525</v>
      </c>
      <c r="H82">
        <f>SUM(IF(COUNTIF(D$12:D82,D82)&lt;&gt;1,0,COUNTIF(D$12:D82,D82)),H81)</f>
        <v>6</v>
      </c>
      <c r="I82">
        <f>VLOOKUP($E82,product[],2,FALSE)</f>
        <v>11.7</v>
      </c>
      <c r="J82">
        <f>data[[#This Row],[Cost per unit]]*data[[#This Row],[Units]]</f>
        <v>6142.5</v>
      </c>
    </row>
    <row r="83" spans="3:10" x14ac:dyDescent="0.25">
      <c r="C83" t="s">
        <v>23</v>
      </c>
      <c r="D83" t="s">
        <v>30</v>
      </c>
      <c r="E83" t="s">
        <v>19</v>
      </c>
      <c r="F83" s="3">
        <v>2226</v>
      </c>
      <c r="G83" s="4">
        <v>48</v>
      </c>
      <c r="H83">
        <f>SUM(IF(COUNTIF(D$12:D83,D83)&lt;&gt;1,0,COUNTIF(D$12:D83,D83)),H82)</f>
        <v>6</v>
      </c>
      <c r="I83">
        <f>VLOOKUP($E83,product[],2,FALSE)</f>
        <v>12.37</v>
      </c>
      <c r="J83">
        <f>data[[#This Row],[Cost per unit]]*data[[#This Row],[Units]]</f>
        <v>593.76</v>
      </c>
    </row>
    <row r="84" spans="3:10" x14ac:dyDescent="0.25">
      <c r="C84" t="s">
        <v>11</v>
      </c>
      <c r="D84" t="s">
        <v>30</v>
      </c>
      <c r="E84" t="s">
        <v>40</v>
      </c>
      <c r="F84" s="3">
        <v>14329</v>
      </c>
      <c r="G84" s="4">
        <v>150</v>
      </c>
      <c r="H84">
        <f>SUM(IF(COUNTIF(D$12:D84,D84)&lt;&gt;1,0,COUNTIF(D$12:D84,D84)),H83)</f>
        <v>6</v>
      </c>
      <c r="I84">
        <f>VLOOKUP($E84,product[],2,FALSE)</f>
        <v>10.38</v>
      </c>
      <c r="J84">
        <f>data[[#This Row],[Cost per unit]]*data[[#This Row],[Units]]</f>
        <v>1557.0000000000002</v>
      </c>
    </row>
    <row r="85" spans="3:10" x14ac:dyDescent="0.25">
      <c r="C85" t="s">
        <v>11</v>
      </c>
      <c r="D85" t="s">
        <v>30</v>
      </c>
      <c r="E85" t="s">
        <v>33</v>
      </c>
      <c r="F85" s="3">
        <v>8463</v>
      </c>
      <c r="G85" s="4">
        <v>492</v>
      </c>
      <c r="H85">
        <f>SUM(IF(COUNTIF(D$12:D85,D85)&lt;&gt;1,0,COUNTIF(D$12:D85,D85)),H84)</f>
        <v>6</v>
      </c>
      <c r="I85">
        <f>VLOOKUP($E85,product[],2,FALSE)</f>
        <v>10.62</v>
      </c>
      <c r="J85">
        <f>data[[#This Row],[Cost per unit]]*data[[#This Row],[Units]]</f>
        <v>5225.04</v>
      </c>
    </row>
    <row r="86" spans="3:10" x14ac:dyDescent="0.25">
      <c r="C86" t="s">
        <v>25</v>
      </c>
      <c r="D86" t="s">
        <v>30</v>
      </c>
      <c r="E86" t="s">
        <v>32</v>
      </c>
      <c r="F86" s="3">
        <v>2891</v>
      </c>
      <c r="G86" s="4">
        <v>102</v>
      </c>
      <c r="H86">
        <f>SUM(IF(COUNTIF(D$12:D86,D86)&lt;&gt;1,0,COUNTIF(D$12:D86,D86)),H85)</f>
        <v>6</v>
      </c>
      <c r="I86">
        <f>VLOOKUP($E86,product[],2,FALSE)</f>
        <v>7.16</v>
      </c>
      <c r="J86">
        <f>data[[#This Row],[Cost per unit]]*data[[#This Row],[Units]]</f>
        <v>730.32</v>
      </c>
    </row>
    <row r="87" spans="3:10" x14ac:dyDescent="0.25">
      <c r="C87" t="s">
        <v>27</v>
      </c>
      <c r="D87" t="s">
        <v>14</v>
      </c>
      <c r="E87" t="s">
        <v>34</v>
      </c>
      <c r="F87" s="3">
        <v>3773</v>
      </c>
      <c r="G87" s="4">
        <v>165</v>
      </c>
      <c r="H87">
        <f>SUM(IF(COUNTIF(D$12:D87,D87)&lt;&gt;1,0,COUNTIF(D$12:D87,D87)),H86)</f>
        <v>6</v>
      </c>
      <c r="I87">
        <f>VLOOKUP($E87,product[],2,FALSE)</f>
        <v>6.49</v>
      </c>
      <c r="J87">
        <f>data[[#This Row],[Cost per unit]]*data[[#This Row],[Units]]</f>
        <v>1070.8500000000001</v>
      </c>
    </row>
    <row r="88" spans="3:10" x14ac:dyDescent="0.25">
      <c r="C88" t="s">
        <v>13</v>
      </c>
      <c r="D88" t="s">
        <v>14</v>
      </c>
      <c r="E88" t="s">
        <v>40</v>
      </c>
      <c r="F88" s="3">
        <v>854</v>
      </c>
      <c r="G88" s="4">
        <v>309</v>
      </c>
      <c r="H88">
        <f>SUM(IF(COUNTIF(D$12:D88,D88)&lt;&gt;1,0,COUNTIF(D$12:D88,D88)),H87)</f>
        <v>6</v>
      </c>
      <c r="I88">
        <f>VLOOKUP($E88,product[],2,FALSE)</f>
        <v>10.38</v>
      </c>
      <c r="J88">
        <f>data[[#This Row],[Cost per unit]]*data[[#This Row],[Units]]</f>
        <v>3207.42</v>
      </c>
    </row>
    <row r="89" spans="3:10" x14ac:dyDescent="0.25">
      <c r="C89" t="s">
        <v>16</v>
      </c>
      <c r="D89" t="s">
        <v>14</v>
      </c>
      <c r="E89" t="s">
        <v>28</v>
      </c>
      <c r="F89" s="3">
        <v>4970</v>
      </c>
      <c r="G89" s="4">
        <v>156</v>
      </c>
      <c r="H89">
        <f>SUM(IF(COUNTIF(D$12:D89,D89)&lt;&gt;1,0,COUNTIF(D$12:D89,D89)),H88)</f>
        <v>6</v>
      </c>
      <c r="I89">
        <f>VLOOKUP($E89,product[],2,FALSE)</f>
        <v>3.11</v>
      </c>
      <c r="J89">
        <f>data[[#This Row],[Cost per unit]]*data[[#This Row],[Units]]</f>
        <v>485.15999999999997</v>
      </c>
    </row>
    <row r="90" spans="3:10" x14ac:dyDescent="0.25">
      <c r="C90" t="s">
        <v>11</v>
      </c>
      <c r="D90" t="s">
        <v>9</v>
      </c>
      <c r="E90" t="s">
        <v>42</v>
      </c>
      <c r="F90" s="3">
        <v>98</v>
      </c>
      <c r="G90" s="4">
        <v>159</v>
      </c>
      <c r="H90">
        <f>SUM(IF(COUNTIF(D$12:D90,D90)&lt;&gt;1,0,COUNTIF(D$12:D90,D90)),H89)</f>
        <v>6</v>
      </c>
      <c r="I90">
        <f>VLOOKUP($E90,product[],2,FALSE)</f>
        <v>5.6</v>
      </c>
      <c r="J90">
        <f>data[[#This Row],[Cost per unit]]*data[[#This Row],[Units]]</f>
        <v>890.4</v>
      </c>
    </row>
    <row r="91" spans="3:10" x14ac:dyDescent="0.25">
      <c r="C91" t="s">
        <v>25</v>
      </c>
      <c r="D91" t="s">
        <v>9</v>
      </c>
      <c r="E91" t="s">
        <v>37</v>
      </c>
      <c r="F91" s="3">
        <v>13391</v>
      </c>
      <c r="G91" s="4">
        <v>201</v>
      </c>
      <c r="H91">
        <f>SUM(IF(COUNTIF(D$12:D91,D91)&lt;&gt;1,0,COUNTIF(D$12:D91,D91)),H90)</f>
        <v>6</v>
      </c>
      <c r="I91">
        <f>VLOOKUP($E91,product[],2,FALSE)</f>
        <v>11.73</v>
      </c>
      <c r="J91">
        <f>data[[#This Row],[Cost per unit]]*data[[#This Row],[Units]]</f>
        <v>2357.73</v>
      </c>
    </row>
    <row r="92" spans="3:10" x14ac:dyDescent="0.25">
      <c r="C92" t="s">
        <v>8</v>
      </c>
      <c r="D92" t="s">
        <v>17</v>
      </c>
      <c r="E92" t="s">
        <v>21</v>
      </c>
      <c r="F92" s="3">
        <v>8890</v>
      </c>
      <c r="G92" s="4">
        <v>210</v>
      </c>
      <c r="H92">
        <f>SUM(IF(COUNTIF(D$12:D92,D92)&lt;&gt;1,0,COUNTIF(D$12:D92,D92)),H91)</f>
        <v>6</v>
      </c>
      <c r="I92">
        <f>VLOOKUP($E92,product[],2,FALSE)</f>
        <v>5.79</v>
      </c>
      <c r="J92">
        <f>data[[#This Row],[Cost per unit]]*data[[#This Row],[Units]]</f>
        <v>1215.9000000000001</v>
      </c>
    </row>
    <row r="93" spans="3:10" x14ac:dyDescent="0.25">
      <c r="C93" t="s">
        <v>26</v>
      </c>
      <c r="D93" t="s">
        <v>20</v>
      </c>
      <c r="E93" t="s">
        <v>31</v>
      </c>
      <c r="F93" s="3">
        <v>56</v>
      </c>
      <c r="G93" s="4">
        <v>51</v>
      </c>
      <c r="H93">
        <f>SUM(IF(COUNTIF(D$12:D93,D93)&lt;&gt;1,0,COUNTIF(D$12:D93,D93)),H92)</f>
        <v>6</v>
      </c>
      <c r="I93">
        <f>VLOOKUP($E93,product[],2,FALSE)</f>
        <v>9.33</v>
      </c>
      <c r="J93">
        <f>data[[#This Row],[Cost per unit]]*data[[#This Row],[Units]]</f>
        <v>475.83</v>
      </c>
    </row>
    <row r="94" spans="3:10" x14ac:dyDescent="0.25">
      <c r="C94" t="s">
        <v>27</v>
      </c>
      <c r="D94" t="s">
        <v>14</v>
      </c>
      <c r="E94" t="s">
        <v>18</v>
      </c>
      <c r="F94" s="3">
        <v>3339</v>
      </c>
      <c r="G94" s="4">
        <v>39</v>
      </c>
      <c r="H94">
        <f>SUM(IF(COUNTIF(D$12:D94,D94)&lt;&gt;1,0,COUNTIF(D$12:D94,D94)),H93)</f>
        <v>6</v>
      </c>
      <c r="I94">
        <f>VLOOKUP($E94,product[],2,FALSE)</f>
        <v>13.15</v>
      </c>
      <c r="J94">
        <f>data[[#This Row],[Cost per unit]]*data[[#This Row],[Units]]</f>
        <v>512.85</v>
      </c>
    </row>
    <row r="95" spans="3:10" x14ac:dyDescent="0.25">
      <c r="C95" t="s">
        <v>35</v>
      </c>
      <c r="D95" t="s">
        <v>9</v>
      </c>
      <c r="E95" t="s">
        <v>15</v>
      </c>
      <c r="F95" s="3">
        <v>3808</v>
      </c>
      <c r="G95" s="4">
        <v>279</v>
      </c>
      <c r="H95">
        <f>SUM(IF(COUNTIF(D$12:D95,D95)&lt;&gt;1,0,COUNTIF(D$12:D95,D95)),H94)</f>
        <v>6</v>
      </c>
      <c r="I95">
        <f>VLOOKUP($E95,product[],2,FALSE)</f>
        <v>6.47</v>
      </c>
      <c r="J95">
        <f>data[[#This Row],[Cost per unit]]*data[[#This Row],[Units]]</f>
        <v>1805.1299999999999</v>
      </c>
    </row>
    <row r="96" spans="3:10" x14ac:dyDescent="0.25">
      <c r="C96" t="s">
        <v>35</v>
      </c>
      <c r="D96" t="s">
        <v>20</v>
      </c>
      <c r="E96" t="s">
        <v>31</v>
      </c>
      <c r="F96" s="3">
        <v>63</v>
      </c>
      <c r="G96" s="4">
        <v>123</v>
      </c>
      <c r="H96">
        <f>SUM(IF(COUNTIF(D$12:D96,D96)&lt;&gt;1,0,COUNTIF(D$12:D96,D96)),H95)</f>
        <v>6</v>
      </c>
      <c r="I96">
        <f>VLOOKUP($E96,product[],2,FALSE)</f>
        <v>9.33</v>
      </c>
      <c r="J96">
        <f>data[[#This Row],[Cost per unit]]*data[[#This Row],[Units]]</f>
        <v>1147.5899999999999</v>
      </c>
    </row>
    <row r="97" spans="3:10" x14ac:dyDescent="0.25">
      <c r="C97" t="s">
        <v>26</v>
      </c>
      <c r="D97" t="s">
        <v>17</v>
      </c>
      <c r="E97" t="s">
        <v>39</v>
      </c>
      <c r="F97" s="3">
        <v>7812</v>
      </c>
      <c r="G97" s="4">
        <v>81</v>
      </c>
      <c r="H97">
        <f>SUM(IF(COUNTIF(D$12:D97,D97)&lt;&gt;1,0,COUNTIF(D$12:D97,D97)),H96)</f>
        <v>6</v>
      </c>
      <c r="I97">
        <f>VLOOKUP($E97,product[],2,FALSE)</f>
        <v>16.73</v>
      </c>
      <c r="J97">
        <f>data[[#This Row],[Cost per unit]]*data[[#This Row],[Units]]</f>
        <v>1355.13</v>
      </c>
    </row>
    <row r="98" spans="3:10" x14ac:dyDescent="0.25">
      <c r="C98" t="s">
        <v>5</v>
      </c>
      <c r="D98" t="s">
        <v>6</v>
      </c>
      <c r="E98" t="s">
        <v>36</v>
      </c>
      <c r="F98" s="3">
        <v>7693</v>
      </c>
      <c r="G98" s="4">
        <v>21</v>
      </c>
      <c r="H98">
        <f>SUM(IF(COUNTIF(D$12:D98,D98)&lt;&gt;1,0,COUNTIF(D$12:D98,D98)),H97)</f>
        <v>6</v>
      </c>
      <c r="I98">
        <f>VLOOKUP($E98,product[],2,FALSE)</f>
        <v>7.64</v>
      </c>
      <c r="J98">
        <f>data[[#This Row],[Cost per unit]]*data[[#This Row],[Units]]</f>
        <v>160.44</v>
      </c>
    </row>
    <row r="99" spans="3:10" x14ac:dyDescent="0.25">
      <c r="C99" t="s">
        <v>27</v>
      </c>
      <c r="D99" t="s">
        <v>14</v>
      </c>
      <c r="E99" t="s">
        <v>40</v>
      </c>
      <c r="F99" s="3">
        <v>973</v>
      </c>
      <c r="G99" s="4">
        <v>162</v>
      </c>
      <c r="H99">
        <f>SUM(IF(COUNTIF(D$12:D99,D99)&lt;&gt;1,0,COUNTIF(D$12:D99,D99)),H98)</f>
        <v>6</v>
      </c>
      <c r="I99">
        <f>VLOOKUP($E99,product[],2,FALSE)</f>
        <v>10.38</v>
      </c>
      <c r="J99">
        <f>data[[#This Row],[Cost per unit]]*data[[#This Row],[Units]]</f>
        <v>1681.5600000000002</v>
      </c>
    </row>
    <row r="100" spans="3:10" x14ac:dyDescent="0.25">
      <c r="C100" t="s">
        <v>35</v>
      </c>
      <c r="D100" t="s">
        <v>9</v>
      </c>
      <c r="E100" t="s">
        <v>41</v>
      </c>
      <c r="F100" s="3">
        <v>567</v>
      </c>
      <c r="G100" s="4">
        <v>228</v>
      </c>
      <c r="H100">
        <f>SUM(IF(COUNTIF(D$12:D100,D100)&lt;&gt;1,0,COUNTIF(D$12:D100,D100)),H99)</f>
        <v>6</v>
      </c>
      <c r="I100">
        <f>VLOOKUP($E100,product[],2,FALSE)</f>
        <v>9</v>
      </c>
      <c r="J100">
        <f>data[[#This Row],[Cost per unit]]*data[[#This Row],[Units]]</f>
        <v>2052</v>
      </c>
    </row>
    <row r="101" spans="3:10" x14ac:dyDescent="0.25">
      <c r="C101" t="s">
        <v>35</v>
      </c>
      <c r="D101" t="s">
        <v>14</v>
      </c>
      <c r="E101" t="s">
        <v>32</v>
      </c>
      <c r="F101" s="3">
        <v>2471</v>
      </c>
      <c r="G101" s="4">
        <v>342</v>
      </c>
      <c r="H101">
        <f>SUM(IF(COUNTIF(D$12:D101,D101)&lt;&gt;1,0,COUNTIF(D$12:D101,D101)),H100)</f>
        <v>6</v>
      </c>
      <c r="I101">
        <f>VLOOKUP($E101,product[],2,FALSE)</f>
        <v>7.16</v>
      </c>
      <c r="J101">
        <f>data[[#This Row],[Cost per unit]]*data[[#This Row],[Units]]</f>
        <v>2448.7200000000003</v>
      </c>
    </row>
    <row r="102" spans="3:10" x14ac:dyDescent="0.25">
      <c r="C102" t="s">
        <v>25</v>
      </c>
      <c r="D102" t="s">
        <v>20</v>
      </c>
      <c r="E102" t="s">
        <v>31</v>
      </c>
      <c r="F102" s="3">
        <v>7189</v>
      </c>
      <c r="G102" s="4">
        <v>54</v>
      </c>
      <c r="H102">
        <f>SUM(IF(COUNTIF(D$12:D102,D102)&lt;&gt;1,0,COUNTIF(D$12:D102,D102)),H101)</f>
        <v>6</v>
      </c>
      <c r="I102">
        <f>VLOOKUP($E102,product[],2,FALSE)</f>
        <v>9.33</v>
      </c>
      <c r="J102">
        <f>data[[#This Row],[Cost per unit]]*data[[#This Row],[Units]]</f>
        <v>503.82</v>
      </c>
    </row>
    <row r="103" spans="3:10" x14ac:dyDescent="0.25">
      <c r="C103" t="s">
        <v>13</v>
      </c>
      <c r="D103" t="s">
        <v>9</v>
      </c>
      <c r="E103" t="s">
        <v>40</v>
      </c>
      <c r="F103" s="3">
        <v>7455</v>
      </c>
      <c r="G103" s="4">
        <v>216</v>
      </c>
      <c r="H103">
        <f>SUM(IF(COUNTIF(D$12:D103,D103)&lt;&gt;1,0,COUNTIF(D$12:D103,D103)),H102)</f>
        <v>6</v>
      </c>
      <c r="I103">
        <f>VLOOKUP($E103,product[],2,FALSE)</f>
        <v>10.38</v>
      </c>
      <c r="J103">
        <f>data[[#This Row],[Cost per unit]]*data[[#This Row],[Units]]</f>
        <v>2242.0800000000004</v>
      </c>
    </row>
    <row r="104" spans="3:10" x14ac:dyDescent="0.25">
      <c r="C104" t="s">
        <v>27</v>
      </c>
      <c r="D104" t="s">
        <v>30</v>
      </c>
      <c r="E104" t="s">
        <v>42</v>
      </c>
      <c r="F104" s="3">
        <v>3108</v>
      </c>
      <c r="G104" s="4">
        <v>54</v>
      </c>
      <c r="H104">
        <f>SUM(IF(COUNTIF(D$12:D104,D104)&lt;&gt;1,0,COUNTIF(D$12:D104,D104)),H103)</f>
        <v>6</v>
      </c>
      <c r="I104">
        <f>VLOOKUP($E104,product[],2,FALSE)</f>
        <v>5.6</v>
      </c>
      <c r="J104">
        <f>data[[#This Row],[Cost per unit]]*data[[#This Row],[Units]]</f>
        <v>302.39999999999998</v>
      </c>
    </row>
    <row r="105" spans="3:10" x14ac:dyDescent="0.25">
      <c r="C105" t="s">
        <v>16</v>
      </c>
      <c r="D105" t="s">
        <v>20</v>
      </c>
      <c r="E105" t="s">
        <v>18</v>
      </c>
      <c r="F105" s="3">
        <v>469</v>
      </c>
      <c r="G105" s="4">
        <v>75</v>
      </c>
      <c r="H105">
        <f>SUM(IF(COUNTIF(D$12:D105,D105)&lt;&gt;1,0,COUNTIF(D$12:D105,D105)),H104)</f>
        <v>6</v>
      </c>
      <c r="I105">
        <f>VLOOKUP($E105,product[],2,FALSE)</f>
        <v>13.15</v>
      </c>
      <c r="J105">
        <f>data[[#This Row],[Cost per unit]]*data[[#This Row],[Units]]</f>
        <v>986.25</v>
      </c>
    </row>
    <row r="106" spans="3:10" x14ac:dyDescent="0.25">
      <c r="C106" t="s">
        <v>11</v>
      </c>
      <c r="D106" t="s">
        <v>6</v>
      </c>
      <c r="E106" t="s">
        <v>34</v>
      </c>
      <c r="F106" s="3">
        <v>2737</v>
      </c>
      <c r="G106" s="4">
        <v>93</v>
      </c>
      <c r="H106">
        <f>SUM(IF(COUNTIF(D$12:D106,D106)&lt;&gt;1,0,COUNTIF(D$12:D106,D106)),H105)</f>
        <v>6</v>
      </c>
      <c r="I106">
        <f>VLOOKUP($E106,product[],2,FALSE)</f>
        <v>6.49</v>
      </c>
      <c r="J106">
        <f>data[[#This Row],[Cost per unit]]*data[[#This Row],[Units]]</f>
        <v>603.57000000000005</v>
      </c>
    </row>
    <row r="107" spans="3:10" x14ac:dyDescent="0.25">
      <c r="C107" t="s">
        <v>11</v>
      </c>
      <c r="D107" t="s">
        <v>6</v>
      </c>
      <c r="E107" t="s">
        <v>18</v>
      </c>
      <c r="F107" s="3">
        <v>4305</v>
      </c>
      <c r="G107" s="4">
        <v>156</v>
      </c>
      <c r="H107">
        <f>SUM(IF(COUNTIF(D$12:D107,D107)&lt;&gt;1,0,COUNTIF(D$12:D107,D107)),H106)</f>
        <v>6</v>
      </c>
      <c r="I107">
        <f>VLOOKUP($E107,product[],2,FALSE)</f>
        <v>13.15</v>
      </c>
      <c r="J107">
        <f>data[[#This Row],[Cost per unit]]*data[[#This Row],[Units]]</f>
        <v>2051.4</v>
      </c>
    </row>
    <row r="108" spans="3:10" x14ac:dyDescent="0.25">
      <c r="C108" t="s">
        <v>11</v>
      </c>
      <c r="D108" t="s">
        <v>20</v>
      </c>
      <c r="E108" t="s">
        <v>28</v>
      </c>
      <c r="F108" s="3">
        <v>2408</v>
      </c>
      <c r="G108" s="4">
        <v>9</v>
      </c>
      <c r="H108">
        <f>SUM(IF(COUNTIF(D$12:D108,D108)&lt;&gt;1,0,COUNTIF(D$12:D108,D108)),H107)</f>
        <v>6</v>
      </c>
      <c r="I108">
        <f>VLOOKUP($E108,product[],2,FALSE)</f>
        <v>3.11</v>
      </c>
      <c r="J108">
        <f>data[[#This Row],[Cost per unit]]*data[[#This Row],[Units]]</f>
        <v>27.99</v>
      </c>
    </row>
    <row r="109" spans="3:10" x14ac:dyDescent="0.25">
      <c r="C109" t="s">
        <v>27</v>
      </c>
      <c r="D109" t="s">
        <v>14</v>
      </c>
      <c r="E109" t="s">
        <v>36</v>
      </c>
      <c r="F109" s="3">
        <v>1281</v>
      </c>
      <c r="G109" s="4">
        <v>18</v>
      </c>
      <c r="H109">
        <f>SUM(IF(COUNTIF(D$12:D109,D109)&lt;&gt;1,0,COUNTIF(D$12:D109,D109)),H108)</f>
        <v>6</v>
      </c>
      <c r="I109">
        <f>VLOOKUP($E109,product[],2,FALSE)</f>
        <v>7.64</v>
      </c>
      <c r="J109">
        <f>data[[#This Row],[Cost per unit]]*data[[#This Row],[Units]]</f>
        <v>137.51999999999998</v>
      </c>
    </row>
    <row r="110" spans="3:10" x14ac:dyDescent="0.25">
      <c r="C110" t="s">
        <v>5</v>
      </c>
      <c r="D110" t="s">
        <v>9</v>
      </c>
      <c r="E110" t="s">
        <v>10</v>
      </c>
      <c r="F110" s="3">
        <v>12348</v>
      </c>
      <c r="G110" s="4">
        <v>234</v>
      </c>
      <c r="H110">
        <f>SUM(IF(COUNTIF(D$12:D110,D110)&lt;&gt;1,0,COUNTIF(D$12:D110,D110)),H109)</f>
        <v>6</v>
      </c>
      <c r="I110">
        <f>VLOOKUP($E110,product[],2,FALSE)</f>
        <v>8.65</v>
      </c>
      <c r="J110">
        <f>data[[#This Row],[Cost per unit]]*data[[#This Row],[Units]]</f>
        <v>2024.1000000000001</v>
      </c>
    </row>
    <row r="111" spans="3:10" x14ac:dyDescent="0.25">
      <c r="C111" t="s">
        <v>27</v>
      </c>
      <c r="D111" t="s">
        <v>30</v>
      </c>
      <c r="E111" t="s">
        <v>40</v>
      </c>
      <c r="F111" s="3">
        <v>3689</v>
      </c>
      <c r="G111" s="4">
        <v>312</v>
      </c>
      <c r="H111">
        <f>SUM(IF(COUNTIF(D$12:D111,D111)&lt;&gt;1,0,COUNTIF(D$12:D111,D111)),H110)</f>
        <v>6</v>
      </c>
      <c r="I111">
        <f>VLOOKUP($E111,product[],2,FALSE)</f>
        <v>10.38</v>
      </c>
      <c r="J111">
        <f>data[[#This Row],[Cost per unit]]*data[[#This Row],[Units]]</f>
        <v>3238.5600000000004</v>
      </c>
    </row>
    <row r="112" spans="3:10" x14ac:dyDescent="0.25">
      <c r="C112" t="s">
        <v>23</v>
      </c>
      <c r="D112" t="s">
        <v>14</v>
      </c>
      <c r="E112" t="s">
        <v>36</v>
      </c>
      <c r="F112" s="3">
        <v>2870</v>
      </c>
      <c r="G112" s="4">
        <v>300</v>
      </c>
      <c r="H112">
        <f>SUM(IF(COUNTIF(D$12:D112,D112)&lt;&gt;1,0,COUNTIF(D$12:D112,D112)),H111)</f>
        <v>6</v>
      </c>
      <c r="I112">
        <f>VLOOKUP($E112,product[],2,FALSE)</f>
        <v>7.64</v>
      </c>
      <c r="J112">
        <f>data[[#This Row],[Cost per unit]]*data[[#This Row],[Units]]</f>
        <v>2292</v>
      </c>
    </row>
    <row r="113" spans="3:10" x14ac:dyDescent="0.25">
      <c r="C113" t="s">
        <v>26</v>
      </c>
      <c r="D113" t="s">
        <v>14</v>
      </c>
      <c r="E113" t="s">
        <v>39</v>
      </c>
      <c r="F113" s="3">
        <v>798</v>
      </c>
      <c r="G113" s="4">
        <v>519</v>
      </c>
      <c r="H113">
        <f>SUM(IF(COUNTIF(D$12:D113,D113)&lt;&gt;1,0,COUNTIF(D$12:D113,D113)),H112)</f>
        <v>6</v>
      </c>
      <c r="I113">
        <f>VLOOKUP($E113,product[],2,FALSE)</f>
        <v>16.73</v>
      </c>
      <c r="J113">
        <f>data[[#This Row],[Cost per unit]]*data[[#This Row],[Units]]</f>
        <v>8682.8700000000008</v>
      </c>
    </row>
    <row r="114" spans="3:10" x14ac:dyDescent="0.25">
      <c r="C114" t="s">
        <v>13</v>
      </c>
      <c r="D114" t="s">
        <v>6</v>
      </c>
      <c r="E114" t="s">
        <v>41</v>
      </c>
      <c r="F114" s="3">
        <v>2933</v>
      </c>
      <c r="G114" s="4">
        <v>9</v>
      </c>
      <c r="H114">
        <f>SUM(IF(COUNTIF(D$12:D114,D114)&lt;&gt;1,0,COUNTIF(D$12:D114,D114)),H113)</f>
        <v>6</v>
      </c>
      <c r="I114">
        <f>VLOOKUP($E114,product[],2,FALSE)</f>
        <v>9</v>
      </c>
      <c r="J114">
        <f>data[[#This Row],[Cost per unit]]*data[[#This Row],[Units]]</f>
        <v>81</v>
      </c>
    </row>
    <row r="115" spans="3:10" x14ac:dyDescent="0.25">
      <c r="C115" t="s">
        <v>25</v>
      </c>
      <c r="D115" t="s">
        <v>9</v>
      </c>
      <c r="E115" t="s">
        <v>12</v>
      </c>
      <c r="F115" s="3">
        <v>2744</v>
      </c>
      <c r="G115" s="4">
        <v>9</v>
      </c>
      <c r="H115">
        <f>SUM(IF(COUNTIF(D$12:D115,D115)&lt;&gt;1,0,COUNTIF(D$12:D115,D115)),H114)</f>
        <v>6</v>
      </c>
      <c r="I115">
        <f>VLOOKUP($E115,product[],2,FALSE)</f>
        <v>11.88</v>
      </c>
      <c r="J115">
        <f>data[[#This Row],[Cost per unit]]*data[[#This Row],[Units]]</f>
        <v>106.92</v>
      </c>
    </row>
    <row r="116" spans="3:10" x14ac:dyDescent="0.25">
      <c r="C116" t="s">
        <v>5</v>
      </c>
      <c r="D116" t="s">
        <v>14</v>
      </c>
      <c r="E116" t="s">
        <v>19</v>
      </c>
      <c r="F116" s="3">
        <v>9772</v>
      </c>
      <c r="G116" s="4">
        <v>90</v>
      </c>
      <c r="H116">
        <f>SUM(IF(COUNTIF(D$12:D116,D116)&lt;&gt;1,0,COUNTIF(D$12:D116,D116)),H115)</f>
        <v>6</v>
      </c>
      <c r="I116">
        <f>VLOOKUP($E116,product[],2,FALSE)</f>
        <v>12.37</v>
      </c>
      <c r="J116">
        <f>data[[#This Row],[Cost per unit]]*data[[#This Row],[Units]]</f>
        <v>1113.3</v>
      </c>
    </row>
    <row r="117" spans="3:10" x14ac:dyDescent="0.25">
      <c r="C117" t="s">
        <v>23</v>
      </c>
      <c r="D117" t="s">
        <v>30</v>
      </c>
      <c r="E117" t="s">
        <v>18</v>
      </c>
      <c r="F117" s="3">
        <v>1568</v>
      </c>
      <c r="G117" s="4">
        <v>96</v>
      </c>
      <c r="H117">
        <f>SUM(IF(COUNTIF(D$12:D117,D117)&lt;&gt;1,0,COUNTIF(D$12:D117,D117)),H116)</f>
        <v>6</v>
      </c>
      <c r="I117">
        <f>VLOOKUP($E117,product[],2,FALSE)</f>
        <v>13.15</v>
      </c>
      <c r="J117">
        <f>data[[#This Row],[Cost per unit]]*data[[#This Row],[Units]]</f>
        <v>1262.4000000000001</v>
      </c>
    </row>
    <row r="118" spans="3:10" x14ac:dyDescent="0.25">
      <c r="C118" t="s">
        <v>26</v>
      </c>
      <c r="D118" t="s">
        <v>14</v>
      </c>
      <c r="E118" t="s">
        <v>29</v>
      </c>
      <c r="F118" s="3">
        <v>11417</v>
      </c>
      <c r="G118" s="4">
        <v>21</v>
      </c>
      <c r="H118">
        <f>SUM(IF(COUNTIF(D$12:D118,D118)&lt;&gt;1,0,COUNTIF(D$12:D118,D118)),H117)</f>
        <v>6</v>
      </c>
      <c r="I118">
        <f>VLOOKUP($E118,product[],2,FALSE)</f>
        <v>8.7899999999999991</v>
      </c>
      <c r="J118">
        <f>data[[#This Row],[Cost per unit]]*data[[#This Row],[Units]]</f>
        <v>184.58999999999997</v>
      </c>
    </row>
    <row r="119" spans="3:10" x14ac:dyDescent="0.25">
      <c r="C119" t="s">
        <v>5</v>
      </c>
      <c r="D119" t="s">
        <v>30</v>
      </c>
      <c r="E119" t="s">
        <v>42</v>
      </c>
      <c r="F119" s="3">
        <v>6748</v>
      </c>
      <c r="G119" s="4">
        <v>48</v>
      </c>
      <c r="H119">
        <f>SUM(IF(COUNTIF(D$12:D119,D119)&lt;&gt;1,0,COUNTIF(D$12:D119,D119)),H118)</f>
        <v>6</v>
      </c>
      <c r="I119">
        <f>VLOOKUP($E119,product[],2,FALSE)</f>
        <v>5.6</v>
      </c>
      <c r="J119">
        <f>data[[#This Row],[Cost per unit]]*data[[#This Row],[Units]]</f>
        <v>268.79999999999995</v>
      </c>
    </row>
    <row r="120" spans="3:10" x14ac:dyDescent="0.25">
      <c r="C120" t="s">
        <v>35</v>
      </c>
      <c r="D120" t="s">
        <v>14</v>
      </c>
      <c r="E120" t="s">
        <v>39</v>
      </c>
      <c r="F120" s="3">
        <v>1407</v>
      </c>
      <c r="G120" s="4">
        <v>72</v>
      </c>
      <c r="H120">
        <f>SUM(IF(COUNTIF(D$12:D120,D120)&lt;&gt;1,0,COUNTIF(D$12:D120,D120)),H119)</f>
        <v>6</v>
      </c>
      <c r="I120">
        <f>VLOOKUP($E120,product[],2,FALSE)</f>
        <v>16.73</v>
      </c>
      <c r="J120">
        <f>data[[#This Row],[Cost per unit]]*data[[#This Row],[Units]]</f>
        <v>1204.56</v>
      </c>
    </row>
    <row r="121" spans="3:10" x14ac:dyDescent="0.25">
      <c r="C121" t="s">
        <v>8</v>
      </c>
      <c r="D121" t="s">
        <v>9</v>
      </c>
      <c r="E121" t="s">
        <v>32</v>
      </c>
      <c r="F121" s="3">
        <v>2023</v>
      </c>
      <c r="G121" s="4">
        <v>168</v>
      </c>
      <c r="H121">
        <f>SUM(IF(COUNTIF(D$12:D121,D121)&lt;&gt;1,0,COUNTIF(D$12:D121,D121)),H120)</f>
        <v>6</v>
      </c>
      <c r="I121">
        <f>VLOOKUP($E121,product[],2,FALSE)</f>
        <v>7.16</v>
      </c>
      <c r="J121">
        <f>data[[#This Row],[Cost per unit]]*data[[#This Row],[Units]]</f>
        <v>1202.8800000000001</v>
      </c>
    </row>
    <row r="122" spans="3:10" x14ac:dyDescent="0.25">
      <c r="C122" t="s">
        <v>25</v>
      </c>
      <c r="D122" t="s">
        <v>17</v>
      </c>
      <c r="E122" t="s">
        <v>42</v>
      </c>
      <c r="F122" s="3">
        <v>5236</v>
      </c>
      <c r="G122" s="4">
        <v>51</v>
      </c>
      <c r="H122">
        <f>SUM(IF(COUNTIF(D$12:D122,D122)&lt;&gt;1,0,COUNTIF(D$12:D122,D122)),H121)</f>
        <v>6</v>
      </c>
      <c r="I122">
        <f>VLOOKUP($E122,product[],2,FALSE)</f>
        <v>5.6</v>
      </c>
      <c r="J122">
        <f>data[[#This Row],[Cost per unit]]*data[[#This Row],[Units]]</f>
        <v>285.59999999999997</v>
      </c>
    </row>
    <row r="123" spans="3:10" x14ac:dyDescent="0.25">
      <c r="C123" t="s">
        <v>13</v>
      </c>
      <c r="D123" t="s">
        <v>14</v>
      </c>
      <c r="E123" t="s">
        <v>36</v>
      </c>
      <c r="F123" s="3">
        <v>1925</v>
      </c>
      <c r="G123" s="4">
        <v>192</v>
      </c>
      <c r="H123">
        <f>SUM(IF(COUNTIF(D$12:D123,D123)&lt;&gt;1,0,COUNTIF(D$12:D123,D123)),H122)</f>
        <v>6</v>
      </c>
      <c r="I123">
        <f>VLOOKUP($E123,product[],2,FALSE)</f>
        <v>7.64</v>
      </c>
      <c r="J123">
        <f>data[[#This Row],[Cost per unit]]*data[[#This Row],[Units]]</f>
        <v>1466.8799999999999</v>
      </c>
    </row>
    <row r="124" spans="3:10" x14ac:dyDescent="0.25">
      <c r="C124" t="s">
        <v>23</v>
      </c>
      <c r="D124" t="s">
        <v>6</v>
      </c>
      <c r="E124" t="s">
        <v>24</v>
      </c>
      <c r="F124" s="3">
        <v>6608</v>
      </c>
      <c r="G124" s="4">
        <v>225</v>
      </c>
      <c r="H124">
        <f>SUM(IF(COUNTIF(D$12:D124,D124)&lt;&gt;1,0,COUNTIF(D$12:D124,D124)),H123)</f>
        <v>6</v>
      </c>
      <c r="I124">
        <f>VLOOKUP($E124,product[],2,FALSE)</f>
        <v>11.7</v>
      </c>
      <c r="J124">
        <f>data[[#This Row],[Cost per unit]]*data[[#This Row],[Units]]</f>
        <v>2632.5</v>
      </c>
    </row>
    <row r="125" spans="3:10" x14ac:dyDescent="0.25">
      <c r="C125" t="s">
        <v>16</v>
      </c>
      <c r="D125" t="s">
        <v>30</v>
      </c>
      <c r="E125" t="s">
        <v>42</v>
      </c>
      <c r="F125" s="3">
        <v>8008</v>
      </c>
      <c r="G125" s="4">
        <v>456</v>
      </c>
      <c r="H125">
        <f>SUM(IF(COUNTIF(D$12:D125,D125)&lt;&gt;1,0,COUNTIF(D$12:D125,D125)),H124)</f>
        <v>6</v>
      </c>
      <c r="I125">
        <f>VLOOKUP($E125,product[],2,FALSE)</f>
        <v>5.6</v>
      </c>
      <c r="J125">
        <f>data[[#This Row],[Cost per unit]]*data[[#This Row],[Units]]</f>
        <v>2553.6</v>
      </c>
    </row>
    <row r="126" spans="3:10" x14ac:dyDescent="0.25">
      <c r="C126" t="s">
        <v>35</v>
      </c>
      <c r="D126" t="s">
        <v>30</v>
      </c>
      <c r="E126" t="s">
        <v>18</v>
      </c>
      <c r="F126" s="3">
        <v>1428</v>
      </c>
      <c r="G126" s="4">
        <v>93</v>
      </c>
      <c r="H126">
        <f>SUM(IF(COUNTIF(D$12:D126,D126)&lt;&gt;1,0,COUNTIF(D$12:D126,D126)),H125)</f>
        <v>6</v>
      </c>
      <c r="I126">
        <f>VLOOKUP($E126,product[],2,FALSE)</f>
        <v>13.15</v>
      </c>
      <c r="J126">
        <f>data[[#This Row],[Cost per unit]]*data[[#This Row],[Units]]</f>
        <v>1222.95</v>
      </c>
    </row>
    <row r="127" spans="3:10" x14ac:dyDescent="0.25">
      <c r="C127" t="s">
        <v>16</v>
      </c>
      <c r="D127" t="s">
        <v>30</v>
      </c>
      <c r="E127" t="s">
        <v>12</v>
      </c>
      <c r="F127" s="3">
        <v>525</v>
      </c>
      <c r="G127" s="4">
        <v>48</v>
      </c>
      <c r="H127">
        <f>SUM(IF(COUNTIF(D$12:D127,D127)&lt;&gt;1,0,COUNTIF(D$12:D127,D127)),H126)</f>
        <v>6</v>
      </c>
      <c r="I127">
        <f>VLOOKUP($E127,product[],2,FALSE)</f>
        <v>11.88</v>
      </c>
      <c r="J127">
        <f>data[[#This Row],[Cost per unit]]*data[[#This Row],[Units]]</f>
        <v>570.24</v>
      </c>
    </row>
    <row r="128" spans="3:10" x14ac:dyDescent="0.25">
      <c r="C128" t="s">
        <v>16</v>
      </c>
      <c r="D128" t="s">
        <v>6</v>
      </c>
      <c r="E128" t="s">
        <v>15</v>
      </c>
      <c r="F128" s="3">
        <v>1505</v>
      </c>
      <c r="G128" s="4">
        <v>102</v>
      </c>
      <c r="H128">
        <f>SUM(IF(COUNTIF(D$12:D128,D128)&lt;&gt;1,0,COUNTIF(D$12:D128,D128)),H127)</f>
        <v>6</v>
      </c>
      <c r="I128">
        <f>VLOOKUP($E128,product[],2,FALSE)</f>
        <v>6.47</v>
      </c>
      <c r="J128">
        <f>data[[#This Row],[Cost per unit]]*data[[#This Row],[Units]]</f>
        <v>659.93999999999994</v>
      </c>
    </row>
    <row r="129" spans="3:10" x14ac:dyDescent="0.25">
      <c r="C129" t="s">
        <v>23</v>
      </c>
      <c r="D129" t="s">
        <v>9</v>
      </c>
      <c r="E129" t="s">
        <v>7</v>
      </c>
      <c r="F129" s="3">
        <v>6755</v>
      </c>
      <c r="G129" s="4">
        <v>252</v>
      </c>
      <c r="H129">
        <f>SUM(IF(COUNTIF(D$12:D129,D129)&lt;&gt;1,0,COUNTIF(D$12:D129,D129)),H128)</f>
        <v>6</v>
      </c>
      <c r="I129">
        <f>VLOOKUP($E129,product[],2,FALSE)</f>
        <v>14.49</v>
      </c>
      <c r="J129">
        <f>data[[#This Row],[Cost per unit]]*data[[#This Row],[Units]]</f>
        <v>3651.48</v>
      </c>
    </row>
    <row r="130" spans="3:10" x14ac:dyDescent="0.25">
      <c r="C130" t="s">
        <v>26</v>
      </c>
      <c r="D130" t="s">
        <v>6</v>
      </c>
      <c r="E130" t="s">
        <v>15</v>
      </c>
      <c r="F130" s="3">
        <v>11571</v>
      </c>
      <c r="G130" s="4">
        <v>138</v>
      </c>
      <c r="H130">
        <f>SUM(IF(COUNTIF(D$12:D130,D130)&lt;&gt;1,0,COUNTIF(D$12:D130,D130)),H129)</f>
        <v>6</v>
      </c>
      <c r="I130">
        <f>VLOOKUP($E130,product[],2,FALSE)</f>
        <v>6.47</v>
      </c>
      <c r="J130">
        <f>data[[#This Row],[Cost per unit]]*data[[#This Row],[Units]]</f>
        <v>892.86</v>
      </c>
    </row>
    <row r="131" spans="3:10" x14ac:dyDescent="0.25">
      <c r="C131" t="s">
        <v>5</v>
      </c>
      <c r="D131" t="s">
        <v>20</v>
      </c>
      <c r="E131" t="s">
        <v>18</v>
      </c>
      <c r="F131" s="3">
        <v>2541</v>
      </c>
      <c r="G131" s="4">
        <v>90</v>
      </c>
      <c r="H131">
        <f>SUM(IF(COUNTIF(D$12:D131,D131)&lt;&gt;1,0,COUNTIF(D$12:D131,D131)),H130)</f>
        <v>6</v>
      </c>
      <c r="I131">
        <f>VLOOKUP($E131,product[],2,FALSE)</f>
        <v>13.15</v>
      </c>
      <c r="J131">
        <f>data[[#This Row],[Cost per unit]]*data[[#This Row],[Units]]</f>
        <v>1183.5</v>
      </c>
    </row>
    <row r="132" spans="3:10" x14ac:dyDescent="0.25">
      <c r="C132" t="s">
        <v>13</v>
      </c>
      <c r="D132" t="s">
        <v>6</v>
      </c>
      <c r="E132" t="s">
        <v>7</v>
      </c>
      <c r="F132" s="3">
        <v>1526</v>
      </c>
      <c r="G132" s="4">
        <v>240</v>
      </c>
      <c r="H132">
        <f>SUM(IF(COUNTIF(D$12:D132,D132)&lt;&gt;1,0,COUNTIF(D$12:D132,D132)),H131)</f>
        <v>6</v>
      </c>
      <c r="I132">
        <f>VLOOKUP($E132,product[],2,FALSE)</f>
        <v>14.49</v>
      </c>
      <c r="J132">
        <f>data[[#This Row],[Cost per unit]]*data[[#This Row],[Units]]</f>
        <v>3477.6</v>
      </c>
    </row>
    <row r="133" spans="3:10" x14ac:dyDescent="0.25">
      <c r="C133" t="s">
        <v>5</v>
      </c>
      <c r="D133" t="s">
        <v>20</v>
      </c>
      <c r="E133" t="s">
        <v>12</v>
      </c>
      <c r="F133" s="3">
        <v>6125</v>
      </c>
      <c r="G133" s="4">
        <v>102</v>
      </c>
      <c r="H133">
        <f>SUM(IF(COUNTIF(D$12:D133,D133)&lt;&gt;1,0,COUNTIF(D$12:D133,D133)),H132)</f>
        <v>6</v>
      </c>
      <c r="I133">
        <f>VLOOKUP($E133,product[],2,FALSE)</f>
        <v>11.88</v>
      </c>
      <c r="J133">
        <f>data[[#This Row],[Cost per unit]]*data[[#This Row],[Units]]</f>
        <v>1211.76</v>
      </c>
    </row>
    <row r="134" spans="3:10" x14ac:dyDescent="0.25">
      <c r="C134" t="s">
        <v>13</v>
      </c>
      <c r="D134" t="s">
        <v>9</v>
      </c>
      <c r="E134" t="s">
        <v>39</v>
      </c>
      <c r="F134" s="3">
        <v>847</v>
      </c>
      <c r="G134" s="4">
        <v>129</v>
      </c>
      <c r="H134">
        <f>SUM(IF(COUNTIF(D$12:D134,D134)&lt;&gt;1,0,COUNTIF(D$12:D134,D134)),H133)</f>
        <v>6</v>
      </c>
      <c r="I134">
        <f>VLOOKUP($E134,product[],2,FALSE)</f>
        <v>16.73</v>
      </c>
      <c r="J134">
        <f>data[[#This Row],[Cost per unit]]*data[[#This Row],[Units]]</f>
        <v>2158.17</v>
      </c>
    </row>
    <row r="135" spans="3:10" x14ac:dyDescent="0.25">
      <c r="C135" t="s">
        <v>8</v>
      </c>
      <c r="D135" t="s">
        <v>9</v>
      </c>
      <c r="E135" t="s">
        <v>39</v>
      </c>
      <c r="F135" s="3">
        <v>4753</v>
      </c>
      <c r="G135" s="4">
        <v>300</v>
      </c>
      <c r="H135">
        <f>SUM(IF(COUNTIF(D$12:D135,D135)&lt;&gt;1,0,COUNTIF(D$12:D135,D135)),H134)</f>
        <v>6</v>
      </c>
      <c r="I135">
        <f>VLOOKUP($E135,product[],2,FALSE)</f>
        <v>16.73</v>
      </c>
      <c r="J135">
        <f>data[[#This Row],[Cost per unit]]*data[[#This Row],[Units]]</f>
        <v>5019</v>
      </c>
    </row>
    <row r="136" spans="3:10" x14ac:dyDescent="0.25">
      <c r="C136" t="s">
        <v>16</v>
      </c>
      <c r="D136" t="s">
        <v>20</v>
      </c>
      <c r="E136" t="s">
        <v>19</v>
      </c>
      <c r="F136" s="3">
        <v>959</v>
      </c>
      <c r="G136" s="4">
        <v>135</v>
      </c>
      <c r="H136">
        <f>SUM(IF(COUNTIF(D$12:D136,D136)&lt;&gt;1,0,COUNTIF(D$12:D136,D136)),H135)</f>
        <v>6</v>
      </c>
      <c r="I136">
        <f>VLOOKUP($E136,product[],2,FALSE)</f>
        <v>12.37</v>
      </c>
      <c r="J136">
        <f>data[[#This Row],[Cost per unit]]*data[[#This Row],[Units]]</f>
        <v>1669.9499999999998</v>
      </c>
    </row>
    <row r="137" spans="3:10" x14ac:dyDescent="0.25">
      <c r="C137" t="s">
        <v>23</v>
      </c>
      <c r="D137" t="s">
        <v>9</v>
      </c>
      <c r="E137" t="s">
        <v>38</v>
      </c>
      <c r="F137" s="3">
        <v>2793</v>
      </c>
      <c r="G137" s="4">
        <v>114</v>
      </c>
      <c r="H137">
        <f>SUM(IF(COUNTIF(D$12:D137,D137)&lt;&gt;1,0,COUNTIF(D$12:D137,D137)),H136)</f>
        <v>6</v>
      </c>
      <c r="I137">
        <f>VLOOKUP($E137,product[],2,FALSE)</f>
        <v>4.97</v>
      </c>
      <c r="J137">
        <f>data[[#This Row],[Cost per unit]]*data[[#This Row],[Units]]</f>
        <v>566.57999999999993</v>
      </c>
    </row>
    <row r="138" spans="3:10" x14ac:dyDescent="0.25">
      <c r="C138" t="s">
        <v>23</v>
      </c>
      <c r="D138" t="s">
        <v>9</v>
      </c>
      <c r="E138" t="s">
        <v>24</v>
      </c>
      <c r="F138" s="3">
        <v>4606</v>
      </c>
      <c r="G138" s="4">
        <v>63</v>
      </c>
      <c r="H138">
        <f>SUM(IF(COUNTIF(D$12:D138,D138)&lt;&gt;1,0,COUNTIF(D$12:D138,D138)),H137)</f>
        <v>6</v>
      </c>
      <c r="I138">
        <f>VLOOKUP($E138,product[],2,FALSE)</f>
        <v>11.7</v>
      </c>
      <c r="J138">
        <f>data[[#This Row],[Cost per unit]]*data[[#This Row],[Units]]</f>
        <v>737.09999999999991</v>
      </c>
    </row>
    <row r="139" spans="3:10" x14ac:dyDescent="0.25">
      <c r="C139" t="s">
        <v>23</v>
      </c>
      <c r="D139" t="s">
        <v>14</v>
      </c>
      <c r="E139" t="s">
        <v>32</v>
      </c>
      <c r="F139" s="3">
        <v>5551</v>
      </c>
      <c r="G139" s="4">
        <v>252</v>
      </c>
      <c r="H139">
        <f>SUM(IF(COUNTIF(D$12:D139,D139)&lt;&gt;1,0,COUNTIF(D$12:D139,D139)),H138)</f>
        <v>6</v>
      </c>
      <c r="I139">
        <f>VLOOKUP($E139,product[],2,FALSE)</f>
        <v>7.16</v>
      </c>
      <c r="J139">
        <f>data[[#This Row],[Cost per unit]]*data[[#This Row],[Units]]</f>
        <v>1804.32</v>
      </c>
    </row>
    <row r="140" spans="3:10" x14ac:dyDescent="0.25">
      <c r="C140" t="s">
        <v>35</v>
      </c>
      <c r="D140" t="s">
        <v>14</v>
      </c>
      <c r="E140" t="s">
        <v>10</v>
      </c>
      <c r="F140" s="3">
        <v>6657</v>
      </c>
      <c r="G140" s="4">
        <v>303</v>
      </c>
      <c r="H140">
        <f>SUM(IF(COUNTIF(D$12:D140,D140)&lt;&gt;1,0,COUNTIF(D$12:D140,D140)),H139)</f>
        <v>6</v>
      </c>
      <c r="I140">
        <f>VLOOKUP($E140,product[],2,FALSE)</f>
        <v>8.65</v>
      </c>
      <c r="J140">
        <f>data[[#This Row],[Cost per unit]]*data[[#This Row],[Units]]</f>
        <v>2620.9500000000003</v>
      </c>
    </row>
    <row r="141" spans="3:10" x14ac:dyDescent="0.25">
      <c r="C141" t="s">
        <v>23</v>
      </c>
      <c r="D141" t="s">
        <v>17</v>
      </c>
      <c r="E141" t="s">
        <v>28</v>
      </c>
      <c r="F141" s="3">
        <v>4438</v>
      </c>
      <c r="G141" s="4">
        <v>246</v>
      </c>
      <c r="H141">
        <f>SUM(IF(COUNTIF(D$12:D141,D141)&lt;&gt;1,0,COUNTIF(D$12:D141,D141)),H140)</f>
        <v>6</v>
      </c>
      <c r="I141">
        <f>VLOOKUP($E141,product[],2,FALSE)</f>
        <v>3.11</v>
      </c>
      <c r="J141">
        <f>data[[#This Row],[Cost per unit]]*data[[#This Row],[Units]]</f>
        <v>765.06</v>
      </c>
    </row>
    <row r="142" spans="3:10" x14ac:dyDescent="0.25">
      <c r="C142" t="s">
        <v>8</v>
      </c>
      <c r="D142" t="s">
        <v>20</v>
      </c>
      <c r="E142" t="s">
        <v>22</v>
      </c>
      <c r="F142" s="3">
        <v>168</v>
      </c>
      <c r="G142" s="4">
        <v>84</v>
      </c>
      <c r="H142">
        <f>SUM(IF(COUNTIF(D$12:D142,D142)&lt;&gt;1,0,COUNTIF(D$12:D142,D142)),H141)</f>
        <v>6</v>
      </c>
      <c r="I142">
        <f>VLOOKUP($E142,product[],2,FALSE)</f>
        <v>9.77</v>
      </c>
      <c r="J142">
        <f>data[[#This Row],[Cost per unit]]*data[[#This Row],[Units]]</f>
        <v>820.68</v>
      </c>
    </row>
    <row r="143" spans="3:10" x14ac:dyDescent="0.25">
      <c r="C143" t="s">
        <v>23</v>
      </c>
      <c r="D143" t="s">
        <v>30</v>
      </c>
      <c r="E143" t="s">
        <v>28</v>
      </c>
      <c r="F143" s="3">
        <v>7777</v>
      </c>
      <c r="G143" s="4">
        <v>39</v>
      </c>
      <c r="H143">
        <f>SUM(IF(COUNTIF(D$12:D143,D143)&lt;&gt;1,0,COUNTIF(D$12:D143,D143)),H142)</f>
        <v>6</v>
      </c>
      <c r="I143">
        <f>VLOOKUP($E143,product[],2,FALSE)</f>
        <v>3.11</v>
      </c>
      <c r="J143">
        <f>data[[#This Row],[Cost per unit]]*data[[#This Row],[Units]]</f>
        <v>121.28999999999999</v>
      </c>
    </row>
    <row r="144" spans="3:10" x14ac:dyDescent="0.25">
      <c r="C144" t="s">
        <v>25</v>
      </c>
      <c r="D144" t="s">
        <v>14</v>
      </c>
      <c r="E144" t="s">
        <v>28</v>
      </c>
      <c r="F144" s="3">
        <v>3339</v>
      </c>
      <c r="G144" s="4">
        <v>348</v>
      </c>
      <c r="H144">
        <f>SUM(IF(COUNTIF(D$12:D144,D144)&lt;&gt;1,0,COUNTIF(D$12:D144,D144)),H143)</f>
        <v>6</v>
      </c>
      <c r="I144">
        <f>VLOOKUP($E144,product[],2,FALSE)</f>
        <v>3.11</v>
      </c>
      <c r="J144">
        <f>data[[#This Row],[Cost per unit]]*data[[#This Row],[Units]]</f>
        <v>1082.28</v>
      </c>
    </row>
    <row r="145" spans="3:10" x14ac:dyDescent="0.25">
      <c r="C145" t="s">
        <v>23</v>
      </c>
      <c r="D145" t="s">
        <v>6</v>
      </c>
      <c r="E145" t="s">
        <v>19</v>
      </c>
      <c r="F145" s="3">
        <v>6391</v>
      </c>
      <c r="G145" s="4">
        <v>48</v>
      </c>
      <c r="H145">
        <f>SUM(IF(COUNTIF(D$12:D145,D145)&lt;&gt;1,0,COUNTIF(D$12:D145,D145)),H144)</f>
        <v>6</v>
      </c>
      <c r="I145">
        <f>VLOOKUP($E145,product[],2,FALSE)</f>
        <v>12.37</v>
      </c>
      <c r="J145">
        <f>data[[#This Row],[Cost per unit]]*data[[#This Row],[Units]]</f>
        <v>593.76</v>
      </c>
    </row>
    <row r="146" spans="3:10" x14ac:dyDescent="0.25">
      <c r="C146" t="s">
        <v>25</v>
      </c>
      <c r="D146" t="s">
        <v>6</v>
      </c>
      <c r="E146" t="s">
        <v>22</v>
      </c>
      <c r="F146" s="3">
        <v>518</v>
      </c>
      <c r="G146" s="4">
        <v>75</v>
      </c>
      <c r="H146">
        <f>SUM(IF(COUNTIF(D$12:D146,D146)&lt;&gt;1,0,COUNTIF(D$12:D146,D146)),H145)</f>
        <v>6</v>
      </c>
      <c r="I146">
        <f>VLOOKUP($E146,product[],2,FALSE)</f>
        <v>9.77</v>
      </c>
      <c r="J146">
        <f>data[[#This Row],[Cost per unit]]*data[[#This Row],[Units]]</f>
        <v>732.75</v>
      </c>
    </row>
    <row r="147" spans="3:10" x14ac:dyDescent="0.25">
      <c r="C147" t="s">
        <v>23</v>
      </c>
      <c r="D147" t="s">
        <v>20</v>
      </c>
      <c r="E147" t="s">
        <v>40</v>
      </c>
      <c r="F147" s="3">
        <v>5677</v>
      </c>
      <c r="G147" s="4">
        <v>258</v>
      </c>
      <c r="H147">
        <f>SUM(IF(COUNTIF(D$12:D147,D147)&lt;&gt;1,0,COUNTIF(D$12:D147,D147)),H146)</f>
        <v>6</v>
      </c>
      <c r="I147">
        <f>VLOOKUP($E147,product[],2,FALSE)</f>
        <v>10.38</v>
      </c>
      <c r="J147">
        <f>data[[#This Row],[Cost per unit]]*data[[#This Row],[Units]]</f>
        <v>2678.0400000000004</v>
      </c>
    </row>
    <row r="148" spans="3:10" x14ac:dyDescent="0.25">
      <c r="C148" t="s">
        <v>16</v>
      </c>
      <c r="D148" t="s">
        <v>17</v>
      </c>
      <c r="E148" t="s">
        <v>28</v>
      </c>
      <c r="F148" s="3">
        <v>6048</v>
      </c>
      <c r="G148" s="4">
        <v>27</v>
      </c>
      <c r="H148">
        <f>SUM(IF(COUNTIF(D$12:D148,D148)&lt;&gt;1,0,COUNTIF(D$12:D148,D148)),H147)</f>
        <v>6</v>
      </c>
      <c r="I148">
        <f>VLOOKUP($E148,product[],2,FALSE)</f>
        <v>3.11</v>
      </c>
      <c r="J148">
        <f>data[[#This Row],[Cost per unit]]*data[[#This Row],[Units]]</f>
        <v>83.97</v>
      </c>
    </row>
    <row r="149" spans="3:10" x14ac:dyDescent="0.25">
      <c r="C149" t="s">
        <v>8</v>
      </c>
      <c r="D149" t="s">
        <v>20</v>
      </c>
      <c r="E149" t="s">
        <v>10</v>
      </c>
      <c r="F149" s="3">
        <v>3752</v>
      </c>
      <c r="G149" s="4">
        <v>213</v>
      </c>
      <c r="H149">
        <f>SUM(IF(COUNTIF(D$12:D149,D149)&lt;&gt;1,0,COUNTIF(D$12:D149,D149)),H148)</f>
        <v>6</v>
      </c>
      <c r="I149">
        <f>VLOOKUP($E149,product[],2,FALSE)</f>
        <v>8.65</v>
      </c>
      <c r="J149">
        <f>data[[#This Row],[Cost per unit]]*data[[#This Row],[Units]]</f>
        <v>1842.45</v>
      </c>
    </row>
    <row r="150" spans="3:10" x14ac:dyDescent="0.25">
      <c r="C150" t="s">
        <v>25</v>
      </c>
      <c r="D150" t="s">
        <v>9</v>
      </c>
      <c r="E150" t="s">
        <v>32</v>
      </c>
      <c r="F150" s="3">
        <v>4480</v>
      </c>
      <c r="G150" s="4">
        <v>357</v>
      </c>
      <c r="H150">
        <f>SUM(IF(COUNTIF(D$12:D150,D150)&lt;&gt;1,0,COUNTIF(D$12:D150,D150)),H149)</f>
        <v>6</v>
      </c>
      <c r="I150">
        <f>VLOOKUP($E150,product[],2,FALSE)</f>
        <v>7.16</v>
      </c>
      <c r="J150">
        <f>data[[#This Row],[Cost per unit]]*data[[#This Row],[Units]]</f>
        <v>2556.12</v>
      </c>
    </row>
    <row r="151" spans="3:10" x14ac:dyDescent="0.25">
      <c r="C151" t="s">
        <v>11</v>
      </c>
      <c r="D151" t="s">
        <v>6</v>
      </c>
      <c r="E151" t="s">
        <v>12</v>
      </c>
      <c r="F151" s="3">
        <v>259</v>
      </c>
      <c r="G151" s="4">
        <v>207</v>
      </c>
      <c r="H151">
        <f>SUM(IF(COUNTIF(D$12:D151,D151)&lt;&gt;1,0,COUNTIF(D$12:D151,D151)),H150)</f>
        <v>6</v>
      </c>
      <c r="I151">
        <f>VLOOKUP($E151,product[],2,FALSE)</f>
        <v>11.88</v>
      </c>
      <c r="J151">
        <f>data[[#This Row],[Cost per unit]]*data[[#This Row],[Units]]</f>
        <v>2459.1600000000003</v>
      </c>
    </row>
    <row r="152" spans="3:10" x14ac:dyDescent="0.25">
      <c r="C152" t="s">
        <v>8</v>
      </c>
      <c r="D152" t="s">
        <v>6</v>
      </c>
      <c r="E152" t="s">
        <v>7</v>
      </c>
      <c r="F152" s="3">
        <v>42</v>
      </c>
      <c r="G152" s="4">
        <v>150</v>
      </c>
      <c r="H152">
        <f>SUM(IF(COUNTIF(D$12:D152,D152)&lt;&gt;1,0,COUNTIF(D$12:D152,D152)),H151)</f>
        <v>6</v>
      </c>
      <c r="I152">
        <f>VLOOKUP($E152,product[],2,FALSE)</f>
        <v>14.49</v>
      </c>
      <c r="J152">
        <f>data[[#This Row],[Cost per unit]]*data[[#This Row],[Units]]</f>
        <v>2173.5</v>
      </c>
    </row>
    <row r="153" spans="3:10" x14ac:dyDescent="0.25">
      <c r="C153" t="s">
        <v>13</v>
      </c>
      <c r="D153" t="s">
        <v>14</v>
      </c>
      <c r="E153" t="s">
        <v>42</v>
      </c>
      <c r="F153" s="3">
        <v>98</v>
      </c>
      <c r="G153" s="4">
        <v>204</v>
      </c>
      <c r="H153">
        <f>SUM(IF(COUNTIF(D$12:D153,D153)&lt;&gt;1,0,COUNTIF(D$12:D153,D153)),H152)</f>
        <v>6</v>
      </c>
      <c r="I153">
        <f>VLOOKUP($E153,product[],2,FALSE)</f>
        <v>5.6</v>
      </c>
      <c r="J153">
        <f>data[[#This Row],[Cost per unit]]*data[[#This Row],[Units]]</f>
        <v>1142.3999999999999</v>
      </c>
    </row>
    <row r="154" spans="3:10" x14ac:dyDescent="0.25">
      <c r="C154" t="s">
        <v>23</v>
      </c>
      <c r="D154" t="s">
        <v>9</v>
      </c>
      <c r="E154" t="s">
        <v>39</v>
      </c>
      <c r="F154" s="3">
        <v>2478</v>
      </c>
      <c r="G154" s="4">
        <v>21</v>
      </c>
      <c r="H154">
        <f>SUM(IF(COUNTIF(D$12:D154,D154)&lt;&gt;1,0,COUNTIF(D$12:D154,D154)),H153)</f>
        <v>6</v>
      </c>
      <c r="I154">
        <f>VLOOKUP($E154,product[],2,FALSE)</f>
        <v>16.73</v>
      </c>
      <c r="J154">
        <f>data[[#This Row],[Cost per unit]]*data[[#This Row],[Units]]</f>
        <v>351.33</v>
      </c>
    </row>
    <row r="155" spans="3:10" x14ac:dyDescent="0.25">
      <c r="C155" t="s">
        <v>13</v>
      </c>
      <c r="D155" t="s">
        <v>30</v>
      </c>
      <c r="E155" t="s">
        <v>19</v>
      </c>
      <c r="F155" s="3">
        <v>7847</v>
      </c>
      <c r="G155" s="4">
        <v>174</v>
      </c>
      <c r="H155">
        <f>SUM(IF(COUNTIF(D$12:D155,D155)&lt;&gt;1,0,COUNTIF(D$12:D155,D155)),H154)</f>
        <v>6</v>
      </c>
      <c r="I155">
        <f>VLOOKUP($E155,product[],2,FALSE)</f>
        <v>12.37</v>
      </c>
      <c r="J155">
        <f>data[[#This Row],[Cost per unit]]*data[[#This Row],[Units]]</f>
        <v>2152.3799999999997</v>
      </c>
    </row>
    <row r="156" spans="3:10" x14ac:dyDescent="0.25">
      <c r="C156" t="s">
        <v>26</v>
      </c>
      <c r="D156" t="s">
        <v>6</v>
      </c>
      <c r="E156" t="s">
        <v>28</v>
      </c>
      <c r="F156" s="3">
        <v>9926</v>
      </c>
      <c r="G156" s="4">
        <v>201</v>
      </c>
      <c r="H156">
        <f>SUM(IF(COUNTIF(D$12:D156,D156)&lt;&gt;1,0,COUNTIF(D$12:D156,D156)),H155)</f>
        <v>6</v>
      </c>
      <c r="I156">
        <f>VLOOKUP($E156,product[],2,FALSE)</f>
        <v>3.11</v>
      </c>
      <c r="J156">
        <f>data[[#This Row],[Cost per unit]]*data[[#This Row],[Units]]</f>
        <v>625.11</v>
      </c>
    </row>
    <row r="157" spans="3:10" x14ac:dyDescent="0.25">
      <c r="C157" t="s">
        <v>8</v>
      </c>
      <c r="D157" t="s">
        <v>20</v>
      </c>
      <c r="E157" t="s">
        <v>31</v>
      </c>
      <c r="F157" s="3">
        <v>819</v>
      </c>
      <c r="G157" s="4">
        <v>510</v>
      </c>
      <c r="H157">
        <f>SUM(IF(COUNTIF(D$12:D157,D157)&lt;&gt;1,0,COUNTIF(D$12:D157,D157)),H156)</f>
        <v>6</v>
      </c>
      <c r="I157">
        <f>VLOOKUP($E157,product[],2,FALSE)</f>
        <v>9.33</v>
      </c>
      <c r="J157">
        <f>data[[#This Row],[Cost per unit]]*data[[#This Row],[Units]]</f>
        <v>4758.3</v>
      </c>
    </row>
    <row r="158" spans="3:10" x14ac:dyDescent="0.25">
      <c r="C158" t="s">
        <v>16</v>
      </c>
      <c r="D158" t="s">
        <v>17</v>
      </c>
      <c r="E158" t="s">
        <v>32</v>
      </c>
      <c r="F158" s="3">
        <v>3052</v>
      </c>
      <c r="G158" s="4">
        <v>378</v>
      </c>
      <c r="H158">
        <f>SUM(IF(COUNTIF(D$12:D158,D158)&lt;&gt;1,0,COUNTIF(D$12:D158,D158)),H157)</f>
        <v>6</v>
      </c>
      <c r="I158">
        <f>VLOOKUP($E158,product[],2,FALSE)</f>
        <v>7.16</v>
      </c>
      <c r="J158">
        <f>data[[#This Row],[Cost per unit]]*data[[#This Row],[Units]]</f>
        <v>2706.48</v>
      </c>
    </row>
    <row r="159" spans="3:10" x14ac:dyDescent="0.25">
      <c r="C159" t="s">
        <v>11</v>
      </c>
      <c r="D159" t="s">
        <v>30</v>
      </c>
      <c r="E159" t="s">
        <v>41</v>
      </c>
      <c r="F159" s="3">
        <v>6832</v>
      </c>
      <c r="G159" s="4">
        <v>27</v>
      </c>
      <c r="H159">
        <f>SUM(IF(COUNTIF(D$12:D159,D159)&lt;&gt;1,0,COUNTIF(D$12:D159,D159)),H158)</f>
        <v>6</v>
      </c>
      <c r="I159">
        <f>VLOOKUP($E159,product[],2,FALSE)</f>
        <v>9</v>
      </c>
      <c r="J159">
        <f>data[[#This Row],[Cost per unit]]*data[[#This Row],[Units]]</f>
        <v>243</v>
      </c>
    </row>
    <row r="160" spans="3:10" x14ac:dyDescent="0.25">
      <c r="C160" t="s">
        <v>26</v>
      </c>
      <c r="D160" t="s">
        <v>17</v>
      </c>
      <c r="E160" t="s">
        <v>29</v>
      </c>
      <c r="F160" s="3">
        <v>2016</v>
      </c>
      <c r="G160" s="4">
        <v>117</v>
      </c>
      <c r="H160">
        <f>SUM(IF(COUNTIF(D$12:D160,D160)&lt;&gt;1,0,COUNTIF(D$12:D160,D160)),H159)</f>
        <v>6</v>
      </c>
      <c r="I160">
        <f>VLOOKUP($E160,product[],2,FALSE)</f>
        <v>8.7899999999999991</v>
      </c>
      <c r="J160">
        <f>data[[#This Row],[Cost per unit]]*data[[#This Row],[Units]]</f>
        <v>1028.4299999999998</v>
      </c>
    </row>
    <row r="161" spans="3:10" x14ac:dyDescent="0.25">
      <c r="C161" t="s">
        <v>16</v>
      </c>
      <c r="D161" t="s">
        <v>20</v>
      </c>
      <c r="E161" t="s">
        <v>41</v>
      </c>
      <c r="F161" s="3">
        <v>7322</v>
      </c>
      <c r="G161" s="4">
        <v>36</v>
      </c>
      <c r="H161">
        <f>SUM(IF(COUNTIF(D$12:D161,D161)&lt;&gt;1,0,COUNTIF(D$12:D161,D161)),H160)</f>
        <v>6</v>
      </c>
      <c r="I161">
        <f>VLOOKUP($E161,product[],2,FALSE)</f>
        <v>9</v>
      </c>
      <c r="J161">
        <f>data[[#This Row],[Cost per unit]]*data[[#This Row],[Units]]</f>
        <v>324</v>
      </c>
    </row>
    <row r="162" spans="3:10" x14ac:dyDescent="0.25">
      <c r="C162" t="s">
        <v>8</v>
      </c>
      <c r="D162" t="s">
        <v>9</v>
      </c>
      <c r="E162" t="s">
        <v>19</v>
      </c>
      <c r="F162" s="3">
        <v>357</v>
      </c>
      <c r="G162" s="4">
        <v>126</v>
      </c>
      <c r="H162">
        <f>SUM(IF(COUNTIF(D$12:D162,D162)&lt;&gt;1,0,COUNTIF(D$12:D162,D162)),H161)</f>
        <v>6</v>
      </c>
      <c r="I162">
        <f>VLOOKUP($E162,product[],2,FALSE)</f>
        <v>12.37</v>
      </c>
      <c r="J162">
        <f>data[[#This Row],[Cost per unit]]*data[[#This Row],[Units]]</f>
        <v>1558.62</v>
      </c>
    </row>
    <row r="163" spans="3:10" x14ac:dyDescent="0.25">
      <c r="C163" t="s">
        <v>11</v>
      </c>
      <c r="D163" t="s">
        <v>17</v>
      </c>
      <c r="E163" t="s">
        <v>18</v>
      </c>
      <c r="F163" s="3">
        <v>3192</v>
      </c>
      <c r="G163" s="4">
        <v>72</v>
      </c>
      <c r="H163">
        <f>SUM(IF(COUNTIF(D$12:D163,D163)&lt;&gt;1,0,COUNTIF(D$12:D163,D163)),H162)</f>
        <v>6</v>
      </c>
      <c r="I163">
        <f>VLOOKUP($E163,product[],2,FALSE)</f>
        <v>13.15</v>
      </c>
      <c r="J163">
        <f>data[[#This Row],[Cost per unit]]*data[[#This Row],[Units]]</f>
        <v>946.80000000000007</v>
      </c>
    </row>
    <row r="164" spans="3:10" x14ac:dyDescent="0.25">
      <c r="C164" t="s">
        <v>23</v>
      </c>
      <c r="D164" t="s">
        <v>14</v>
      </c>
      <c r="E164" t="s">
        <v>22</v>
      </c>
      <c r="F164" s="3">
        <v>8435</v>
      </c>
      <c r="G164" s="4">
        <v>42</v>
      </c>
      <c r="H164">
        <f>SUM(IF(COUNTIF(D$12:D164,D164)&lt;&gt;1,0,COUNTIF(D$12:D164,D164)),H163)</f>
        <v>6</v>
      </c>
      <c r="I164">
        <f>VLOOKUP($E164,product[],2,FALSE)</f>
        <v>9.77</v>
      </c>
      <c r="J164">
        <f>data[[#This Row],[Cost per unit]]*data[[#This Row],[Units]]</f>
        <v>410.34</v>
      </c>
    </row>
    <row r="165" spans="3:10" x14ac:dyDescent="0.25">
      <c r="C165" t="s">
        <v>5</v>
      </c>
      <c r="D165" t="s">
        <v>17</v>
      </c>
      <c r="E165" t="s">
        <v>32</v>
      </c>
      <c r="F165" s="3">
        <v>0</v>
      </c>
      <c r="G165" s="4">
        <v>135</v>
      </c>
      <c r="H165">
        <f>SUM(IF(COUNTIF(D$12:D165,D165)&lt;&gt;1,0,COUNTIF(D$12:D165,D165)),H164)</f>
        <v>6</v>
      </c>
      <c r="I165">
        <f>VLOOKUP($E165,product[],2,FALSE)</f>
        <v>7.16</v>
      </c>
      <c r="J165">
        <f>data[[#This Row],[Cost per unit]]*data[[#This Row],[Units]]</f>
        <v>966.6</v>
      </c>
    </row>
    <row r="166" spans="3:10" x14ac:dyDescent="0.25">
      <c r="C166" t="s">
        <v>23</v>
      </c>
      <c r="D166" t="s">
        <v>30</v>
      </c>
      <c r="E166" t="s">
        <v>38</v>
      </c>
      <c r="F166" s="3">
        <v>8862</v>
      </c>
      <c r="G166" s="4">
        <v>189</v>
      </c>
      <c r="H166">
        <f>SUM(IF(COUNTIF(D$12:D166,D166)&lt;&gt;1,0,COUNTIF(D$12:D166,D166)),H165)</f>
        <v>6</v>
      </c>
      <c r="I166">
        <f>VLOOKUP($E166,product[],2,FALSE)</f>
        <v>4.97</v>
      </c>
      <c r="J166">
        <f>data[[#This Row],[Cost per unit]]*data[[#This Row],[Units]]</f>
        <v>939.32999999999993</v>
      </c>
    </row>
    <row r="167" spans="3:10" x14ac:dyDescent="0.25">
      <c r="C167" t="s">
        <v>16</v>
      </c>
      <c r="D167" t="s">
        <v>6</v>
      </c>
      <c r="E167" t="s">
        <v>40</v>
      </c>
      <c r="F167" s="3">
        <v>3556</v>
      </c>
      <c r="G167" s="4">
        <v>459</v>
      </c>
      <c r="H167">
        <f>SUM(IF(COUNTIF(D$12:D167,D167)&lt;&gt;1,0,COUNTIF(D$12:D167,D167)),H166)</f>
        <v>6</v>
      </c>
      <c r="I167">
        <f>VLOOKUP($E167,product[],2,FALSE)</f>
        <v>10.38</v>
      </c>
      <c r="J167">
        <f>data[[#This Row],[Cost per unit]]*data[[#This Row],[Units]]</f>
        <v>4764.42</v>
      </c>
    </row>
    <row r="168" spans="3:10" x14ac:dyDescent="0.25">
      <c r="C168" t="s">
        <v>25</v>
      </c>
      <c r="D168" t="s">
        <v>30</v>
      </c>
      <c r="E168" t="s">
        <v>37</v>
      </c>
      <c r="F168" s="3">
        <v>7280</v>
      </c>
      <c r="G168" s="4">
        <v>201</v>
      </c>
      <c r="H168">
        <f>SUM(IF(COUNTIF(D$12:D168,D168)&lt;&gt;1,0,COUNTIF(D$12:D168,D168)),H167)</f>
        <v>6</v>
      </c>
      <c r="I168">
        <f>VLOOKUP($E168,product[],2,FALSE)</f>
        <v>11.73</v>
      </c>
      <c r="J168">
        <f>data[[#This Row],[Cost per unit]]*data[[#This Row],[Units]]</f>
        <v>2357.73</v>
      </c>
    </row>
    <row r="169" spans="3:10" x14ac:dyDescent="0.25">
      <c r="C169" t="s">
        <v>16</v>
      </c>
      <c r="D169" t="s">
        <v>30</v>
      </c>
      <c r="E169" t="s">
        <v>7</v>
      </c>
      <c r="F169" s="3">
        <v>3402</v>
      </c>
      <c r="G169" s="4">
        <v>366</v>
      </c>
      <c r="H169">
        <f>SUM(IF(COUNTIF(D$12:D169,D169)&lt;&gt;1,0,COUNTIF(D$12:D169,D169)),H168)</f>
        <v>6</v>
      </c>
      <c r="I169">
        <f>VLOOKUP($E169,product[],2,FALSE)</f>
        <v>14.49</v>
      </c>
      <c r="J169">
        <f>data[[#This Row],[Cost per unit]]*data[[#This Row],[Units]]</f>
        <v>5303.34</v>
      </c>
    </row>
    <row r="170" spans="3:10" x14ac:dyDescent="0.25">
      <c r="C170" t="s">
        <v>27</v>
      </c>
      <c r="D170" t="s">
        <v>6</v>
      </c>
      <c r="E170" t="s">
        <v>32</v>
      </c>
      <c r="F170" s="3">
        <v>4592</v>
      </c>
      <c r="G170" s="4">
        <v>324</v>
      </c>
      <c r="H170">
        <f>SUM(IF(COUNTIF(D$12:D170,D170)&lt;&gt;1,0,COUNTIF(D$12:D170,D170)),H169)</f>
        <v>6</v>
      </c>
      <c r="I170">
        <f>VLOOKUP($E170,product[],2,FALSE)</f>
        <v>7.16</v>
      </c>
      <c r="J170">
        <f>data[[#This Row],[Cost per unit]]*data[[#This Row],[Units]]</f>
        <v>2319.84</v>
      </c>
    </row>
    <row r="171" spans="3:10" x14ac:dyDescent="0.25">
      <c r="C171" t="s">
        <v>11</v>
      </c>
      <c r="D171" t="s">
        <v>9</v>
      </c>
      <c r="E171" t="s">
        <v>37</v>
      </c>
      <c r="F171" s="3">
        <v>7833</v>
      </c>
      <c r="G171" s="4">
        <v>243</v>
      </c>
      <c r="H171">
        <f>SUM(IF(COUNTIF(D$12:D171,D171)&lt;&gt;1,0,COUNTIF(D$12:D171,D171)),H170)</f>
        <v>6</v>
      </c>
      <c r="I171">
        <f>VLOOKUP($E171,product[],2,FALSE)</f>
        <v>11.73</v>
      </c>
      <c r="J171">
        <f>data[[#This Row],[Cost per unit]]*data[[#This Row],[Units]]</f>
        <v>2850.3900000000003</v>
      </c>
    </row>
    <row r="172" spans="3:10" x14ac:dyDescent="0.25">
      <c r="C172" t="s">
        <v>26</v>
      </c>
      <c r="D172" t="s">
        <v>17</v>
      </c>
      <c r="E172" t="s">
        <v>41</v>
      </c>
      <c r="F172" s="3">
        <v>7651</v>
      </c>
      <c r="G172" s="4">
        <v>213</v>
      </c>
      <c r="H172">
        <f>SUM(IF(COUNTIF(D$12:D172,D172)&lt;&gt;1,0,COUNTIF(D$12:D172,D172)),H171)</f>
        <v>6</v>
      </c>
      <c r="I172">
        <f>VLOOKUP($E172,product[],2,FALSE)</f>
        <v>9</v>
      </c>
      <c r="J172">
        <f>data[[#This Row],[Cost per unit]]*data[[#This Row],[Units]]</f>
        <v>1917</v>
      </c>
    </row>
    <row r="173" spans="3:10" x14ac:dyDescent="0.25">
      <c r="C173" t="s">
        <v>5</v>
      </c>
      <c r="D173" t="s">
        <v>9</v>
      </c>
      <c r="E173" t="s">
        <v>7</v>
      </c>
      <c r="F173" s="3">
        <v>2275</v>
      </c>
      <c r="G173" s="4">
        <v>447</v>
      </c>
      <c r="H173">
        <f>SUM(IF(COUNTIF(D$12:D173,D173)&lt;&gt;1,0,COUNTIF(D$12:D173,D173)),H172)</f>
        <v>6</v>
      </c>
      <c r="I173">
        <f>VLOOKUP($E173,product[],2,FALSE)</f>
        <v>14.49</v>
      </c>
      <c r="J173">
        <f>data[[#This Row],[Cost per unit]]*data[[#This Row],[Units]]</f>
        <v>6477.03</v>
      </c>
    </row>
    <row r="174" spans="3:10" x14ac:dyDescent="0.25">
      <c r="C174" t="s">
        <v>5</v>
      </c>
      <c r="D174" t="s">
        <v>20</v>
      </c>
      <c r="E174" t="s">
        <v>31</v>
      </c>
      <c r="F174" s="3">
        <v>5670</v>
      </c>
      <c r="G174" s="4">
        <v>297</v>
      </c>
      <c r="H174">
        <f>SUM(IF(COUNTIF(D$12:D174,D174)&lt;&gt;1,0,COUNTIF(D$12:D174,D174)),H173)</f>
        <v>6</v>
      </c>
      <c r="I174">
        <f>VLOOKUP($E174,product[],2,FALSE)</f>
        <v>9.33</v>
      </c>
      <c r="J174">
        <f>data[[#This Row],[Cost per unit]]*data[[#This Row],[Units]]</f>
        <v>2771.01</v>
      </c>
    </row>
    <row r="175" spans="3:10" x14ac:dyDescent="0.25">
      <c r="C175" t="s">
        <v>23</v>
      </c>
      <c r="D175" t="s">
        <v>9</v>
      </c>
      <c r="E175" t="s">
        <v>29</v>
      </c>
      <c r="F175" s="3">
        <v>2135</v>
      </c>
      <c r="G175" s="4">
        <v>27</v>
      </c>
      <c r="H175">
        <f>SUM(IF(COUNTIF(D$12:D175,D175)&lt;&gt;1,0,COUNTIF(D$12:D175,D175)),H174)</f>
        <v>6</v>
      </c>
      <c r="I175">
        <f>VLOOKUP($E175,product[],2,FALSE)</f>
        <v>8.7899999999999991</v>
      </c>
      <c r="J175">
        <f>data[[#This Row],[Cost per unit]]*data[[#This Row],[Units]]</f>
        <v>237.32999999999998</v>
      </c>
    </row>
    <row r="176" spans="3:10" x14ac:dyDescent="0.25">
      <c r="C176" t="s">
        <v>5</v>
      </c>
      <c r="D176" t="s">
        <v>30</v>
      </c>
      <c r="E176" t="s">
        <v>34</v>
      </c>
      <c r="F176" s="3">
        <v>2779</v>
      </c>
      <c r="G176" s="4">
        <v>75</v>
      </c>
      <c r="H176">
        <f>SUM(IF(COUNTIF(D$12:D176,D176)&lt;&gt;1,0,COUNTIF(D$12:D176,D176)),H175)</f>
        <v>6</v>
      </c>
      <c r="I176">
        <f>VLOOKUP($E176,product[],2,FALSE)</f>
        <v>6.49</v>
      </c>
      <c r="J176">
        <f>data[[#This Row],[Cost per unit]]*data[[#This Row],[Units]]</f>
        <v>486.75</v>
      </c>
    </row>
    <row r="177" spans="3:10" x14ac:dyDescent="0.25">
      <c r="C177" t="s">
        <v>35</v>
      </c>
      <c r="D177" t="s">
        <v>17</v>
      </c>
      <c r="E177" t="s">
        <v>19</v>
      </c>
      <c r="F177" s="3">
        <v>12950</v>
      </c>
      <c r="G177" s="4">
        <v>30</v>
      </c>
      <c r="H177">
        <f>SUM(IF(COUNTIF(D$12:D177,D177)&lt;&gt;1,0,COUNTIF(D$12:D177,D177)),H176)</f>
        <v>6</v>
      </c>
      <c r="I177">
        <f>VLOOKUP($E177,product[],2,FALSE)</f>
        <v>12.37</v>
      </c>
      <c r="J177">
        <f>data[[#This Row],[Cost per unit]]*data[[#This Row],[Units]]</f>
        <v>371.09999999999997</v>
      </c>
    </row>
    <row r="178" spans="3:10" x14ac:dyDescent="0.25">
      <c r="C178" t="s">
        <v>23</v>
      </c>
      <c r="D178" t="s">
        <v>14</v>
      </c>
      <c r="E178" t="s">
        <v>15</v>
      </c>
      <c r="F178" s="3">
        <v>2646</v>
      </c>
      <c r="G178" s="4">
        <v>177</v>
      </c>
      <c r="H178">
        <f>SUM(IF(COUNTIF(D$12:D178,D178)&lt;&gt;1,0,COUNTIF(D$12:D178,D178)),H177)</f>
        <v>6</v>
      </c>
      <c r="I178">
        <f>VLOOKUP($E178,product[],2,FALSE)</f>
        <v>6.47</v>
      </c>
      <c r="J178">
        <f>data[[#This Row],[Cost per unit]]*data[[#This Row],[Units]]</f>
        <v>1145.19</v>
      </c>
    </row>
    <row r="179" spans="3:10" x14ac:dyDescent="0.25">
      <c r="C179" t="s">
        <v>5</v>
      </c>
      <c r="D179" t="s">
        <v>30</v>
      </c>
      <c r="E179" t="s">
        <v>19</v>
      </c>
      <c r="F179" s="3">
        <v>3794</v>
      </c>
      <c r="G179" s="4">
        <v>159</v>
      </c>
      <c r="H179">
        <f>SUM(IF(COUNTIF(D$12:D179,D179)&lt;&gt;1,0,COUNTIF(D$12:D179,D179)),H178)</f>
        <v>6</v>
      </c>
      <c r="I179">
        <f>VLOOKUP($E179,product[],2,FALSE)</f>
        <v>12.37</v>
      </c>
      <c r="J179">
        <f>data[[#This Row],[Cost per unit]]*data[[#This Row],[Units]]</f>
        <v>1966.83</v>
      </c>
    </row>
    <row r="180" spans="3:10" x14ac:dyDescent="0.25">
      <c r="C180" t="s">
        <v>27</v>
      </c>
      <c r="D180" t="s">
        <v>9</v>
      </c>
      <c r="E180" t="s">
        <v>19</v>
      </c>
      <c r="F180" s="3">
        <v>819</v>
      </c>
      <c r="G180" s="4">
        <v>306</v>
      </c>
      <c r="H180">
        <f>SUM(IF(COUNTIF(D$12:D180,D180)&lt;&gt;1,0,COUNTIF(D$12:D180,D180)),H179)</f>
        <v>6</v>
      </c>
      <c r="I180">
        <f>VLOOKUP($E180,product[],2,FALSE)</f>
        <v>12.37</v>
      </c>
      <c r="J180">
        <f>data[[#This Row],[Cost per unit]]*data[[#This Row],[Units]]</f>
        <v>3785.22</v>
      </c>
    </row>
    <row r="181" spans="3:10" x14ac:dyDescent="0.25">
      <c r="C181" t="s">
        <v>27</v>
      </c>
      <c r="D181" t="s">
        <v>30</v>
      </c>
      <c r="E181" t="s">
        <v>33</v>
      </c>
      <c r="F181" s="3">
        <v>2583</v>
      </c>
      <c r="G181" s="4">
        <v>18</v>
      </c>
      <c r="H181">
        <f>SUM(IF(COUNTIF(D$12:D181,D181)&lt;&gt;1,0,COUNTIF(D$12:D181,D181)),H180)</f>
        <v>6</v>
      </c>
      <c r="I181">
        <f>VLOOKUP($E181,product[],2,FALSE)</f>
        <v>10.62</v>
      </c>
      <c r="J181">
        <f>data[[#This Row],[Cost per unit]]*data[[#This Row],[Units]]</f>
        <v>191.16</v>
      </c>
    </row>
    <row r="182" spans="3:10" x14ac:dyDescent="0.25">
      <c r="C182" t="s">
        <v>23</v>
      </c>
      <c r="D182" t="s">
        <v>9</v>
      </c>
      <c r="E182" t="s">
        <v>36</v>
      </c>
      <c r="F182" s="3">
        <v>4585</v>
      </c>
      <c r="G182" s="4">
        <v>240</v>
      </c>
      <c r="H182">
        <f>SUM(IF(COUNTIF(D$12:D182,D182)&lt;&gt;1,0,COUNTIF(D$12:D182,D182)),H181)</f>
        <v>6</v>
      </c>
      <c r="I182">
        <f>VLOOKUP($E182,product[],2,FALSE)</f>
        <v>7.64</v>
      </c>
      <c r="J182">
        <f>data[[#This Row],[Cost per unit]]*data[[#This Row],[Units]]</f>
        <v>1833.6</v>
      </c>
    </row>
    <row r="183" spans="3:10" x14ac:dyDescent="0.25">
      <c r="C183" t="s">
        <v>25</v>
      </c>
      <c r="D183" t="s">
        <v>30</v>
      </c>
      <c r="E183" t="s">
        <v>19</v>
      </c>
      <c r="F183" s="3">
        <v>1652</v>
      </c>
      <c r="G183" s="4">
        <v>93</v>
      </c>
      <c r="H183">
        <f>SUM(IF(COUNTIF(D$12:D183,D183)&lt;&gt;1,0,COUNTIF(D$12:D183,D183)),H182)</f>
        <v>6</v>
      </c>
      <c r="I183">
        <f>VLOOKUP($E183,product[],2,FALSE)</f>
        <v>12.37</v>
      </c>
      <c r="J183">
        <f>data[[#This Row],[Cost per unit]]*data[[#This Row],[Units]]</f>
        <v>1150.4099999999999</v>
      </c>
    </row>
    <row r="184" spans="3:10" x14ac:dyDescent="0.25">
      <c r="C184" t="s">
        <v>35</v>
      </c>
      <c r="D184" t="s">
        <v>30</v>
      </c>
      <c r="E184" t="s">
        <v>42</v>
      </c>
      <c r="F184" s="3">
        <v>4991</v>
      </c>
      <c r="G184" s="4">
        <v>9</v>
      </c>
      <c r="H184">
        <f>SUM(IF(COUNTIF(D$12:D184,D184)&lt;&gt;1,0,COUNTIF(D$12:D184,D184)),H183)</f>
        <v>6</v>
      </c>
      <c r="I184">
        <f>VLOOKUP($E184,product[],2,FALSE)</f>
        <v>5.6</v>
      </c>
      <c r="J184">
        <f>data[[#This Row],[Cost per unit]]*data[[#This Row],[Units]]</f>
        <v>50.4</v>
      </c>
    </row>
    <row r="185" spans="3:10" x14ac:dyDescent="0.25">
      <c r="C185" t="s">
        <v>8</v>
      </c>
      <c r="D185" t="s">
        <v>30</v>
      </c>
      <c r="E185" t="s">
        <v>29</v>
      </c>
      <c r="F185" s="3">
        <v>2009</v>
      </c>
      <c r="G185" s="4">
        <v>219</v>
      </c>
      <c r="H185">
        <f>SUM(IF(COUNTIF(D$12:D185,D185)&lt;&gt;1,0,COUNTIF(D$12:D185,D185)),H184)</f>
        <v>6</v>
      </c>
      <c r="I185">
        <f>VLOOKUP($E185,product[],2,FALSE)</f>
        <v>8.7899999999999991</v>
      </c>
      <c r="J185">
        <f>data[[#This Row],[Cost per unit]]*data[[#This Row],[Units]]</f>
        <v>1925.0099999999998</v>
      </c>
    </row>
    <row r="186" spans="3:10" x14ac:dyDescent="0.25">
      <c r="C186" t="s">
        <v>26</v>
      </c>
      <c r="D186" t="s">
        <v>17</v>
      </c>
      <c r="E186" t="s">
        <v>22</v>
      </c>
      <c r="F186" s="3">
        <v>1568</v>
      </c>
      <c r="G186" s="4">
        <v>141</v>
      </c>
      <c r="H186">
        <f>SUM(IF(COUNTIF(D$12:D186,D186)&lt;&gt;1,0,COUNTIF(D$12:D186,D186)),H185)</f>
        <v>6</v>
      </c>
      <c r="I186">
        <f>VLOOKUP($E186,product[],2,FALSE)</f>
        <v>9.77</v>
      </c>
      <c r="J186">
        <f>data[[#This Row],[Cost per unit]]*data[[#This Row],[Units]]</f>
        <v>1377.57</v>
      </c>
    </row>
    <row r="187" spans="3:10" x14ac:dyDescent="0.25">
      <c r="C187" t="s">
        <v>13</v>
      </c>
      <c r="D187" t="s">
        <v>6</v>
      </c>
      <c r="E187" t="s">
        <v>33</v>
      </c>
      <c r="F187" s="3">
        <v>3388</v>
      </c>
      <c r="G187" s="4">
        <v>123</v>
      </c>
      <c r="H187">
        <f>SUM(IF(COUNTIF(D$12:D187,D187)&lt;&gt;1,0,COUNTIF(D$12:D187,D187)),H186)</f>
        <v>6</v>
      </c>
      <c r="I187">
        <f>VLOOKUP($E187,product[],2,FALSE)</f>
        <v>10.62</v>
      </c>
      <c r="J187">
        <f>data[[#This Row],[Cost per unit]]*data[[#This Row],[Units]]</f>
        <v>1306.26</v>
      </c>
    </row>
    <row r="188" spans="3:10" x14ac:dyDescent="0.25">
      <c r="C188" t="s">
        <v>5</v>
      </c>
      <c r="D188" t="s">
        <v>20</v>
      </c>
      <c r="E188" t="s">
        <v>38</v>
      </c>
      <c r="F188" s="3">
        <v>623</v>
      </c>
      <c r="G188" s="4">
        <v>51</v>
      </c>
      <c r="H188">
        <f>SUM(IF(COUNTIF(D$12:D188,D188)&lt;&gt;1,0,COUNTIF(D$12:D188,D188)),H187)</f>
        <v>6</v>
      </c>
      <c r="I188">
        <f>VLOOKUP($E188,product[],2,FALSE)</f>
        <v>4.97</v>
      </c>
      <c r="J188">
        <f>data[[#This Row],[Cost per unit]]*data[[#This Row],[Units]]</f>
        <v>253.47</v>
      </c>
    </row>
    <row r="189" spans="3:10" x14ac:dyDescent="0.25">
      <c r="C189" t="s">
        <v>16</v>
      </c>
      <c r="D189" t="s">
        <v>14</v>
      </c>
      <c r="E189" t="s">
        <v>12</v>
      </c>
      <c r="F189" s="3">
        <v>10073</v>
      </c>
      <c r="G189" s="4">
        <v>120</v>
      </c>
      <c r="H189">
        <f>SUM(IF(COUNTIF(D$12:D189,D189)&lt;&gt;1,0,COUNTIF(D$12:D189,D189)),H188)</f>
        <v>6</v>
      </c>
      <c r="I189">
        <f>VLOOKUP($E189,product[],2,FALSE)</f>
        <v>11.88</v>
      </c>
      <c r="J189">
        <f>data[[#This Row],[Cost per unit]]*data[[#This Row],[Units]]</f>
        <v>1425.6000000000001</v>
      </c>
    </row>
    <row r="190" spans="3:10" x14ac:dyDescent="0.25">
      <c r="C190" t="s">
        <v>8</v>
      </c>
      <c r="D190" t="s">
        <v>17</v>
      </c>
      <c r="E190" t="s">
        <v>42</v>
      </c>
      <c r="F190" s="3">
        <v>1561</v>
      </c>
      <c r="G190" s="4">
        <v>27</v>
      </c>
      <c r="H190">
        <f>SUM(IF(COUNTIF(D$12:D190,D190)&lt;&gt;1,0,COUNTIF(D$12:D190,D190)),H189)</f>
        <v>6</v>
      </c>
      <c r="I190">
        <f>VLOOKUP($E190,product[],2,FALSE)</f>
        <v>5.6</v>
      </c>
      <c r="J190">
        <f>data[[#This Row],[Cost per unit]]*data[[#This Row],[Units]]</f>
        <v>151.19999999999999</v>
      </c>
    </row>
    <row r="191" spans="3:10" x14ac:dyDescent="0.25">
      <c r="C191" t="s">
        <v>11</v>
      </c>
      <c r="D191" t="s">
        <v>14</v>
      </c>
      <c r="E191" t="s">
        <v>39</v>
      </c>
      <c r="F191" s="3">
        <v>11522</v>
      </c>
      <c r="G191" s="4">
        <v>204</v>
      </c>
      <c r="H191">
        <f>SUM(IF(COUNTIF(D$12:D191,D191)&lt;&gt;1,0,COUNTIF(D$12:D191,D191)),H190)</f>
        <v>6</v>
      </c>
      <c r="I191">
        <f>VLOOKUP($E191,product[],2,FALSE)</f>
        <v>16.73</v>
      </c>
      <c r="J191">
        <f>data[[#This Row],[Cost per unit]]*data[[#This Row],[Units]]</f>
        <v>3412.92</v>
      </c>
    </row>
    <row r="192" spans="3:10" x14ac:dyDescent="0.25">
      <c r="C192" t="s">
        <v>16</v>
      </c>
      <c r="D192" t="s">
        <v>20</v>
      </c>
      <c r="E192" t="s">
        <v>31</v>
      </c>
      <c r="F192" s="3">
        <v>2317</v>
      </c>
      <c r="G192" s="4">
        <v>123</v>
      </c>
      <c r="H192">
        <f>SUM(IF(COUNTIF(D$12:D192,D192)&lt;&gt;1,0,COUNTIF(D$12:D192,D192)),H191)</f>
        <v>6</v>
      </c>
      <c r="I192">
        <f>VLOOKUP($E192,product[],2,FALSE)</f>
        <v>9.33</v>
      </c>
      <c r="J192">
        <f>data[[#This Row],[Cost per unit]]*data[[#This Row],[Units]]</f>
        <v>1147.5899999999999</v>
      </c>
    </row>
    <row r="193" spans="3:10" x14ac:dyDescent="0.25">
      <c r="C193" t="s">
        <v>35</v>
      </c>
      <c r="D193" t="s">
        <v>6</v>
      </c>
      <c r="E193" t="s">
        <v>40</v>
      </c>
      <c r="F193" s="3">
        <v>3059</v>
      </c>
      <c r="G193" s="4">
        <v>27</v>
      </c>
      <c r="H193">
        <f>SUM(IF(COUNTIF(D$12:D193,D193)&lt;&gt;1,0,COUNTIF(D$12:D193,D193)),H192)</f>
        <v>6</v>
      </c>
      <c r="I193">
        <f>VLOOKUP($E193,product[],2,FALSE)</f>
        <v>10.38</v>
      </c>
      <c r="J193">
        <f>data[[#This Row],[Cost per unit]]*data[[#This Row],[Units]]</f>
        <v>280.26000000000005</v>
      </c>
    </row>
    <row r="194" spans="3:10" x14ac:dyDescent="0.25">
      <c r="C194" t="s">
        <v>13</v>
      </c>
      <c r="D194" t="s">
        <v>6</v>
      </c>
      <c r="E194" t="s">
        <v>42</v>
      </c>
      <c r="F194" s="3">
        <v>2324</v>
      </c>
      <c r="G194" s="4">
        <v>177</v>
      </c>
      <c r="H194">
        <f>SUM(IF(COUNTIF(D$12:D194,D194)&lt;&gt;1,0,COUNTIF(D$12:D194,D194)),H193)</f>
        <v>6</v>
      </c>
      <c r="I194">
        <f>VLOOKUP($E194,product[],2,FALSE)</f>
        <v>5.6</v>
      </c>
      <c r="J194">
        <f>data[[#This Row],[Cost per unit]]*data[[#This Row],[Units]]</f>
        <v>991.19999999999993</v>
      </c>
    </row>
    <row r="195" spans="3:10" x14ac:dyDescent="0.25">
      <c r="C195" t="s">
        <v>27</v>
      </c>
      <c r="D195" t="s">
        <v>17</v>
      </c>
      <c r="E195" t="s">
        <v>42</v>
      </c>
      <c r="F195" s="3">
        <v>4956</v>
      </c>
      <c r="G195" s="4">
        <v>171</v>
      </c>
      <c r="H195">
        <f>SUM(IF(COUNTIF(D$12:D195,D195)&lt;&gt;1,0,COUNTIF(D$12:D195,D195)),H194)</f>
        <v>6</v>
      </c>
      <c r="I195">
        <f>VLOOKUP($E195,product[],2,FALSE)</f>
        <v>5.6</v>
      </c>
      <c r="J195">
        <f>data[[#This Row],[Cost per unit]]*data[[#This Row],[Units]]</f>
        <v>957.59999999999991</v>
      </c>
    </row>
    <row r="196" spans="3:10" x14ac:dyDescent="0.25">
      <c r="C196" t="s">
        <v>35</v>
      </c>
      <c r="D196" t="s">
        <v>30</v>
      </c>
      <c r="E196" t="s">
        <v>36</v>
      </c>
      <c r="F196" s="3">
        <v>5355</v>
      </c>
      <c r="G196" s="4">
        <v>204</v>
      </c>
      <c r="H196">
        <f>SUM(IF(COUNTIF(D$12:D196,D196)&lt;&gt;1,0,COUNTIF(D$12:D196,D196)),H195)</f>
        <v>6</v>
      </c>
      <c r="I196">
        <f>VLOOKUP($E196,product[],2,FALSE)</f>
        <v>7.64</v>
      </c>
      <c r="J196">
        <f>data[[#This Row],[Cost per unit]]*data[[#This Row],[Units]]</f>
        <v>1558.56</v>
      </c>
    </row>
    <row r="197" spans="3:10" x14ac:dyDescent="0.25">
      <c r="C197" t="s">
        <v>27</v>
      </c>
      <c r="D197" t="s">
        <v>30</v>
      </c>
      <c r="E197" t="s">
        <v>24</v>
      </c>
      <c r="F197" s="3">
        <v>7259</v>
      </c>
      <c r="G197" s="4">
        <v>276</v>
      </c>
      <c r="H197">
        <f>SUM(IF(COUNTIF(D$12:D197,D197)&lt;&gt;1,0,COUNTIF(D$12:D197,D197)),H196)</f>
        <v>6</v>
      </c>
      <c r="I197">
        <f>VLOOKUP($E197,product[],2,FALSE)</f>
        <v>11.7</v>
      </c>
      <c r="J197">
        <f>data[[#This Row],[Cost per unit]]*data[[#This Row],[Units]]</f>
        <v>3229.2</v>
      </c>
    </row>
    <row r="198" spans="3:10" x14ac:dyDescent="0.25">
      <c r="C198" t="s">
        <v>8</v>
      </c>
      <c r="D198" t="s">
        <v>6</v>
      </c>
      <c r="E198" t="s">
        <v>42</v>
      </c>
      <c r="F198" s="3">
        <v>6279</v>
      </c>
      <c r="G198" s="4">
        <v>45</v>
      </c>
      <c r="H198">
        <f>SUM(IF(COUNTIF(D$12:D198,D198)&lt;&gt;1,0,COUNTIF(D$12:D198,D198)),H197)</f>
        <v>6</v>
      </c>
      <c r="I198">
        <f>VLOOKUP($E198,product[],2,FALSE)</f>
        <v>5.6</v>
      </c>
      <c r="J198">
        <f>data[[#This Row],[Cost per unit]]*data[[#This Row],[Units]]</f>
        <v>251.99999999999997</v>
      </c>
    </row>
    <row r="199" spans="3:10" x14ac:dyDescent="0.25">
      <c r="C199" t="s">
        <v>5</v>
      </c>
      <c r="D199" t="s">
        <v>20</v>
      </c>
      <c r="E199" t="s">
        <v>32</v>
      </c>
      <c r="F199" s="3">
        <v>2541</v>
      </c>
      <c r="G199" s="4">
        <v>45</v>
      </c>
      <c r="H199">
        <f>SUM(IF(COUNTIF(D$12:D199,D199)&lt;&gt;1,0,COUNTIF(D$12:D199,D199)),H198)</f>
        <v>6</v>
      </c>
      <c r="I199">
        <f>VLOOKUP($E199,product[],2,FALSE)</f>
        <v>7.16</v>
      </c>
      <c r="J199">
        <f>data[[#This Row],[Cost per unit]]*data[[#This Row],[Units]]</f>
        <v>322.2</v>
      </c>
    </row>
    <row r="200" spans="3:10" x14ac:dyDescent="0.25">
      <c r="C200" t="s">
        <v>16</v>
      </c>
      <c r="D200" t="s">
        <v>9</v>
      </c>
      <c r="E200" t="s">
        <v>39</v>
      </c>
      <c r="F200" s="3">
        <v>3864</v>
      </c>
      <c r="G200" s="4">
        <v>177</v>
      </c>
      <c r="H200">
        <f>SUM(IF(COUNTIF(D$12:D200,D200)&lt;&gt;1,0,COUNTIF(D$12:D200,D200)),H199)</f>
        <v>6</v>
      </c>
      <c r="I200">
        <f>VLOOKUP($E200,product[],2,FALSE)</f>
        <v>16.73</v>
      </c>
      <c r="J200">
        <f>data[[#This Row],[Cost per unit]]*data[[#This Row],[Units]]</f>
        <v>2961.21</v>
      </c>
    </row>
    <row r="201" spans="3:10" x14ac:dyDescent="0.25">
      <c r="C201" t="s">
        <v>25</v>
      </c>
      <c r="D201" t="s">
        <v>14</v>
      </c>
      <c r="E201" t="s">
        <v>31</v>
      </c>
      <c r="F201" s="3">
        <v>6146</v>
      </c>
      <c r="G201" s="4">
        <v>63</v>
      </c>
      <c r="H201">
        <f>SUM(IF(COUNTIF(D$12:D201,D201)&lt;&gt;1,0,COUNTIF(D$12:D201,D201)),H200)</f>
        <v>6</v>
      </c>
      <c r="I201">
        <f>VLOOKUP($E201,product[],2,FALSE)</f>
        <v>9.33</v>
      </c>
      <c r="J201">
        <f>data[[#This Row],[Cost per unit]]*data[[#This Row],[Units]]</f>
        <v>587.79</v>
      </c>
    </row>
    <row r="202" spans="3:10" x14ac:dyDescent="0.25">
      <c r="C202" t="s">
        <v>11</v>
      </c>
      <c r="D202" t="s">
        <v>17</v>
      </c>
      <c r="E202" t="s">
        <v>15</v>
      </c>
      <c r="F202" s="3">
        <v>2639</v>
      </c>
      <c r="G202" s="4">
        <v>204</v>
      </c>
      <c r="H202">
        <f>SUM(IF(COUNTIF(D$12:D202,D202)&lt;&gt;1,0,COUNTIF(D$12:D202,D202)),H201)</f>
        <v>6</v>
      </c>
      <c r="I202">
        <f>VLOOKUP($E202,product[],2,FALSE)</f>
        <v>6.47</v>
      </c>
      <c r="J202">
        <f>data[[#This Row],[Cost per unit]]*data[[#This Row],[Units]]</f>
        <v>1319.8799999999999</v>
      </c>
    </row>
    <row r="203" spans="3:10" x14ac:dyDescent="0.25">
      <c r="C203" t="s">
        <v>8</v>
      </c>
      <c r="D203" t="s">
        <v>6</v>
      </c>
      <c r="E203" t="s">
        <v>22</v>
      </c>
      <c r="F203" s="3">
        <v>1890</v>
      </c>
      <c r="G203" s="4">
        <v>195</v>
      </c>
      <c r="H203">
        <f>SUM(IF(COUNTIF(D$12:D203,D203)&lt;&gt;1,0,COUNTIF(D$12:D203,D203)),H202)</f>
        <v>6</v>
      </c>
      <c r="I203">
        <f>VLOOKUP($E203,product[],2,FALSE)</f>
        <v>9.77</v>
      </c>
      <c r="J203">
        <f>data[[#This Row],[Cost per unit]]*data[[#This Row],[Units]]</f>
        <v>1905.1499999999999</v>
      </c>
    </row>
    <row r="204" spans="3:10" x14ac:dyDescent="0.25">
      <c r="C204" t="s">
        <v>23</v>
      </c>
      <c r="D204" t="s">
        <v>30</v>
      </c>
      <c r="E204" t="s">
        <v>24</v>
      </c>
      <c r="F204" s="3">
        <v>1932</v>
      </c>
      <c r="G204" s="4">
        <v>369</v>
      </c>
      <c r="H204">
        <f>SUM(IF(COUNTIF(D$12:D204,D204)&lt;&gt;1,0,COUNTIF(D$12:D204,D204)),H203)</f>
        <v>6</v>
      </c>
      <c r="I204">
        <f>VLOOKUP($E204,product[],2,FALSE)</f>
        <v>11.7</v>
      </c>
      <c r="J204">
        <f>data[[#This Row],[Cost per unit]]*data[[#This Row],[Units]]</f>
        <v>4317.3</v>
      </c>
    </row>
    <row r="205" spans="3:10" x14ac:dyDescent="0.25">
      <c r="C205" t="s">
        <v>27</v>
      </c>
      <c r="D205" t="s">
        <v>30</v>
      </c>
      <c r="E205" t="s">
        <v>18</v>
      </c>
      <c r="F205" s="3">
        <v>6300</v>
      </c>
      <c r="G205" s="4">
        <v>42</v>
      </c>
      <c r="H205">
        <f>SUM(IF(COUNTIF(D$12:D205,D205)&lt;&gt;1,0,COUNTIF(D$12:D205,D205)),H204)</f>
        <v>6</v>
      </c>
      <c r="I205">
        <f>VLOOKUP($E205,product[],2,FALSE)</f>
        <v>13.15</v>
      </c>
      <c r="J205">
        <f>data[[#This Row],[Cost per unit]]*data[[#This Row],[Units]]</f>
        <v>552.30000000000007</v>
      </c>
    </row>
    <row r="206" spans="3:10" x14ac:dyDescent="0.25">
      <c r="C206" t="s">
        <v>16</v>
      </c>
      <c r="D206" t="s">
        <v>6</v>
      </c>
      <c r="E206" t="s">
        <v>7</v>
      </c>
      <c r="F206" s="3">
        <v>560</v>
      </c>
      <c r="G206" s="4">
        <v>81</v>
      </c>
      <c r="H206">
        <f>SUM(IF(COUNTIF(D$12:D206,D206)&lt;&gt;1,0,COUNTIF(D$12:D206,D206)),H205)</f>
        <v>6</v>
      </c>
      <c r="I206">
        <f>VLOOKUP($E206,product[],2,FALSE)</f>
        <v>14.49</v>
      </c>
      <c r="J206">
        <f>data[[#This Row],[Cost per unit]]*data[[#This Row],[Units]]</f>
        <v>1173.69</v>
      </c>
    </row>
    <row r="207" spans="3:10" x14ac:dyDescent="0.25">
      <c r="C207" t="s">
        <v>11</v>
      </c>
      <c r="D207" t="s">
        <v>6</v>
      </c>
      <c r="E207" t="s">
        <v>42</v>
      </c>
      <c r="F207" s="3">
        <v>2856</v>
      </c>
      <c r="G207" s="4">
        <v>246</v>
      </c>
      <c r="H207">
        <f>SUM(IF(COUNTIF(D$12:D207,D207)&lt;&gt;1,0,COUNTIF(D$12:D207,D207)),H206)</f>
        <v>6</v>
      </c>
      <c r="I207">
        <f>VLOOKUP($E207,product[],2,FALSE)</f>
        <v>5.6</v>
      </c>
      <c r="J207">
        <f>data[[#This Row],[Cost per unit]]*data[[#This Row],[Units]]</f>
        <v>1377.6</v>
      </c>
    </row>
    <row r="208" spans="3:10" x14ac:dyDescent="0.25">
      <c r="C208" t="s">
        <v>11</v>
      </c>
      <c r="D208" t="s">
        <v>30</v>
      </c>
      <c r="E208" t="s">
        <v>28</v>
      </c>
      <c r="F208" s="3">
        <v>707</v>
      </c>
      <c r="G208" s="4">
        <v>174</v>
      </c>
      <c r="H208">
        <f>SUM(IF(COUNTIF(D$12:D208,D208)&lt;&gt;1,0,COUNTIF(D$12:D208,D208)),H207)</f>
        <v>6</v>
      </c>
      <c r="I208">
        <f>VLOOKUP($E208,product[],2,FALSE)</f>
        <v>3.11</v>
      </c>
      <c r="J208">
        <f>data[[#This Row],[Cost per unit]]*data[[#This Row],[Units]]</f>
        <v>541.14</v>
      </c>
    </row>
    <row r="209" spans="3:10" x14ac:dyDescent="0.25">
      <c r="C209" t="s">
        <v>8</v>
      </c>
      <c r="D209" t="s">
        <v>9</v>
      </c>
      <c r="E209" t="s">
        <v>7</v>
      </c>
      <c r="F209" s="3">
        <v>3598</v>
      </c>
      <c r="G209" s="4">
        <v>81</v>
      </c>
      <c r="H209">
        <f>SUM(IF(COUNTIF(D$12:D209,D209)&lt;&gt;1,0,COUNTIF(D$12:D209,D209)),H208)</f>
        <v>6</v>
      </c>
      <c r="I209">
        <f>VLOOKUP($E209,product[],2,FALSE)</f>
        <v>14.49</v>
      </c>
      <c r="J209">
        <f>data[[#This Row],[Cost per unit]]*data[[#This Row],[Units]]</f>
        <v>1173.69</v>
      </c>
    </row>
    <row r="210" spans="3:10" x14ac:dyDescent="0.25">
      <c r="C210" t="s">
        <v>5</v>
      </c>
      <c r="D210" t="s">
        <v>9</v>
      </c>
      <c r="E210" t="s">
        <v>22</v>
      </c>
      <c r="F210" s="3">
        <v>6853</v>
      </c>
      <c r="G210" s="4">
        <v>372</v>
      </c>
      <c r="H210">
        <f>SUM(IF(COUNTIF(D$12:D210,D210)&lt;&gt;1,0,COUNTIF(D$12:D210,D210)),H209)</f>
        <v>6</v>
      </c>
      <c r="I210">
        <f>VLOOKUP($E210,product[],2,FALSE)</f>
        <v>9.77</v>
      </c>
      <c r="J210">
        <f>data[[#This Row],[Cost per unit]]*data[[#This Row],[Units]]</f>
        <v>3634.44</v>
      </c>
    </row>
    <row r="211" spans="3:10" x14ac:dyDescent="0.25">
      <c r="C211" t="s">
        <v>5</v>
      </c>
      <c r="D211" t="s">
        <v>9</v>
      </c>
      <c r="E211" t="s">
        <v>29</v>
      </c>
      <c r="F211" s="3">
        <v>4725</v>
      </c>
      <c r="G211" s="4">
        <v>174</v>
      </c>
      <c r="H211">
        <f>SUM(IF(COUNTIF(D$12:D211,D211)&lt;&gt;1,0,COUNTIF(D$12:D211,D211)),H210)</f>
        <v>6</v>
      </c>
      <c r="I211">
        <f>VLOOKUP($E211,product[],2,FALSE)</f>
        <v>8.7899999999999991</v>
      </c>
      <c r="J211">
        <f>data[[#This Row],[Cost per unit]]*data[[#This Row],[Units]]</f>
        <v>1529.4599999999998</v>
      </c>
    </row>
    <row r="212" spans="3:10" x14ac:dyDescent="0.25">
      <c r="C212" t="s">
        <v>13</v>
      </c>
      <c r="D212" t="s">
        <v>14</v>
      </c>
      <c r="E212" t="s">
        <v>10</v>
      </c>
      <c r="F212" s="3">
        <v>10304</v>
      </c>
      <c r="G212" s="4">
        <v>84</v>
      </c>
      <c r="H212">
        <f>SUM(IF(COUNTIF(D$12:D212,D212)&lt;&gt;1,0,COUNTIF(D$12:D212,D212)),H211)</f>
        <v>6</v>
      </c>
      <c r="I212">
        <f>VLOOKUP($E212,product[],2,FALSE)</f>
        <v>8.65</v>
      </c>
      <c r="J212">
        <f>data[[#This Row],[Cost per unit]]*data[[#This Row],[Units]]</f>
        <v>726.6</v>
      </c>
    </row>
    <row r="213" spans="3:10" x14ac:dyDescent="0.25">
      <c r="C213" t="s">
        <v>13</v>
      </c>
      <c r="D213" t="s">
        <v>30</v>
      </c>
      <c r="E213" t="s">
        <v>29</v>
      </c>
      <c r="F213" s="3">
        <v>1274</v>
      </c>
      <c r="G213" s="4">
        <v>225</v>
      </c>
      <c r="H213">
        <f>SUM(IF(COUNTIF(D$12:D213,D213)&lt;&gt;1,0,COUNTIF(D$12:D213,D213)),H212)</f>
        <v>6</v>
      </c>
      <c r="I213">
        <f>VLOOKUP($E213,product[],2,FALSE)</f>
        <v>8.7899999999999991</v>
      </c>
      <c r="J213">
        <f>data[[#This Row],[Cost per unit]]*data[[#This Row],[Units]]</f>
        <v>1977.7499999999998</v>
      </c>
    </row>
    <row r="214" spans="3:10" x14ac:dyDescent="0.25">
      <c r="C214" t="s">
        <v>25</v>
      </c>
      <c r="D214" t="s">
        <v>14</v>
      </c>
      <c r="E214" t="s">
        <v>7</v>
      </c>
      <c r="F214" s="3">
        <v>1526</v>
      </c>
      <c r="G214" s="4">
        <v>105</v>
      </c>
      <c r="H214">
        <f>SUM(IF(COUNTIF(D$12:D214,D214)&lt;&gt;1,0,COUNTIF(D$12:D214,D214)),H213)</f>
        <v>6</v>
      </c>
      <c r="I214">
        <f>VLOOKUP($E214,product[],2,FALSE)</f>
        <v>14.49</v>
      </c>
      <c r="J214">
        <f>data[[#This Row],[Cost per unit]]*data[[#This Row],[Units]]</f>
        <v>1521.45</v>
      </c>
    </row>
    <row r="215" spans="3:10" x14ac:dyDescent="0.25">
      <c r="C215" t="s">
        <v>5</v>
      </c>
      <c r="D215" t="s">
        <v>17</v>
      </c>
      <c r="E215" t="s">
        <v>40</v>
      </c>
      <c r="F215" s="3">
        <v>3101</v>
      </c>
      <c r="G215" s="4">
        <v>225</v>
      </c>
      <c r="H215">
        <f>SUM(IF(COUNTIF(D$12:D215,D215)&lt;&gt;1,0,COUNTIF(D$12:D215,D215)),H214)</f>
        <v>6</v>
      </c>
      <c r="I215">
        <f>VLOOKUP($E215,product[],2,FALSE)</f>
        <v>10.38</v>
      </c>
      <c r="J215">
        <f>data[[#This Row],[Cost per unit]]*data[[#This Row],[Units]]</f>
        <v>2335.5</v>
      </c>
    </row>
    <row r="216" spans="3:10" x14ac:dyDescent="0.25">
      <c r="C216" t="s">
        <v>26</v>
      </c>
      <c r="D216" t="s">
        <v>6</v>
      </c>
      <c r="E216" t="s">
        <v>24</v>
      </c>
      <c r="F216" s="3">
        <v>1057</v>
      </c>
      <c r="G216" s="4">
        <v>54</v>
      </c>
      <c r="H216">
        <f>SUM(IF(COUNTIF(D$12:D216,D216)&lt;&gt;1,0,COUNTIF(D$12:D216,D216)),H215)</f>
        <v>6</v>
      </c>
      <c r="I216">
        <f>VLOOKUP($E216,product[],2,FALSE)</f>
        <v>11.7</v>
      </c>
      <c r="J216">
        <f>data[[#This Row],[Cost per unit]]*data[[#This Row],[Units]]</f>
        <v>631.79999999999995</v>
      </c>
    </row>
    <row r="217" spans="3:10" x14ac:dyDescent="0.25">
      <c r="C217" t="s">
        <v>23</v>
      </c>
      <c r="D217" t="s">
        <v>6</v>
      </c>
      <c r="E217" t="s">
        <v>42</v>
      </c>
      <c r="F217" s="3">
        <v>5306</v>
      </c>
      <c r="G217" s="4">
        <v>0</v>
      </c>
      <c r="H217">
        <f>SUM(IF(COUNTIF(D$12:D217,D217)&lt;&gt;1,0,COUNTIF(D$12:D217,D217)),H216)</f>
        <v>6</v>
      </c>
      <c r="I217">
        <f>VLOOKUP($E217,product[],2,FALSE)</f>
        <v>5.6</v>
      </c>
      <c r="J217">
        <f>data[[#This Row],[Cost per unit]]*data[[#This Row],[Units]]</f>
        <v>0</v>
      </c>
    </row>
    <row r="218" spans="3:10" x14ac:dyDescent="0.25">
      <c r="C218" t="s">
        <v>25</v>
      </c>
      <c r="D218" t="s">
        <v>17</v>
      </c>
      <c r="E218" t="s">
        <v>38</v>
      </c>
      <c r="F218" s="3">
        <v>4018</v>
      </c>
      <c r="G218" s="4">
        <v>171</v>
      </c>
      <c r="H218">
        <f>SUM(IF(COUNTIF(D$12:D218,D218)&lt;&gt;1,0,COUNTIF(D$12:D218,D218)),H217)</f>
        <v>6</v>
      </c>
      <c r="I218">
        <f>VLOOKUP($E218,product[],2,FALSE)</f>
        <v>4.97</v>
      </c>
      <c r="J218">
        <f>data[[#This Row],[Cost per unit]]*data[[#This Row],[Units]]</f>
        <v>849.87</v>
      </c>
    </row>
    <row r="219" spans="3:10" x14ac:dyDescent="0.25">
      <c r="C219" t="s">
        <v>11</v>
      </c>
      <c r="D219" t="s">
        <v>30</v>
      </c>
      <c r="E219" t="s">
        <v>29</v>
      </c>
      <c r="F219" s="3">
        <v>938</v>
      </c>
      <c r="G219" s="4">
        <v>189</v>
      </c>
      <c r="H219">
        <f>SUM(IF(COUNTIF(D$12:D219,D219)&lt;&gt;1,0,COUNTIF(D$12:D219,D219)),H218)</f>
        <v>6</v>
      </c>
      <c r="I219">
        <f>VLOOKUP($E219,product[],2,FALSE)</f>
        <v>8.7899999999999991</v>
      </c>
      <c r="J219">
        <f>data[[#This Row],[Cost per unit]]*data[[#This Row],[Units]]</f>
        <v>1661.31</v>
      </c>
    </row>
    <row r="220" spans="3:10" x14ac:dyDescent="0.25">
      <c r="C220" t="s">
        <v>23</v>
      </c>
      <c r="D220" t="s">
        <v>20</v>
      </c>
      <c r="E220" t="s">
        <v>15</v>
      </c>
      <c r="F220" s="3">
        <v>1778</v>
      </c>
      <c r="G220" s="4">
        <v>270</v>
      </c>
      <c r="H220">
        <f>SUM(IF(COUNTIF(D$12:D220,D220)&lt;&gt;1,0,COUNTIF(D$12:D220,D220)),H219)</f>
        <v>6</v>
      </c>
      <c r="I220">
        <f>VLOOKUP($E220,product[],2,FALSE)</f>
        <v>6.47</v>
      </c>
      <c r="J220">
        <f>data[[#This Row],[Cost per unit]]*data[[#This Row],[Units]]</f>
        <v>1746.8999999999999</v>
      </c>
    </row>
    <row r="221" spans="3:10" x14ac:dyDescent="0.25">
      <c r="C221" t="s">
        <v>16</v>
      </c>
      <c r="D221" t="s">
        <v>17</v>
      </c>
      <c r="E221" t="s">
        <v>7</v>
      </c>
      <c r="F221" s="3">
        <v>1638</v>
      </c>
      <c r="G221" s="4">
        <v>63</v>
      </c>
      <c r="H221">
        <f>SUM(IF(COUNTIF(D$12:D221,D221)&lt;&gt;1,0,COUNTIF(D$12:D221,D221)),H220)</f>
        <v>6</v>
      </c>
      <c r="I221">
        <f>VLOOKUP($E221,product[],2,FALSE)</f>
        <v>14.49</v>
      </c>
      <c r="J221">
        <f>data[[#This Row],[Cost per unit]]*data[[#This Row],[Units]]</f>
        <v>912.87</v>
      </c>
    </row>
    <row r="222" spans="3:10" x14ac:dyDescent="0.25">
      <c r="C222" t="s">
        <v>13</v>
      </c>
      <c r="D222" t="s">
        <v>20</v>
      </c>
      <c r="E222" t="s">
        <v>18</v>
      </c>
      <c r="F222" s="3">
        <v>154</v>
      </c>
      <c r="G222" s="4">
        <v>21</v>
      </c>
      <c r="H222">
        <f>SUM(IF(COUNTIF(D$12:D222,D222)&lt;&gt;1,0,COUNTIF(D$12:D222,D222)),H221)</f>
        <v>6</v>
      </c>
      <c r="I222">
        <f>VLOOKUP($E222,product[],2,FALSE)</f>
        <v>13.15</v>
      </c>
      <c r="J222">
        <f>data[[#This Row],[Cost per unit]]*data[[#This Row],[Units]]</f>
        <v>276.15000000000003</v>
      </c>
    </row>
    <row r="223" spans="3:10" x14ac:dyDescent="0.25">
      <c r="C223" t="s">
        <v>23</v>
      </c>
      <c r="D223" t="s">
        <v>6</v>
      </c>
      <c r="E223" t="s">
        <v>22</v>
      </c>
      <c r="F223" s="3">
        <v>9835</v>
      </c>
      <c r="G223" s="4">
        <v>207</v>
      </c>
      <c r="H223">
        <f>SUM(IF(COUNTIF(D$12:D223,D223)&lt;&gt;1,0,COUNTIF(D$12:D223,D223)),H222)</f>
        <v>6</v>
      </c>
      <c r="I223">
        <f>VLOOKUP($E223,product[],2,FALSE)</f>
        <v>9.77</v>
      </c>
      <c r="J223">
        <f>data[[#This Row],[Cost per unit]]*data[[#This Row],[Units]]</f>
        <v>2022.3899999999999</v>
      </c>
    </row>
    <row r="224" spans="3:10" x14ac:dyDescent="0.25">
      <c r="C224" t="s">
        <v>11</v>
      </c>
      <c r="D224" t="s">
        <v>6</v>
      </c>
      <c r="E224" t="s">
        <v>33</v>
      </c>
      <c r="F224" s="3">
        <v>7273</v>
      </c>
      <c r="G224" s="4">
        <v>96</v>
      </c>
      <c r="H224">
        <f>SUM(IF(COUNTIF(D$12:D224,D224)&lt;&gt;1,0,COUNTIF(D$12:D224,D224)),H223)</f>
        <v>6</v>
      </c>
      <c r="I224">
        <f>VLOOKUP($E224,product[],2,FALSE)</f>
        <v>10.62</v>
      </c>
      <c r="J224">
        <f>data[[#This Row],[Cost per unit]]*data[[#This Row],[Units]]</f>
        <v>1019.52</v>
      </c>
    </row>
    <row r="225" spans="3:10" x14ac:dyDescent="0.25">
      <c r="C225" t="s">
        <v>25</v>
      </c>
      <c r="D225" t="s">
        <v>17</v>
      </c>
      <c r="E225" t="s">
        <v>22</v>
      </c>
      <c r="F225" s="3">
        <v>6909</v>
      </c>
      <c r="G225" s="4">
        <v>81</v>
      </c>
      <c r="H225">
        <f>SUM(IF(COUNTIF(D$12:D225,D225)&lt;&gt;1,0,COUNTIF(D$12:D225,D225)),H224)</f>
        <v>6</v>
      </c>
      <c r="I225">
        <f>VLOOKUP($E225,product[],2,FALSE)</f>
        <v>9.77</v>
      </c>
      <c r="J225">
        <f>data[[#This Row],[Cost per unit]]*data[[#This Row],[Units]]</f>
        <v>791.37</v>
      </c>
    </row>
    <row r="226" spans="3:10" x14ac:dyDescent="0.25">
      <c r="C226" t="s">
        <v>11</v>
      </c>
      <c r="D226" t="s">
        <v>17</v>
      </c>
      <c r="E226" t="s">
        <v>38</v>
      </c>
      <c r="F226" s="3">
        <v>3920</v>
      </c>
      <c r="G226" s="4">
        <v>306</v>
      </c>
      <c r="H226">
        <f>SUM(IF(COUNTIF(D$12:D226,D226)&lt;&gt;1,0,COUNTIF(D$12:D226,D226)),H225)</f>
        <v>6</v>
      </c>
      <c r="I226">
        <f>VLOOKUP($E226,product[],2,FALSE)</f>
        <v>4.97</v>
      </c>
      <c r="J226">
        <f>data[[#This Row],[Cost per unit]]*data[[#This Row],[Units]]</f>
        <v>1520.82</v>
      </c>
    </row>
    <row r="227" spans="3:10" x14ac:dyDescent="0.25">
      <c r="C227" t="s">
        <v>35</v>
      </c>
      <c r="D227" t="s">
        <v>17</v>
      </c>
      <c r="E227" t="s">
        <v>41</v>
      </c>
      <c r="F227" s="3">
        <v>4858</v>
      </c>
      <c r="G227" s="4">
        <v>279</v>
      </c>
      <c r="H227">
        <f>SUM(IF(COUNTIF(D$12:D227,D227)&lt;&gt;1,0,COUNTIF(D$12:D227,D227)),H226)</f>
        <v>6</v>
      </c>
      <c r="I227">
        <f>VLOOKUP($E227,product[],2,FALSE)</f>
        <v>9</v>
      </c>
      <c r="J227">
        <f>data[[#This Row],[Cost per unit]]*data[[#This Row],[Units]]</f>
        <v>2511</v>
      </c>
    </row>
    <row r="228" spans="3:10" x14ac:dyDescent="0.25">
      <c r="C228" t="s">
        <v>26</v>
      </c>
      <c r="D228" t="s">
        <v>20</v>
      </c>
      <c r="E228" t="s">
        <v>12</v>
      </c>
      <c r="F228" s="3">
        <v>3549</v>
      </c>
      <c r="G228" s="4">
        <v>3</v>
      </c>
      <c r="H228">
        <f>SUM(IF(COUNTIF(D$12:D228,D228)&lt;&gt;1,0,COUNTIF(D$12:D228,D228)),H227)</f>
        <v>6</v>
      </c>
      <c r="I228">
        <f>VLOOKUP($E228,product[],2,FALSE)</f>
        <v>11.88</v>
      </c>
      <c r="J228">
        <f>data[[#This Row],[Cost per unit]]*data[[#This Row],[Units]]</f>
        <v>35.64</v>
      </c>
    </row>
    <row r="229" spans="3:10" x14ac:dyDescent="0.25">
      <c r="C229" t="s">
        <v>23</v>
      </c>
      <c r="D229" t="s">
        <v>17</v>
      </c>
      <c r="E229" t="s">
        <v>39</v>
      </c>
      <c r="F229" s="3">
        <v>966</v>
      </c>
      <c r="G229" s="4">
        <v>198</v>
      </c>
      <c r="H229">
        <f>SUM(IF(COUNTIF(D$12:D229,D229)&lt;&gt;1,0,COUNTIF(D$12:D229,D229)),H228)</f>
        <v>6</v>
      </c>
      <c r="I229">
        <f>VLOOKUP($E229,product[],2,FALSE)</f>
        <v>16.73</v>
      </c>
      <c r="J229">
        <f>data[[#This Row],[Cost per unit]]*data[[#This Row],[Units]]</f>
        <v>3312.54</v>
      </c>
    </row>
    <row r="230" spans="3:10" x14ac:dyDescent="0.25">
      <c r="C230" t="s">
        <v>25</v>
      </c>
      <c r="D230" t="s">
        <v>17</v>
      </c>
      <c r="E230" t="s">
        <v>15</v>
      </c>
      <c r="F230" s="3">
        <v>385</v>
      </c>
      <c r="G230" s="4">
        <v>249</v>
      </c>
      <c r="H230">
        <f>SUM(IF(COUNTIF(D$12:D230,D230)&lt;&gt;1,0,COUNTIF(D$12:D230,D230)),H229)</f>
        <v>6</v>
      </c>
      <c r="I230">
        <f>VLOOKUP($E230,product[],2,FALSE)</f>
        <v>6.47</v>
      </c>
      <c r="J230">
        <f>data[[#This Row],[Cost per unit]]*data[[#This Row],[Units]]</f>
        <v>1611.03</v>
      </c>
    </row>
    <row r="231" spans="3:10" x14ac:dyDescent="0.25">
      <c r="C231" t="s">
        <v>16</v>
      </c>
      <c r="D231" t="s">
        <v>30</v>
      </c>
      <c r="E231" t="s">
        <v>29</v>
      </c>
      <c r="F231" s="3">
        <v>2219</v>
      </c>
      <c r="G231" s="4">
        <v>75</v>
      </c>
      <c r="H231">
        <f>SUM(IF(COUNTIF(D$12:D231,D231)&lt;&gt;1,0,COUNTIF(D$12:D231,D231)),H230)</f>
        <v>6</v>
      </c>
      <c r="I231">
        <f>VLOOKUP($E231,product[],2,FALSE)</f>
        <v>8.7899999999999991</v>
      </c>
      <c r="J231">
        <f>data[[#This Row],[Cost per unit]]*data[[#This Row],[Units]]</f>
        <v>659.24999999999989</v>
      </c>
    </row>
    <row r="232" spans="3:10" x14ac:dyDescent="0.25">
      <c r="C232" t="s">
        <v>11</v>
      </c>
      <c r="D232" t="s">
        <v>14</v>
      </c>
      <c r="E232" t="s">
        <v>10</v>
      </c>
      <c r="F232" s="3">
        <v>2954</v>
      </c>
      <c r="G232" s="4">
        <v>189</v>
      </c>
      <c r="H232">
        <f>SUM(IF(COUNTIF(D$12:D232,D232)&lt;&gt;1,0,COUNTIF(D$12:D232,D232)),H231)</f>
        <v>6</v>
      </c>
      <c r="I232">
        <f>VLOOKUP($E232,product[],2,FALSE)</f>
        <v>8.65</v>
      </c>
      <c r="J232">
        <f>data[[#This Row],[Cost per unit]]*data[[#This Row],[Units]]</f>
        <v>1634.8500000000001</v>
      </c>
    </row>
    <row r="233" spans="3:10" x14ac:dyDescent="0.25">
      <c r="C233" t="s">
        <v>23</v>
      </c>
      <c r="D233" t="s">
        <v>14</v>
      </c>
      <c r="E233" t="s">
        <v>10</v>
      </c>
      <c r="F233" s="3">
        <v>280</v>
      </c>
      <c r="G233" s="4">
        <v>87</v>
      </c>
      <c r="H233">
        <f>SUM(IF(COUNTIF(D$12:D233,D233)&lt;&gt;1,0,COUNTIF(D$12:D233,D233)),H232)</f>
        <v>6</v>
      </c>
      <c r="I233">
        <f>VLOOKUP($E233,product[],2,FALSE)</f>
        <v>8.65</v>
      </c>
      <c r="J233">
        <f>data[[#This Row],[Cost per unit]]*data[[#This Row],[Units]]</f>
        <v>752.55000000000007</v>
      </c>
    </row>
    <row r="234" spans="3:10" x14ac:dyDescent="0.25">
      <c r="C234" t="s">
        <v>13</v>
      </c>
      <c r="D234" t="s">
        <v>14</v>
      </c>
      <c r="E234" t="s">
        <v>7</v>
      </c>
      <c r="F234" s="3">
        <v>6118</v>
      </c>
      <c r="G234" s="4">
        <v>174</v>
      </c>
      <c r="H234">
        <f>SUM(IF(COUNTIF(D$12:D234,D234)&lt;&gt;1,0,COUNTIF(D$12:D234,D234)),H233)</f>
        <v>6</v>
      </c>
      <c r="I234">
        <f>VLOOKUP($E234,product[],2,FALSE)</f>
        <v>14.49</v>
      </c>
      <c r="J234">
        <f>data[[#This Row],[Cost per unit]]*data[[#This Row],[Units]]</f>
        <v>2521.2600000000002</v>
      </c>
    </row>
    <row r="235" spans="3:10" x14ac:dyDescent="0.25">
      <c r="C235" t="s">
        <v>26</v>
      </c>
      <c r="D235" t="s">
        <v>17</v>
      </c>
      <c r="E235" t="s">
        <v>37</v>
      </c>
      <c r="F235" s="3">
        <v>4802</v>
      </c>
      <c r="G235" s="4">
        <v>36</v>
      </c>
      <c r="H235">
        <f>SUM(IF(COUNTIF(D$12:D235,D235)&lt;&gt;1,0,COUNTIF(D$12:D235,D235)),H234)</f>
        <v>6</v>
      </c>
      <c r="I235">
        <f>VLOOKUP($E235,product[],2,FALSE)</f>
        <v>11.73</v>
      </c>
      <c r="J235">
        <f>data[[#This Row],[Cost per unit]]*data[[#This Row],[Units]]</f>
        <v>422.28000000000003</v>
      </c>
    </row>
    <row r="236" spans="3:10" x14ac:dyDescent="0.25">
      <c r="C236" t="s">
        <v>11</v>
      </c>
      <c r="D236" t="s">
        <v>20</v>
      </c>
      <c r="E236" t="s">
        <v>38</v>
      </c>
      <c r="F236" s="3">
        <v>4137</v>
      </c>
      <c r="G236" s="4">
        <v>60</v>
      </c>
      <c r="H236">
        <f>SUM(IF(COUNTIF(D$12:D236,D236)&lt;&gt;1,0,COUNTIF(D$12:D236,D236)),H235)</f>
        <v>6</v>
      </c>
      <c r="I236">
        <f>VLOOKUP($E236,product[],2,FALSE)</f>
        <v>4.97</v>
      </c>
      <c r="J236">
        <f>data[[#This Row],[Cost per unit]]*data[[#This Row],[Units]]</f>
        <v>298.2</v>
      </c>
    </row>
    <row r="237" spans="3:10" x14ac:dyDescent="0.25">
      <c r="C237" t="s">
        <v>27</v>
      </c>
      <c r="D237" t="s">
        <v>9</v>
      </c>
      <c r="E237" t="s">
        <v>34</v>
      </c>
      <c r="F237" s="3">
        <v>2023</v>
      </c>
      <c r="G237" s="4">
        <v>78</v>
      </c>
      <c r="H237">
        <f>SUM(IF(COUNTIF(D$12:D237,D237)&lt;&gt;1,0,COUNTIF(D$12:D237,D237)),H236)</f>
        <v>6</v>
      </c>
      <c r="I237">
        <f>VLOOKUP($E237,product[],2,FALSE)</f>
        <v>6.49</v>
      </c>
      <c r="J237">
        <f>data[[#This Row],[Cost per unit]]*data[[#This Row],[Units]]</f>
        <v>506.22</v>
      </c>
    </row>
    <row r="238" spans="3:10" x14ac:dyDescent="0.25">
      <c r="C238" t="s">
        <v>11</v>
      </c>
      <c r="D238" t="s">
        <v>14</v>
      </c>
      <c r="E238" t="s">
        <v>7</v>
      </c>
      <c r="F238" s="3">
        <v>9051</v>
      </c>
      <c r="G238" s="4">
        <v>57</v>
      </c>
      <c r="H238">
        <f>SUM(IF(COUNTIF(D$12:D238,D238)&lt;&gt;1,0,COUNTIF(D$12:D238,D238)),H237)</f>
        <v>6</v>
      </c>
      <c r="I238">
        <f>VLOOKUP($E238,product[],2,FALSE)</f>
        <v>14.49</v>
      </c>
      <c r="J238">
        <f>data[[#This Row],[Cost per unit]]*data[[#This Row],[Units]]</f>
        <v>825.93000000000006</v>
      </c>
    </row>
    <row r="239" spans="3:10" x14ac:dyDescent="0.25">
      <c r="C239" t="s">
        <v>11</v>
      </c>
      <c r="D239" t="s">
        <v>6</v>
      </c>
      <c r="E239" t="s">
        <v>40</v>
      </c>
      <c r="F239" s="3">
        <v>2919</v>
      </c>
      <c r="G239" s="4">
        <v>45</v>
      </c>
      <c r="H239">
        <f>SUM(IF(COUNTIF(D$12:D239,D239)&lt;&gt;1,0,COUNTIF(D$12:D239,D239)),H238)</f>
        <v>6</v>
      </c>
      <c r="I239">
        <f>VLOOKUP($E239,product[],2,FALSE)</f>
        <v>10.38</v>
      </c>
      <c r="J239">
        <f>data[[#This Row],[Cost per unit]]*data[[#This Row],[Units]]</f>
        <v>467.1</v>
      </c>
    </row>
    <row r="240" spans="3:10" x14ac:dyDescent="0.25">
      <c r="C240" t="s">
        <v>13</v>
      </c>
      <c r="D240" t="s">
        <v>20</v>
      </c>
      <c r="E240" t="s">
        <v>22</v>
      </c>
      <c r="F240" s="3">
        <v>5915</v>
      </c>
      <c r="G240" s="4">
        <v>3</v>
      </c>
      <c r="H240">
        <f>SUM(IF(COUNTIF(D$12:D240,D240)&lt;&gt;1,0,COUNTIF(D$12:D240,D240)),H239)</f>
        <v>6</v>
      </c>
      <c r="I240">
        <f>VLOOKUP($E240,product[],2,FALSE)</f>
        <v>9.77</v>
      </c>
      <c r="J240">
        <f>data[[#This Row],[Cost per unit]]*data[[#This Row],[Units]]</f>
        <v>29.31</v>
      </c>
    </row>
    <row r="241" spans="3:10" x14ac:dyDescent="0.25">
      <c r="C241" t="s">
        <v>35</v>
      </c>
      <c r="D241" t="s">
        <v>9</v>
      </c>
      <c r="E241" t="s">
        <v>37</v>
      </c>
      <c r="F241" s="3">
        <v>2562</v>
      </c>
      <c r="G241" s="4">
        <v>6</v>
      </c>
      <c r="H241">
        <f>SUM(IF(COUNTIF(D$12:D241,D241)&lt;&gt;1,0,COUNTIF(D$12:D241,D241)),H240)</f>
        <v>6</v>
      </c>
      <c r="I241">
        <f>VLOOKUP($E241,product[],2,FALSE)</f>
        <v>11.73</v>
      </c>
      <c r="J241">
        <f>data[[#This Row],[Cost per unit]]*data[[#This Row],[Units]]</f>
        <v>70.38</v>
      </c>
    </row>
    <row r="242" spans="3:10" x14ac:dyDescent="0.25">
      <c r="C242" t="s">
        <v>25</v>
      </c>
      <c r="D242" t="s">
        <v>6</v>
      </c>
      <c r="E242" t="s">
        <v>18</v>
      </c>
      <c r="F242" s="3">
        <v>8813</v>
      </c>
      <c r="G242" s="4">
        <v>21</v>
      </c>
      <c r="H242">
        <f>SUM(IF(COUNTIF(D$12:D242,D242)&lt;&gt;1,0,COUNTIF(D$12:D242,D242)),H241)</f>
        <v>6</v>
      </c>
      <c r="I242">
        <f>VLOOKUP($E242,product[],2,FALSE)</f>
        <v>13.15</v>
      </c>
      <c r="J242">
        <f>data[[#This Row],[Cost per unit]]*data[[#This Row],[Units]]</f>
        <v>276.15000000000003</v>
      </c>
    </row>
    <row r="243" spans="3:10" x14ac:dyDescent="0.25">
      <c r="C243" t="s">
        <v>25</v>
      </c>
      <c r="D243" t="s">
        <v>14</v>
      </c>
      <c r="E243" t="s">
        <v>15</v>
      </c>
      <c r="F243" s="3">
        <v>6111</v>
      </c>
      <c r="G243" s="4">
        <v>3</v>
      </c>
      <c r="H243">
        <f>SUM(IF(COUNTIF(D$12:D243,D243)&lt;&gt;1,0,COUNTIF(D$12:D243,D243)),H242)</f>
        <v>6</v>
      </c>
      <c r="I243">
        <f>VLOOKUP($E243,product[],2,FALSE)</f>
        <v>6.47</v>
      </c>
      <c r="J243">
        <f>data[[#This Row],[Cost per unit]]*data[[#This Row],[Units]]</f>
        <v>19.41</v>
      </c>
    </row>
    <row r="244" spans="3:10" x14ac:dyDescent="0.25">
      <c r="C244" t="s">
        <v>8</v>
      </c>
      <c r="D244" t="s">
        <v>30</v>
      </c>
      <c r="E244" t="s">
        <v>21</v>
      </c>
      <c r="F244" s="3">
        <v>3507</v>
      </c>
      <c r="G244" s="4">
        <v>288</v>
      </c>
      <c r="H244">
        <f>SUM(IF(COUNTIF(D$12:D244,D244)&lt;&gt;1,0,COUNTIF(D$12:D244,D244)),H243)</f>
        <v>6</v>
      </c>
      <c r="I244">
        <f>VLOOKUP($E244,product[],2,FALSE)</f>
        <v>5.79</v>
      </c>
      <c r="J244">
        <f>data[[#This Row],[Cost per unit]]*data[[#This Row],[Units]]</f>
        <v>1667.52</v>
      </c>
    </row>
    <row r="245" spans="3:10" x14ac:dyDescent="0.25">
      <c r="C245" t="s">
        <v>16</v>
      </c>
      <c r="D245" t="s">
        <v>14</v>
      </c>
      <c r="E245" t="s">
        <v>31</v>
      </c>
      <c r="F245" s="3">
        <v>4319</v>
      </c>
      <c r="G245" s="4">
        <v>30</v>
      </c>
      <c r="H245">
        <f>SUM(IF(COUNTIF(D$12:D245,D245)&lt;&gt;1,0,COUNTIF(D$12:D245,D245)),H244)</f>
        <v>6</v>
      </c>
      <c r="I245">
        <f>VLOOKUP($E245,product[],2,FALSE)</f>
        <v>9.33</v>
      </c>
      <c r="J245">
        <f>data[[#This Row],[Cost per unit]]*data[[#This Row],[Units]]</f>
        <v>279.89999999999998</v>
      </c>
    </row>
    <row r="246" spans="3:10" x14ac:dyDescent="0.25">
      <c r="C246" t="s">
        <v>5</v>
      </c>
      <c r="D246" t="s">
        <v>20</v>
      </c>
      <c r="E246" t="s">
        <v>42</v>
      </c>
      <c r="F246" s="3">
        <v>609</v>
      </c>
      <c r="G246" s="4">
        <v>87</v>
      </c>
      <c r="H246">
        <f>SUM(IF(COUNTIF(D$12:D246,D246)&lt;&gt;1,0,COUNTIF(D$12:D246,D246)),H245)</f>
        <v>6</v>
      </c>
      <c r="I246">
        <f>VLOOKUP($E246,product[],2,FALSE)</f>
        <v>5.6</v>
      </c>
      <c r="J246">
        <f>data[[#This Row],[Cost per unit]]*data[[#This Row],[Units]]</f>
        <v>487.2</v>
      </c>
    </row>
    <row r="247" spans="3:10" x14ac:dyDescent="0.25">
      <c r="C247" t="s">
        <v>5</v>
      </c>
      <c r="D247" t="s">
        <v>17</v>
      </c>
      <c r="E247" t="s">
        <v>39</v>
      </c>
      <c r="F247" s="3">
        <v>6370</v>
      </c>
      <c r="G247" s="4">
        <v>30</v>
      </c>
      <c r="H247">
        <f>SUM(IF(COUNTIF(D$12:D247,D247)&lt;&gt;1,0,COUNTIF(D$12:D247,D247)),H246)</f>
        <v>6</v>
      </c>
      <c r="I247">
        <f>VLOOKUP($E247,product[],2,FALSE)</f>
        <v>16.73</v>
      </c>
      <c r="J247">
        <f>data[[#This Row],[Cost per unit]]*data[[#This Row],[Units]]</f>
        <v>501.90000000000003</v>
      </c>
    </row>
    <row r="248" spans="3:10" x14ac:dyDescent="0.25">
      <c r="C248" t="s">
        <v>25</v>
      </c>
      <c r="D248" t="s">
        <v>20</v>
      </c>
      <c r="E248" t="s">
        <v>36</v>
      </c>
      <c r="F248" s="3">
        <v>5474</v>
      </c>
      <c r="G248" s="4">
        <v>168</v>
      </c>
      <c r="H248">
        <f>SUM(IF(COUNTIF(D$12:D248,D248)&lt;&gt;1,0,COUNTIF(D$12:D248,D248)),H247)</f>
        <v>6</v>
      </c>
      <c r="I248">
        <f>VLOOKUP($E248,product[],2,FALSE)</f>
        <v>7.64</v>
      </c>
      <c r="J248">
        <f>data[[#This Row],[Cost per unit]]*data[[#This Row],[Units]]</f>
        <v>1283.52</v>
      </c>
    </row>
    <row r="249" spans="3:10" x14ac:dyDescent="0.25">
      <c r="C249" t="s">
        <v>5</v>
      </c>
      <c r="D249" t="s">
        <v>14</v>
      </c>
      <c r="E249" t="s">
        <v>39</v>
      </c>
      <c r="F249" s="3">
        <v>3164</v>
      </c>
      <c r="G249" s="4">
        <v>306</v>
      </c>
      <c r="H249">
        <f>SUM(IF(COUNTIF(D$12:D249,D249)&lt;&gt;1,0,COUNTIF(D$12:D249,D249)),H248)</f>
        <v>6</v>
      </c>
      <c r="I249">
        <f>VLOOKUP($E249,product[],2,FALSE)</f>
        <v>16.73</v>
      </c>
      <c r="J249">
        <f>data[[#This Row],[Cost per unit]]*data[[#This Row],[Units]]</f>
        <v>5119.38</v>
      </c>
    </row>
    <row r="250" spans="3:10" x14ac:dyDescent="0.25">
      <c r="C250" t="s">
        <v>16</v>
      </c>
      <c r="D250" t="s">
        <v>9</v>
      </c>
      <c r="E250" t="s">
        <v>12</v>
      </c>
      <c r="F250" s="3">
        <v>1302</v>
      </c>
      <c r="G250" s="4">
        <v>402</v>
      </c>
      <c r="H250">
        <f>SUM(IF(COUNTIF(D$12:D250,D250)&lt;&gt;1,0,COUNTIF(D$12:D250,D250)),H249)</f>
        <v>6</v>
      </c>
      <c r="I250">
        <f>VLOOKUP($E250,product[],2,FALSE)</f>
        <v>11.88</v>
      </c>
      <c r="J250">
        <f>data[[#This Row],[Cost per unit]]*data[[#This Row],[Units]]</f>
        <v>4775.76</v>
      </c>
    </row>
    <row r="251" spans="3:10" x14ac:dyDescent="0.25">
      <c r="C251" t="s">
        <v>27</v>
      </c>
      <c r="D251" t="s">
        <v>6</v>
      </c>
      <c r="E251" t="s">
        <v>40</v>
      </c>
      <c r="F251" s="3">
        <v>7308</v>
      </c>
      <c r="G251" s="4">
        <v>327</v>
      </c>
      <c r="H251">
        <f>SUM(IF(COUNTIF(D$12:D251,D251)&lt;&gt;1,0,COUNTIF(D$12:D251,D251)),H250)</f>
        <v>6</v>
      </c>
      <c r="I251">
        <f>VLOOKUP($E251,product[],2,FALSE)</f>
        <v>10.38</v>
      </c>
      <c r="J251">
        <f>data[[#This Row],[Cost per unit]]*data[[#This Row],[Units]]</f>
        <v>3394.26</v>
      </c>
    </row>
    <row r="252" spans="3:10" x14ac:dyDescent="0.25">
      <c r="C252" t="s">
        <v>5</v>
      </c>
      <c r="D252" t="s">
        <v>6</v>
      </c>
      <c r="E252" t="s">
        <v>39</v>
      </c>
      <c r="F252" s="3">
        <v>6132</v>
      </c>
      <c r="G252" s="4">
        <v>93</v>
      </c>
      <c r="H252">
        <f>SUM(IF(COUNTIF(D$12:D252,D252)&lt;&gt;1,0,COUNTIF(D$12:D252,D252)),H251)</f>
        <v>6</v>
      </c>
      <c r="I252">
        <f>VLOOKUP($E252,product[],2,FALSE)</f>
        <v>16.73</v>
      </c>
      <c r="J252">
        <f>data[[#This Row],[Cost per unit]]*data[[#This Row],[Units]]</f>
        <v>1555.89</v>
      </c>
    </row>
    <row r="253" spans="3:10" x14ac:dyDescent="0.25">
      <c r="C253" t="s">
        <v>35</v>
      </c>
      <c r="D253" t="s">
        <v>9</v>
      </c>
      <c r="E253" t="s">
        <v>24</v>
      </c>
      <c r="F253" s="3">
        <v>3472</v>
      </c>
      <c r="G253" s="4">
        <v>96</v>
      </c>
      <c r="H253">
        <f>SUM(IF(COUNTIF(D$12:D253,D253)&lt;&gt;1,0,COUNTIF(D$12:D253,D253)),H252)</f>
        <v>6</v>
      </c>
      <c r="I253">
        <f>VLOOKUP($E253,product[],2,FALSE)</f>
        <v>11.7</v>
      </c>
      <c r="J253">
        <f>data[[#This Row],[Cost per unit]]*data[[#This Row],[Units]]</f>
        <v>1123.1999999999998</v>
      </c>
    </row>
    <row r="254" spans="3:10" x14ac:dyDescent="0.25">
      <c r="C254" t="s">
        <v>8</v>
      </c>
      <c r="D254" t="s">
        <v>17</v>
      </c>
      <c r="E254" t="s">
        <v>15</v>
      </c>
      <c r="F254" s="3">
        <v>9660</v>
      </c>
      <c r="G254" s="4">
        <v>27</v>
      </c>
      <c r="H254">
        <f>SUM(IF(COUNTIF(D$12:D254,D254)&lt;&gt;1,0,COUNTIF(D$12:D254,D254)),H253)</f>
        <v>6</v>
      </c>
      <c r="I254">
        <f>VLOOKUP($E254,product[],2,FALSE)</f>
        <v>6.47</v>
      </c>
      <c r="J254">
        <f>data[[#This Row],[Cost per unit]]*data[[#This Row],[Units]]</f>
        <v>174.69</v>
      </c>
    </row>
    <row r="255" spans="3:10" x14ac:dyDescent="0.25">
      <c r="C255" t="s">
        <v>11</v>
      </c>
      <c r="D255" t="s">
        <v>20</v>
      </c>
      <c r="E255" t="s">
        <v>42</v>
      </c>
      <c r="F255" s="3">
        <v>2436</v>
      </c>
      <c r="G255" s="4">
        <v>99</v>
      </c>
      <c r="H255">
        <f>SUM(IF(COUNTIF(D$12:D255,D255)&lt;&gt;1,0,COUNTIF(D$12:D255,D255)),H254)</f>
        <v>6</v>
      </c>
      <c r="I255">
        <f>VLOOKUP($E255,product[],2,FALSE)</f>
        <v>5.6</v>
      </c>
      <c r="J255">
        <f>data[[#This Row],[Cost per unit]]*data[[#This Row],[Units]]</f>
        <v>554.4</v>
      </c>
    </row>
    <row r="256" spans="3:10" x14ac:dyDescent="0.25">
      <c r="C256" t="s">
        <v>11</v>
      </c>
      <c r="D256" t="s">
        <v>20</v>
      </c>
      <c r="E256" t="s">
        <v>19</v>
      </c>
      <c r="F256" s="3">
        <v>9506</v>
      </c>
      <c r="G256" s="4">
        <v>87</v>
      </c>
      <c r="H256">
        <f>SUM(IF(COUNTIF(D$12:D256,D256)&lt;&gt;1,0,COUNTIF(D$12:D256,D256)),H255)</f>
        <v>6</v>
      </c>
      <c r="I256">
        <f>VLOOKUP($E256,product[],2,FALSE)</f>
        <v>12.37</v>
      </c>
      <c r="J256">
        <f>data[[#This Row],[Cost per unit]]*data[[#This Row],[Units]]</f>
        <v>1076.1899999999998</v>
      </c>
    </row>
    <row r="257" spans="3:10" x14ac:dyDescent="0.25">
      <c r="C257" t="s">
        <v>35</v>
      </c>
      <c r="D257" t="s">
        <v>6</v>
      </c>
      <c r="E257" t="s">
        <v>41</v>
      </c>
      <c r="F257" s="3">
        <v>245</v>
      </c>
      <c r="G257" s="4">
        <v>288</v>
      </c>
      <c r="H257">
        <f>SUM(IF(COUNTIF(D$12:D257,D257)&lt;&gt;1,0,COUNTIF(D$12:D257,D257)),H256)</f>
        <v>6</v>
      </c>
      <c r="I257">
        <f>VLOOKUP($E257,product[],2,FALSE)</f>
        <v>9</v>
      </c>
      <c r="J257">
        <f>data[[#This Row],[Cost per unit]]*data[[#This Row],[Units]]</f>
        <v>2592</v>
      </c>
    </row>
    <row r="258" spans="3:10" x14ac:dyDescent="0.25">
      <c r="C258" t="s">
        <v>8</v>
      </c>
      <c r="D258" t="s">
        <v>9</v>
      </c>
      <c r="E258" t="s">
        <v>33</v>
      </c>
      <c r="F258" s="3">
        <v>2702</v>
      </c>
      <c r="G258" s="4">
        <v>363</v>
      </c>
      <c r="H258">
        <f>SUM(IF(COUNTIF(D$12:D258,D258)&lt;&gt;1,0,COUNTIF(D$12:D258,D258)),H257)</f>
        <v>6</v>
      </c>
      <c r="I258">
        <f>VLOOKUP($E258,product[],2,FALSE)</f>
        <v>10.62</v>
      </c>
      <c r="J258">
        <f>data[[#This Row],[Cost per unit]]*data[[#This Row],[Units]]</f>
        <v>3855.0599999999995</v>
      </c>
    </row>
    <row r="259" spans="3:10" x14ac:dyDescent="0.25">
      <c r="C259" t="s">
        <v>35</v>
      </c>
      <c r="D259" t="s">
        <v>30</v>
      </c>
      <c r="E259" t="s">
        <v>28</v>
      </c>
      <c r="F259" s="3">
        <v>700</v>
      </c>
      <c r="G259" s="4">
        <v>87</v>
      </c>
      <c r="H259">
        <f>SUM(IF(COUNTIF(D$12:D259,D259)&lt;&gt;1,0,COUNTIF(D$12:D259,D259)),H258)</f>
        <v>6</v>
      </c>
      <c r="I259">
        <f>VLOOKUP($E259,product[],2,FALSE)</f>
        <v>3.11</v>
      </c>
      <c r="J259">
        <f>data[[#This Row],[Cost per unit]]*data[[#This Row],[Units]]</f>
        <v>270.57</v>
      </c>
    </row>
    <row r="260" spans="3:10" x14ac:dyDescent="0.25">
      <c r="C260" t="s">
        <v>16</v>
      </c>
      <c r="D260" t="s">
        <v>30</v>
      </c>
      <c r="E260" t="s">
        <v>28</v>
      </c>
      <c r="F260" s="3">
        <v>3759</v>
      </c>
      <c r="G260" s="4">
        <v>150</v>
      </c>
      <c r="H260">
        <f>SUM(IF(COUNTIF(D$12:D260,D260)&lt;&gt;1,0,COUNTIF(D$12:D260,D260)),H259)</f>
        <v>6</v>
      </c>
      <c r="I260">
        <f>VLOOKUP($E260,product[],2,FALSE)</f>
        <v>3.11</v>
      </c>
      <c r="J260">
        <f>data[[#This Row],[Cost per unit]]*data[[#This Row],[Units]]</f>
        <v>466.5</v>
      </c>
    </row>
    <row r="261" spans="3:10" x14ac:dyDescent="0.25">
      <c r="C261" t="s">
        <v>26</v>
      </c>
      <c r="D261" t="s">
        <v>9</v>
      </c>
      <c r="E261" t="s">
        <v>28</v>
      </c>
      <c r="F261" s="3">
        <v>1589</v>
      </c>
      <c r="G261" s="4">
        <v>303</v>
      </c>
      <c r="H261">
        <f>SUM(IF(COUNTIF(D$12:D261,D261)&lt;&gt;1,0,COUNTIF(D$12:D261,D261)),H260)</f>
        <v>6</v>
      </c>
      <c r="I261">
        <f>VLOOKUP($E261,product[],2,FALSE)</f>
        <v>3.11</v>
      </c>
      <c r="J261">
        <f>data[[#This Row],[Cost per unit]]*data[[#This Row],[Units]]</f>
        <v>942.32999999999993</v>
      </c>
    </row>
    <row r="262" spans="3:10" x14ac:dyDescent="0.25">
      <c r="C262" t="s">
        <v>23</v>
      </c>
      <c r="D262" t="s">
        <v>9</v>
      </c>
      <c r="E262" t="s">
        <v>40</v>
      </c>
      <c r="F262" s="3">
        <v>5194</v>
      </c>
      <c r="G262" s="4">
        <v>288</v>
      </c>
      <c r="H262">
        <f>SUM(IF(COUNTIF(D$12:D262,D262)&lt;&gt;1,0,COUNTIF(D$12:D262,D262)),H261)</f>
        <v>6</v>
      </c>
      <c r="I262">
        <f>VLOOKUP($E262,product[],2,FALSE)</f>
        <v>10.38</v>
      </c>
      <c r="J262">
        <f>data[[#This Row],[Cost per unit]]*data[[#This Row],[Units]]</f>
        <v>2989.44</v>
      </c>
    </row>
    <row r="263" spans="3:10" x14ac:dyDescent="0.25">
      <c r="C263" t="s">
        <v>35</v>
      </c>
      <c r="D263" t="s">
        <v>14</v>
      </c>
      <c r="E263" t="s">
        <v>31</v>
      </c>
      <c r="F263" s="3">
        <v>945</v>
      </c>
      <c r="G263" s="4">
        <v>75</v>
      </c>
      <c r="H263">
        <f>SUM(IF(COUNTIF(D$12:D263,D263)&lt;&gt;1,0,COUNTIF(D$12:D263,D263)),H262)</f>
        <v>6</v>
      </c>
      <c r="I263">
        <f>VLOOKUP($E263,product[],2,FALSE)</f>
        <v>9.33</v>
      </c>
      <c r="J263">
        <f>data[[#This Row],[Cost per unit]]*data[[#This Row],[Units]]</f>
        <v>699.75</v>
      </c>
    </row>
    <row r="264" spans="3:10" x14ac:dyDescent="0.25">
      <c r="C264" t="s">
        <v>5</v>
      </c>
      <c r="D264" t="s">
        <v>20</v>
      </c>
      <c r="E264" t="s">
        <v>21</v>
      </c>
      <c r="F264" s="3">
        <v>1988</v>
      </c>
      <c r="G264" s="4">
        <v>39</v>
      </c>
      <c r="H264">
        <f>SUM(IF(COUNTIF(D$12:D264,D264)&lt;&gt;1,0,COUNTIF(D$12:D264,D264)),H263)</f>
        <v>6</v>
      </c>
      <c r="I264">
        <f>VLOOKUP($E264,product[],2,FALSE)</f>
        <v>5.79</v>
      </c>
      <c r="J264">
        <f>data[[#This Row],[Cost per unit]]*data[[#This Row],[Units]]</f>
        <v>225.81</v>
      </c>
    </row>
    <row r="265" spans="3:10" x14ac:dyDescent="0.25">
      <c r="C265" t="s">
        <v>16</v>
      </c>
      <c r="D265" t="s">
        <v>30</v>
      </c>
      <c r="E265" t="s">
        <v>10</v>
      </c>
      <c r="F265" s="3">
        <v>6734</v>
      </c>
      <c r="G265" s="4">
        <v>123</v>
      </c>
      <c r="H265">
        <f>SUM(IF(COUNTIF(D$12:D265,D265)&lt;&gt;1,0,COUNTIF(D$12:D265,D265)),H264)</f>
        <v>6</v>
      </c>
      <c r="I265">
        <f>VLOOKUP($E265,product[],2,FALSE)</f>
        <v>8.65</v>
      </c>
      <c r="J265">
        <f>data[[#This Row],[Cost per unit]]*data[[#This Row],[Units]]</f>
        <v>1063.95</v>
      </c>
    </row>
    <row r="266" spans="3:10" x14ac:dyDescent="0.25">
      <c r="C266" t="s">
        <v>5</v>
      </c>
      <c r="D266" t="s">
        <v>14</v>
      </c>
      <c r="E266" t="s">
        <v>12</v>
      </c>
      <c r="F266" s="3">
        <v>217</v>
      </c>
      <c r="G266" s="4">
        <v>36</v>
      </c>
      <c r="H266">
        <f>SUM(IF(COUNTIF(D$12:D266,D266)&lt;&gt;1,0,COUNTIF(D$12:D266,D266)),H265)</f>
        <v>6</v>
      </c>
      <c r="I266">
        <f>VLOOKUP($E266,product[],2,FALSE)</f>
        <v>11.88</v>
      </c>
      <c r="J266">
        <f>data[[#This Row],[Cost per unit]]*data[[#This Row],[Units]]</f>
        <v>427.68</v>
      </c>
    </row>
    <row r="267" spans="3:10" x14ac:dyDescent="0.25">
      <c r="C267" t="s">
        <v>25</v>
      </c>
      <c r="D267" t="s">
        <v>30</v>
      </c>
      <c r="E267" t="s">
        <v>22</v>
      </c>
      <c r="F267" s="3">
        <v>6279</v>
      </c>
      <c r="G267" s="4">
        <v>237</v>
      </c>
      <c r="H267">
        <f>SUM(IF(COUNTIF(D$12:D267,D267)&lt;&gt;1,0,COUNTIF(D$12:D267,D267)),H266)</f>
        <v>6</v>
      </c>
      <c r="I267">
        <f>VLOOKUP($E267,product[],2,FALSE)</f>
        <v>9.77</v>
      </c>
      <c r="J267">
        <f>data[[#This Row],[Cost per unit]]*data[[#This Row],[Units]]</f>
        <v>2315.4899999999998</v>
      </c>
    </row>
    <row r="268" spans="3:10" x14ac:dyDescent="0.25">
      <c r="C268" t="s">
        <v>5</v>
      </c>
      <c r="D268" t="s">
        <v>14</v>
      </c>
      <c r="E268" t="s">
        <v>31</v>
      </c>
      <c r="F268" s="3">
        <v>4424</v>
      </c>
      <c r="G268" s="4">
        <v>201</v>
      </c>
      <c r="H268">
        <f>SUM(IF(COUNTIF(D$12:D268,D268)&lt;&gt;1,0,COUNTIF(D$12:D268,D268)),H267)</f>
        <v>6</v>
      </c>
      <c r="I268">
        <f>VLOOKUP($E268,product[],2,FALSE)</f>
        <v>9.33</v>
      </c>
      <c r="J268">
        <f>data[[#This Row],[Cost per unit]]*data[[#This Row],[Units]]</f>
        <v>1875.33</v>
      </c>
    </row>
    <row r="269" spans="3:10" x14ac:dyDescent="0.25">
      <c r="C269" t="s">
        <v>26</v>
      </c>
      <c r="D269" t="s">
        <v>14</v>
      </c>
      <c r="E269" t="s">
        <v>28</v>
      </c>
      <c r="F269" s="3">
        <v>189</v>
      </c>
      <c r="G269" s="4">
        <v>48</v>
      </c>
      <c r="H269">
        <f>SUM(IF(COUNTIF(D$12:D269,D269)&lt;&gt;1,0,COUNTIF(D$12:D269,D269)),H268)</f>
        <v>6</v>
      </c>
      <c r="I269">
        <f>VLOOKUP($E269,product[],2,FALSE)</f>
        <v>3.11</v>
      </c>
      <c r="J269">
        <f>data[[#This Row],[Cost per unit]]*data[[#This Row],[Units]]</f>
        <v>149.28</v>
      </c>
    </row>
    <row r="270" spans="3:10" x14ac:dyDescent="0.25">
      <c r="C270" t="s">
        <v>25</v>
      </c>
      <c r="D270" t="s">
        <v>9</v>
      </c>
      <c r="E270" t="s">
        <v>22</v>
      </c>
      <c r="F270" s="3">
        <v>490</v>
      </c>
      <c r="G270" s="4">
        <v>84</v>
      </c>
      <c r="H270">
        <f>SUM(IF(COUNTIF(D$12:D270,D270)&lt;&gt;1,0,COUNTIF(D$12:D270,D270)),H269)</f>
        <v>6</v>
      </c>
      <c r="I270">
        <f>VLOOKUP($E270,product[],2,FALSE)</f>
        <v>9.77</v>
      </c>
      <c r="J270">
        <f>data[[#This Row],[Cost per unit]]*data[[#This Row],[Units]]</f>
        <v>820.68</v>
      </c>
    </row>
    <row r="271" spans="3:10" x14ac:dyDescent="0.25">
      <c r="C271" t="s">
        <v>8</v>
      </c>
      <c r="D271" t="s">
        <v>6</v>
      </c>
      <c r="E271" t="s">
        <v>41</v>
      </c>
      <c r="F271" s="3">
        <v>434</v>
      </c>
      <c r="G271" s="4">
        <v>87</v>
      </c>
      <c r="H271">
        <f>SUM(IF(COUNTIF(D$12:D271,D271)&lt;&gt;1,0,COUNTIF(D$12:D271,D271)),H270)</f>
        <v>6</v>
      </c>
      <c r="I271">
        <f>VLOOKUP($E271,product[],2,FALSE)</f>
        <v>9</v>
      </c>
      <c r="J271">
        <f>data[[#This Row],[Cost per unit]]*data[[#This Row],[Units]]</f>
        <v>783</v>
      </c>
    </row>
    <row r="272" spans="3:10" x14ac:dyDescent="0.25">
      <c r="C272" t="s">
        <v>23</v>
      </c>
      <c r="D272" t="s">
        <v>20</v>
      </c>
      <c r="E272" t="s">
        <v>7</v>
      </c>
      <c r="F272" s="3">
        <v>10129</v>
      </c>
      <c r="G272" s="4">
        <v>312</v>
      </c>
      <c r="H272">
        <f>SUM(IF(COUNTIF(D$12:D272,D272)&lt;&gt;1,0,COUNTIF(D$12:D272,D272)),H271)</f>
        <v>6</v>
      </c>
      <c r="I272">
        <f>VLOOKUP($E272,product[],2,FALSE)</f>
        <v>14.49</v>
      </c>
      <c r="J272">
        <f>data[[#This Row],[Cost per unit]]*data[[#This Row],[Units]]</f>
        <v>4520.88</v>
      </c>
    </row>
    <row r="273" spans="3:10" x14ac:dyDescent="0.25">
      <c r="C273" t="s">
        <v>27</v>
      </c>
      <c r="D273" t="s">
        <v>17</v>
      </c>
      <c r="E273" t="s">
        <v>40</v>
      </c>
      <c r="F273" s="3">
        <v>1652</v>
      </c>
      <c r="G273" s="4">
        <v>102</v>
      </c>
      <c r="H273">
        <f>SUM(IF(COUNTIF(D$12:D273,D273)&lt;&gt;1,0,COUNTIF(D$12:D273,D273)),H272)</f>
        <v>6</v>
      </c>
      <c r="I273">
        <f>VLOOKUP($E273,product[],2,FALSE)</f>
        <v>10.38</v>
      </c>
      <c r="J273">
        <f>data[[#This Row],[Cost per unit]]*data[[#This Row],[Units]]</f>
        <v>1058.76</v>
      </c>
    </row>
    <row r="274" spans="3:10" x14ac:dyDescent="0.25">
      <c r="C274" t="s">
        <v>8</v>
      </c>
      <c r="D274" t="s">
        <v>20</v>
      </c>
      <c r="E274" t="s">
        <v>41</v>
      </c>
      <c r="F274" s="3">
        <v>6433</v>
      </c>
      <c r="G274" s="4">
        <v>78</v>
      </c>
      <c r="H274">
        <f>SUM(IF(COUNTIF(D$12:D274,D274)&lt;&gt;1,0,COUNTIF(D$12:D274,D274)),H273)</f>
        <v>6</v>
      </c>
      <c r="I274">
        <f>VLOOKUP($E274,product[],2,FALSE)</f>
        <v>9</v>
      </c>
      <c r="J274">
        <f>data[[#This Row],[Cost per unit]]*data[[#This Row],[Units]]</f>
        <v>702</v>
      </c>
    </row>
    <row r="275" spans="3:10" x14ac:dyDescent="0.25">
      <c r="C275" t="s">
        <v>27</v>
      </c>
      <c r="D275" t="s">
        <v>30</v>
      </c>
      <c r="E275" t="s">
        <v>34</v>
      </c>
      <c r="F275" s="3">
        <v>2212</v>
      </c>
      <c r="G275" s="4">
        <v>117</v>
      </c>
      <c r="H275">
        <f>SUM(IF(COUNTIF(D$12:D275,D275)&lt;&gt;1,0,COUNTIF(D$12:D275,D275)),H274)</f>
        <v>6</v>
      </c>
      <c r="I275">
        <f>VLOOKUP($E275,product[],2,FALSE)</f>
        <v>6.49</v>
      </c>
      <c r="J275">
        <f>data[[#This Row],[Cost per unit]]*data[[#This Row],[Units]]</f>
        <v>759.33</v>
      </c>
    </row>
    <row r="276" spans="3:10" x14ac:dyDescent="0.25">
      <c r="C276" t="s">
        <v>13</v>
      </c>
      <c r="D276" t="s">
        <v>9</v>
      </c>
      <c r="E276" t="s">
        <v>36</v>
      </c>
      <c r="F276" s="3">
        <v>609</v>
      </c>
      <c r="G276" s="4">
        <v>99</v>
      </c>
      <c r="H276">
        <f>SUM(IF(COUNTIF(D$12:D276,D276)&lt;&gt;1,0,COUNTIF(D$12:D276,D276)),H275)</f>
        <v>6</v>
      </c>
      <c r="I276">
        <f>VLOOKUP($E276,product[],2,FALSE)</f>
        <v>7.64</v>
      </c>
      <c r="J276">
        <f>data[[#This Row],[Cost per unit]]*data[[#This Row],[Units]]</f>
        <v>756.36</v>
      </c>
    </row>
    <row r="277" spans="3:10" x14ac:dyDescent="0.25">
      <c r="C277" t="s">
        <v>5</v>
      </c>
      <c r="D277" t="s">
        <v>9</v>
      </c>
      <c r="E277" t="s">
        <v>38</v>
      </c>
      <c r="F277" s="3">
        <v>1638</v>
      </c>
      <c r="G277" s="4">
        <v>48</v>
      </c>
      <c r="H277">
        <f>SUM(IF(COUNTIF(D$12:D277,D277)&lt;&gt;1,0,COUNTIF(D$12:D277,D277)),H276)</f>
        <v>6</v>
      </c>
      <c r="I277">
        <f>VLOOKUP($E277,product[],2,FALSE)</f>
        <v>4.97</v>
      </c>
      <c r="J277">
        <f>data[[#This Row],[Cost per unit]]*data[[#This Row],[Units]]</f>
        <v>238.56</v>
      </c>
    </row>
    <row r="278" spans="3:10" x14ac:dyDescent="0.25">
      <c r="C278" t="s">
        <v>23</v>
      </c>
      <c r="D278" t="s">
        <v>30</v>
      </c>
      <c r="E278" t="s">
        <v>37</v>
      </c>
      <c r="F278" s="3">
        <v>3829</v>
      </c>
      <c r="G278" s="4">
        <v>24</v>
      </c>
      <c r="H278">
        <f>SUM(IF(COUNTIF(D$12:D278,D278)&lt;&gt;1,0,COUNTIF(D$12:D278,D278)),H277)</f>
        <v>6</v>
      </c>
      <c r="I278">
        <f>VLOOKUP($E278,product[],2,FALSE)</f>
        <v>11.73</v>
      </c>
      <c r="J278">
        <f>data[[#This Row],[Cost per unit]]*data[[#This Row],[Units]]</f>
        <v>281.52</v>
      </c>
    </row>
    <row r="279" spans="3:10" x14ac:dyDescent="0.25">
      <c r="C279" t="s">
        <v>5</v>
      </c>
      <c r="D279" t="s">
        <v>17</v>
      </c>
      <c r="E279" t="s">
        <v>37</v>
      </c>
      <c r="F279" s="3">
        <v>5775</v>
      </c>
      <c r="G279" s="4">
        <v>42</v>
      </c>
      <c r="H279">
        <f>SUM(IF(COUNTIF(D$12:D279,D279)&lt;&gt;1,0,COUNTIF(D$12:D279,D279)),H278)</f>
        <v>6</v>
      </c>
      <c r="I279">
        <f>VLOOKUP($E279,product[],2,FALSE)</f>
        <v>11.73</v>
      </c>
      <c r="J279">
        <f>data[[#This Row],[Cost per unit]]*data[[#This Row],[Units]]</f>
        <v>492.66</v>
      </c>
    </row>
    <row r="280" spans="3:10" x14ac:dyDescent="0.25">
      <c r="C280" t="s">
        <v>16</v>
      </c>
      <c r="D280" t="s">
        <v>9</v>
      </c>
      <c r="E280" t="s">
        <v>33</v>
      </c>
      <c r="F280" s="3">
        <v>1071</v>
      </c>
      <c r="G280" s="4">
        <v>270</v>
      </c>
      <c r="H280">
        <f>SUM(IF(COUNTIF(D$12:D280,D280)&lt;&gt;1,0,COUNTIF(D$12:D280,D280)),H279)</f>
        <v>6</v>
      </c>
      <c r="I280">
        <f>VLOOKUP($E280,product[],2,FALSE)</f>
        <v>10.62</v>
      </c>
      <c r="J280">
        <f>data[[#This Row],[Cost per unit]]*data[[#This Row],[Units]]</f>
        <v>2867.3999999999996</v>
      </c>
    </row>
    <row r="281" spans="3:10" x14ac:dyDescent="0.25">
      <c r="C281" t="s">
        <v>8</v>
      </c>
      <c r="D281" t="s">
        <v>14</v>
      </c>
      <c r="E281" t="s">
        <v>34</v>
      </c>
      <c r="F281" s="3">
        <v>5019</v>
      </c>
      <c r="G281" s="4">
        <v>150</v>
      </c>
      <c r="H281">
        <f>SUM(IF(COUNTIF(D$12:D281,D281)&lt;&gt;1,0,COUNTIF(D$12:D281,D281)),H280)</f>
        <v>6</v>
      </c>
      <c r="I281">
        <f>VLOOKUP($E281,product[],2,FALSE)</f>
        <v>6.49</v>
      </c>
      <c r="J281">
        <f>data[[#This Row],[Cost per unit]]*data[[#This Row],[Units]]</f>
        <v>973.5</v>
      </c>
    </row>
    <row r="282" spans="3:10" x14ac:dyDescent="0.25">
      <c r="C282" t="s">
        <v>26</v>
      </c>
      <c r="D282" t="s">
        <v>6</v>
      </c>
      <c r="E282" t="s">
        <v>37</v>
      </c>
      <c r="F282" s="3">
        <v>2863</v>
      </c>
      <c r="G282" s="4">
        <v>42</v>
      </c>
      <c r="H282">
        <f>SUM(IF(COUNTIF(D$12:D282,D282)&lt;&gt;1,0,COUNTIF(D$12:D282,D282)),H281)</f>
        <v>6</v>
      </c>
      <c r="I282">
        <f>VLOOKUP($E282,product[],2,FALSE)</f>
        <v>11.73</v>
      </c>
      <c r="J282">
        <f>data[[#This Row],[Cost per unit]]*data[[#This Row],[Units]]</f>
        <v>492.66</v>
      </c>
    </row>
    <row r="283" spans="3:10" x14ac:dyDescent="0.25">
      <c r="C283" t="s">
        <v>5</v>
      </c>
      <c r="D283" t="s">
        <v>9</v>
      </c>
      <c r="E283" t="s">
        <v>32</v>
      </c>
      <c r="F283" s="3">
        <v>1617</v>
      </c>
      <c r="G283" s="4">
        <v>126</v>
      </c>
      <c r="H283">
        <f>SUM(IF(COUNTIF(D$12:D283,D283)&lt;&gt;1,0,COUNTIF(D$12:D283,D283)),H282)</f>
        <v>6</v>
      </c>
      <c r="I283">
        <f>VLOOKUP($E283,product[],2,FALSE)</f>
        <v>7.16</v>
      </c>
      <c r="J283">
        <f>data[[#This Row],[Cost per unit]]*data[[#This Row],[Units]]</f>
        <v>902.16</v>
      </c>
    </row>
    <row r="284" spans="3:10" x14ac:dyDescent="0.25">
      <c r="C284" t="s">
        <v>16</v>
      </c>
      <c r="D284" t="s">
        <v>6</v>
      </c>
      <c r="E284" t="s">
        <v>42</v>
      </c>
      <c r="F284" s="3">
        <v>6818</v>
      </c>
      <c r="G284" s="4">
        <v>6</v>
      </c>
      <c r="H284">
        <f>SUM(IF(COUNTIF(D$12:D284,D284)&lt;&gt;1,0,COUNTIF(D$12:D284,D284)),H283)</f>
        <v>6</v>
      </c>
      <c r="I284">
        <f>VLOOKUP($E284,product[],2,FALSE)</f>
        <v>5.6</v>
      </c>
      <c r="J284">
        <f>data[[#This Row],[Cost per unit]]*data[[#This Row],[Units]]</f>
        <v>33.599999999999994</v>
      </c>
    </row>
    <row r="285" spans="3:10" x14ac:dyDescent="0.25">
      <c r="C285" t="s">
        <v>27</v>
      </c>
      <c r="D285" t="s">
        <v>9</v>
      </c>
      <c r="E285" t="s">
        <v>37</v>
      </c>
      <c r="F285" s="3">
        <v>6657</v>
      </c>
      <c r="G285" s="4">
        <v>276</v>
      </c>
      <c r="H285">
        <f>SUM(IF(COUNTIF(D$12:D285,D285)&lt;&gt;1,0,COUNTIF(D$12:D285,D285)),H284)</f>
        <v>6</v>
      </c>
      <c r="I285">
        <f>VLOOKUP($E285,product[],2,FALSE)</f>
        <v>11.73</v>
      </c>
      <c r="J285">
        <f>data[[#This Row],[Cost per unit]]*data[[#This Row],[Units]]</f>
        <v>3237.48</v>
      </c>
    </row>
    <row r="286" spans="3:10" x14ac:dyDescent="0.25">
      <c r="C286" t="s">
        <v>27</v>
      </c>
      <c r="D286" t="s">
        <v>30</v>
      </c>
      <c r="E286" t="s">
        <v>28</v>
      </c>
      <c r="F286" s="3">
        <v>2919</v>
      </c>
      <c r="G286" s="4">
        <v>93</v>
      </c>
      <c r="H286">
        <f>SUM(IF(COUNTIF(D$12:D286,D286)&lt;&gt;1,0,COUNTIF(D$12:D286,D286)),H285)</f>
        <v>6</v>
      </c>
      <c r="I286">
        <f>VLOOKUP($E286,product[],2,FALSE)</f>
        <v>3.11</v>
      </c>
      <c r="J286">
        <f>data[[#This Row],[Cost per unit]]*data[[#This Row],[Units]]</f>
        <v>289.22999999999996</v>
      </c>
    </row>
    <row r="287" spans="3:10" x14ac:dyDescent="0.25">
      <c r="C287" t="s">
        <v>26</v>
      </c>
      <c r="D287" t="s">
        <v>14</v>
      </c>
      <c r="E287" t="s">
        <v>21</v>
      </c>
      <c r="F287" s="3">
        <v>3094</v>
      </c>
      <c r="G287" s="4">
        <v>246</v>
      </c>
      <c r="H287">
        <f>SUM(IF(COUNTIF(D$12:D287,D287)&lt;&gt;1,0,COUNTIF(D$12:D287,D287)),H286)</f>
        <v>6</v>
      </c>
      <c r="I287">
        <f>VLOOKUP($E287,product[],2,FALSE)</f>
        <v>5.79</v>
      </c>
      <c r="J287">
        <f>data[[#This Row],[Cost per unit]]*data[[#This Row],[Units]]</f>
        <v>1424.34</v>
      </c>
    </row>
    <row r="288" spans="3:10" x14ac:dyDescent="0.25">
      <c r="C288" t="s">
        <v>16</v>
      </c>
      <c r="D288" t="s">
        <v>17</v>
      </c>
      <c r="E288" t="s">
        <v>38</v>
      </c>
      <c r="F288" s="3">
        <v>2989</v>
      </c>
      <c r="G288" s="4">
        <v>3</v>
      </c>
      <c r="H288">
        <f>SUM(IF(COUNTIF(D$12:D288,D288)&lt;&gt;1,0,COUNTIF(D$12:D288,D288)),H287)</f>
        <v>6</v>
      </c>
      <c r="I288">
        <f>VLOOKUP($E288,product[],2,FALSE)</f>
        <v>4.97</v>
      </c>
      <c r="J288">
        <f>data[[#This Row],[Cost per unit]]*data[[#This Row],[Units]]</f>
        <v>14.91</v>
      </c>
    </row>
    <row r="289" spans="3:10" x14ac:dyDescent="0.25">
      <c r="C289" t="s">
        <v>8</v>
      </c>
      <c r="D289" t="s">
        <v>20</v>
      </c>
      <c r="E289" t="s">
        <v>39</v>
      </c>
      <c r="F289" s="3">
        <v>2268</v>
      </c>
      <c r="G289" s="4">
        <v>63</v>
      </c>
      <c r="H289">
        <f>SUM(IF(COUNTIF(D$12:D289,D289)&lt;&gt;1,0,COUNTIF(D$12:D289,D289)),H288)</f>
        <v>6</v>
      </c>
      <c r="I289">
        <f>VLOOKUP($E289,product[],2,FALSE)</f>
        <v>16.73</v>
      </c>
      <c r="J289">
        <f>data[[#This Row],[Cost per unit]]*data[[#This Row],[Units]]</f>
        <v>1053.99</v>
      </c>
    </row>
    <row r="290" spans="3:10" x14ac:dyDescent="0.25">
      <c r="C290" t="s">
        <v>25</v>
      </c>
      <c r="D290" t="s">
        <v>9</v>
      </c>
      <c r="E290" t="s">
        <v>21</v>
      </c>
      <c r="F290" s="3">
        <v>4753</v>
      </c>
      <c r="G290" s="4">
        <v>246</v>
      </c>
      <c r="H290">
        <f>SUM(IF(COUNTIF(D$12:D290,D290)&lt;&gt;1,0,COUNTIF(D$12:D290,D290)),H289)</f>
        <v>6</v>
      </c>
      <c r="I290">
        <f>VLOOKUP($E290,product[],2,FALSE)</f>
        <v>5.79</v>
      </c>
      <c r="J290">
        <f>data[[#This Row],[Cost per unit]]*data[[#This Row],[Units]]</f>
        <v>1424.34</v>
      </c>
    </row>
    <row r="291" spans="3:10" x14ac:dyDescent="0.25">
      <c r="C291" t="s">
        <v>26</v>
      </c>
      <c r="D291" t="s">
        <v>30</v>
      </c>
      <c r="E291" t="s">
        <v>36</v>
      </c>
      <c r="F291" s="3">
        <v>7511</v>
      </c>
      <c r="G291" s="4">
        <v>120</v>
      </c>
      <c r="H291">
        <f>SUM(IF(COUNTIF(D$12:D291,D291)&lt;&gt;1,0,COUNTIF(D$12:D291,D291)),H290)</f>
        <v>6</v>
      </c>
      <c r="I291">
        <f>VLOOKUP($E291,product[],2,FALSE)</f>
        <v>7.64</v>
      </c>
      <c r="J291">
        <f>data[[#This Row],[Cost per unit]]*data[[#This Row],[Units]]</f>
        <v>916.8</v>
      </c>
    </row>
    <row r="292" spans="3:10" x14ac:dyDescent="0.25">
      <c r="C292" t="s">
        <v>26</v>
      </c>
      <c r="D292" t="s">
        <v>20</v>
      </c>
      <c r="E292" t="s">
        <v>21</v>
      </c>
      <c r="F292" s="3">
        <v>4326</v>
      </c>
      <c r="G292" s="4">
        <v>348</v>
      </c>
      <c r="H292">
        <f>SUM(IF(COUNTIF(D$12:D292,D292)&lt;&gt;1,0,COUNTIF(D$12:D292,D292)),H291)</f>
        <v>6</v>
      </c>
      <c r="I292">
        <f>VLOOKUP($E292,product[],2,FALSE)</f>
        <v>5.79</v>
      </c>
      <c r="J292">
        <f>data[[#This Row],[Cost per unit]]*data[[#This Row],[Units]]</f>
        <v>2014.92</v>
      </c>
    </row>
    <row r="293" spans="3:10" x14ac:dyDescent="0.25">
      <c r="C293" t="s">
        <v>13</v>
      </c>
      <c r="D293" t="s">
        <v>30</v>
      </c>
      <c r="E293" t="s">
        <v>34</v>
      </c>
      <c r="F293" s="3">
        <v>4935</v>
      </c>
      <c r="G293" s="4">
        <v>126</v>
      </c>
      <c r="H293">
        <f>SUM(IF(COUNTIF(D$12:D293,D293)&lt;&gt;1,0,COUNTIF(D$12:D293,D293)),H292)</f>
        <v>6</v>
      </c>
      <c r="I293">
        <f>VLOOKUP($E293,product[],2,FALSE)</f>
        <v>6.49</v>
      </c>
      <c r="J293">
        <f>data[[#This Row],[Cost per unit]]*data[[#This Row],[Units]]</f>
        <v>817.74</v>
      </c>
    </row>
    <row r="294" spans="3:10" x14ac:dyDescent="0.25">
      <c r="C294" t="s">
        <v>16</v>
      </c>
      <c r="D294" t="s">
        <v>9</v>
      </c>
      <c r="E294" t="s">
        <v>7</v>
      </c>
      <c r="F294" s="3">
        <v>4781</v>
      </c>
      <c r="G294" s="4">
        <v>123</v>
      </c>
      <c r="H294">
        <f>SUM(IF(COUNTIF(D$12:D294,D294)&lt;&gt;1,0,COUNTIF(D$12:D294,D294)),H293)</f>
        <v>6</v>
      </c>
      <c r="I294">
        <f>VLOOKUP($E294,product[],2,FALSE)</f>
        <v>14.49</v>
      </c>
      <c r="J294">
        <f>data[[#This Row],[Cost per unit]]*data[[#This Row],[Units]]</f>
        <v>1782.27</v>
      </c>
    </row>
    <row r="295" spans="3:10" x14ac:dyDescent="0.25">
      <c r="C295" t="s">
        <v>25</v>
      </c>
      <c r="D295" t="s">
        <v>20</v>
      </c>
      <c r="E295" t="s">
        <v>18</v>
      </c>
      <c r="F295" s="3">
        <v>7483</v>
      </c>
      <c r="G295" s="4">
        <v>45</v>
      </c>
      <c r="H295">
        <f>SUM(IF(COUNTIF(D$12:D295,D295)&lt;&gt;1,0,COUNTIF(D$12:D295,D295)),H294)</f>
        <v>6</v>
      </c>
      <c r="I295">
        <f>VLOOKUP($E295,product[],2,FALSE)</f>
        <v>13.15</v>
      </c>
      <c r="J295">
        <f>data[[#This Row],[Cost per unit]]*data[[#This Row],[Units]]</f>
        <v>591.75</v>
      </c>
    </row>
    <row r="296" spans="3:10" x14ac:dyDescent="0.25">
      <c r="C296" t="s">
        <v>35</v>
      </c>
      <c r="D296" t="s">
        <v>20</v>
      </c>
      <c r="E296" t="s">
        <v>12</v>
      </c>
      <c r="F296" s="3">
        <v>6860</v>
      </c>
      <c r="G296" s="4">
        <v>126</v>
      </c>
      <c r="H296">
        <f>SUM(IF(COUNTIF(D$12:D296,D296)&lt;&gt;1,0,COUNTIF(D$12:D296,D296)),H295)</f>
        <v>6</v>
      </c>
      <c r="I296">
        <f>VLOOKUP($E296,product[],2,FALSE)</f>
        <v>11.88</v>
      </c>
      <c r="J296">
        <f>data[[#This Row],[Cost per unit]]*data[[#This Row],[Units]]</f>
        <v>1496.88</v>
      </c>
    </row>
    <row r="297" spans="3:10" x14ac:dyDescent="0.25">
      <c r="C297" t="s">
        <v>5</v>
      </c>
      <c r="D297" t="s">
        <v>6</v>
      </c>
      <c r="E297" t="s">
        <v>32</v>
      </c>
      <c r="F297" s="3">
        <v>9002</v>
      </c>
      <c r="G297" s="4">
        <v>72</v>
      </c>
      <c r="H297">
        <f>SUM(IF(COUNTIF(D$12:D297,D297)&lt;&gt;1,0,COUNTIF(D$12:D297,D297)),H296)</f>
        <v>6</v>
      </c>
      <c r="I297">
        <f>VLOOKUP($E297,product[],2,FALSE)</f>
        <v>7.16</v>
      </c>
      <c r="J297">
        <f>data[[#This Row],[Cost per unit]]*data[[#This Row],[Units]]</f>
        <v>515.52</v>
      </c>
    </row>
    <row r="298" spans="3:10" x14ac:dyDescent="0.25">
      <c r="C298" t="s">
        <v>16</v>
      </c>
      <c r="D298" t="s">
        <v>14</v>
      </c>
      <c r="E298" t="s">
        <v>32</v>
      </c>
      <c r="F298" s="3">
        <v>1400</v>
      </c>
      <c r="G298" s="4">
        <v>135</v>
      </c>
      <c r="H298">
        <f>SUM(IF(COUNTIF(D$12:D298,D298)&lt;&gt;1,0,COUNTIF(D$12:D298,D298)),H297)</f>
        <v>6</v>
      </c>
      <c r="I298">
        <f>VLOOKUP($E298,product[],2,FALSE)</f>
        <v>7.16</v>
      </c>
      <c r="J298">
        <f>data[[#This Row],[Cost per unit]]*data[[#This Row],[Units]]</f>
        <v>966.6</v>
      </c>
    </row>
    <row r="299" spans="3:10" x14ac:dyDescent="0.25">
      <c r="C299" t="s">
        <v>35</v>
      </c>
      <c r="D299" t="s">
        <v>30</v>
      </c>
      <c r="E299" t="s">
        <v>22</v>
      </c>
      <c r="F299" s="3">
        <v>4053</v>
      </c>
      <c r="G299" s="4">
        <v>24</v>
      </c>
      <c r="H299">
        <f>SUM(IF(COUNTIF(D$12:D299,D299)&lt;&gt;1,0,COUNTIF(D$12:D299,D299)),H298)</f>
        <v>6</v>
      </c>
      <c r="I299">
        <f>VLOOKUP($E299,product[],2,FALSE)</f>
        <v>9.77</v>
      </c>
      <c r="J299">
        <f>data[[#This Row],[Cost per unit]]*data[[#This Row],[Units]]</f>
        <v>234.48</v>
      </c>
    </row>
    <row r="300" spans="3:10" x14ac:dyDescent="0.25">
      <c r="C300" t="s">
        <v>23</v>
      </c>
      <c r="D300" t="s">
        <v>14</v>
      </c>
      <c r="E300" t="s">
        <v>21</v>
      </c>
      <c r="F300" s="3">
        <v>2149</v>
      </c>
      <c r="G300" s="4">
        <v>117</v>
      </c>
      <c r="H300">
        <f>SUM(IF(COUNTIF(D$12:D300,D300)&lt;&gt;1,0,COUNTIF(D$12:D300,D300)),H299)</f>
        <v>6</v>
      </c>
      <c r="I300">
        <f>VLOOKUP($E300,product[],2,FALSE)</f>
        <v>5.79</v>
      </c>
      <c r="J300">
        <f>data[[#This Row],[Cost per unit]]*data[[#This Row],[Units]]</f>
        <v>677.43</v>
      </c>
    </row>
    <row r="301" spans="3:10" x14ac:dyDescent="0.25">
      <c r="C301" t="s">
        <v>27</v>
      </c>
      <c r="D301" t="s">
        <v>17</v>
      </c>
      <c r="E301" t="s">
        <v>32</v>
      </c>
      <c r="F301" s="3">
        <v>3640</v>
      </c>
      <c r="G301" s="4">
        <v>51</v>
      </c>
      <c r="H301">
        <f>SUM(IF(COUNTIF(D$12:D301,D301)&lt;&gt;1,0,COUNTIF(D$12:D301,D301)),H300)</f>
        <v>6</v>
      </c>
      <c r="I301">
        <f>VLOOKUP($E301,product[],2,FALSE)</f>
        <v>7.16</v>
      </c>
      <c r="J301">
        <f>data[[#This Row],[Cost per unit]]*data[[#This Row],[Units]]</f>
        <v>365.16</v>
      </c>
    </row>
    <row r="302" spans="3:10" x14ac:dyDescent="0.25">
      <c r="C302" t="s">
        <v>26</v>
      </c>
      <c r="D302" t="s">
        <v>17</v>
      </c>
      <c r="E302" t="s">
        <v>34</v>
      </c>
      <c r="F302" s="3">
        <v>630</v>
      </c>
      <c r="G302" s="4">
        <v>36</v>
      </c>
      <c r="H302">
        <f>SUM(IF(COUNTIF(D$12:D302,D302)&lt;&gt;1,0,COUNTIF(D$12:D302,D302)),H301)</f>
        <v>6</v>
      </c>
      <c r="I302">
        <f>VLOOKUP($E302,product[],2,FALSE)</f>
        <v>6.49</v>
      </c>
      <c r="J302">
        <f>data[[#This Row],[Cost per unit]]*data[[#This Row],[Units]]</f>
        <v>233.64000000000001</v>
      </c>
    </row>
    <row r="303" spans="3:10" x14ac:dyDescent="0.25">
      <c r="C303" t="s">
        <v>11</v>
      </c>
      <c r="D303" t="s">
        <v>9</v>
      </c>
      <c r="E303" t="s">
        <v>39</v>
      </c>
      <c r="F303" s="3">
        <v>2429</v>
      </c>
      <c r="G303" s="4">
        <v>144</v>
      </c>
      <c r="H303">
        <f>SUM(IF(COUNTIF(D$12:D303,D303)&lt;&gt;1,0,COUNTIF(D$12:D303,D303)),H302)</f>
        <v>6</v>
      </c>
      <c r="I303">
        <f>VLOOKUP($E303,product[],2,FALSE)</f>
        <v>16.73</v>
      </c>
      <c r="J303">
        <f>data[[#This Row],[Cost per unit]]*data[[#This Row],[Units]]</f>
        <v>2409.12</v>
      </c>
    </row>
    <row r="304" spans="3:10" x14ac:dyDescent="0.25">
      <c r="C304" t="s">
        <v>11</v>
      </c>
      <c r="D304" t="s">
        <v>14</v>
      </c>
      <c r="E304" t="s">
        <v>18</v>
      </c>
      <c r="F304" s="3">
        <v>2142</v>
      </c>
      <c r="G304" s="4">
        <v>114</v>
      </c>
      <c r="H304">
        <f>SUM(IF(COUNTIF(D$12:D304,D304)&lt;&gt;1,0,COUNTIF(D$12:D304,D304)),H303)</f>
        <v>6</v>
      </c>
      <c r="I304">
        <f>VLOOKUP($E304,product[],2,FALSE)</f>
        <v>13.15</v>
      </c>
      <c r="J304">
        <f>data[[#This Row],[Cost per unit]]*data[[#This Row],[Units]]</f>
        <v>1499.1000000000001</v>
      </c>
    </row>
    <row r="305" spans="3:10" x14ac:dyDescent="0.25">
      <c r="C305" t="s">
        <v>23</v>
      </c>
      <c r="D305" t="s">
        <v>6</v>
      </c>
      <c r="E305" t="s">
        <v>7</v>
      </c>
      <c r="F305" s="3">
        <v>6454</v>
      </c>
      <c r="G305" s="4">
        <v>54</v>
      </c>
      <c r="H305">
        <f>SUM(IF(COUNTIF(D$12:D305,D305)&lt;&gt;1,0,COUNTIF(D$12:D305,D305)),H304)</f>
        <v>6</v>
      </c>
      <c r="I305">
        <f>VLOOKUP($E305,product[],2,FALSE)</f>
        <v>14.49</v>
      </c>
      <c r="J305">
        <f>data[[#This Row],[Cost per unit]]*data[[#This Row],[Units]]</f>
        <v>782.46</v>
      </c>
    </row>
    <row r="306" spans="3:10" x14ac:dyDescent="0.25">
      <c r="C306" t="s">
        <v>23</v>
      </c>
      <c r="D306" t="s">
        <v>6</v>
      </c>
      <c r="E306" t="s">
        <v>29</v>
      </c>
      <c r="F306" s="3">
        <v>4487</v>
      </c>
      <c r="G306" s="4">
        <v>333</v>
      </c>
      <c r="H306">
        <f>SUM(IF(COUNTIF(D$12:D306,D306)&lt;&gt;1,0,COUNTIF(D$12:D306,D306)),H305)</f>
        <v>6</v>
      </c>
      <c r="I306">
        <f>VLOOKUP($E306,product[],2,FALSE)</f>
        <v>8.7899999999999991</v>
      </c>
      <c r="J306">
        <f>data[[#This Row],[Cost per unit]]*data[[#This Row],[Units]]</f>
        <v>2927.0699999999997</v>
      </c>
    </row>
    <row r="307" spans="3:10" x14ac:dyDescent="0.25">
      <c r="C307" t="s">
        <v>27</v>
      </c>
      <c r="D307" t="s">
        <v>6</v>
      </c>
      <c r="E307" t="s">
        <v>12</v>
      </c>
      <c r="F307" s="3">
        <v>938</v>
      </c>
      <c r="G307" s="4">
        <v>366</v>
      </c>
      <c r="H307">
        <f>SUM(IF(COUNTIF(D$12:D307,D307)&lt;&gt;1,0,COUNTIF(D$12:D307,D307)),H306)</f>
        <v>6</v>
      </c>
      <c r="I307">
        <f>VLOOKUP($E307,product[],2,FALSE)</f>
        <v>11.88</v>
      </c>
      <c r="J307">
        <f>data[[#This Row],[Cost per unit]]*data[[#This Row],[Units]]</f>
        <v>4348.08</v>
      </c>
    </row>
    <row r="308" spans="3:10" x14ac:dyDescent="0.25">
      <c r="C308" t="s">
        <v>27</v>
      </c>
      <c r="D308" t="s">
        <v>20</v>
      </c>
      <c r="E308" t="s">
        <v>42</v>
      </c>
      <c r="F308" s="3">
        <v>8841</v>
      </c>
      <c r="G308" s="4">
        <v>303</v>
      </c>
      <c r="H308">
        <f>SUM(IF(COUNTIF(D$12:D308,D308)&lt;&gt;1,0,COUNTIF(D$12:D308,D308)),H307)</f>
        <v>6</v>
      </c>
      <c r="I308">
        <f>VLOOKUP($E308,product[],2,FALSE)</f>
        <v>5.6</v>
      </c>
      <c r="J308">
        <f>data[[#This Row],[Cost per unit]]*data[[#This Row],[Units]]</f>
        <v>1696.8</v>
      </c>
    </row>
    <row r="309" spans="3:10" x14ac:dyDescent="0.25">
      <c r="C309" t="s">
        <v>26</v>
      </c>
      <c r="D309" t="s">
        <v>17</v>
      </c>
      <c r="E309" t="s">
        <v>19</v>
      </c>
      <c r="F309" s="3">
        <v>4018</v>
      </c>
      <c r="G309" s="4">
        <v>126</v>
      </c>
      <c r="H309">
        <f>SUM(IF(COUNTIF(D$12:D309,D309)&lt;&gt;1,0,COUNTIF(D$12:D309,D309)),H308)</f>
        <v>6</v>
      </c>
      <c r="I309">
        <f>VLOOKUP($E309,product[],2,FALSE)</f>
        <v>12.37</v>
      </c>
      <c r="J309">
        <f>data[[#This Row],[Cost per unit]]*data[[#This Row],[Units]]</f>
        <v>1558.62</v>
      </c>
    </row>
    <row r="310" spans="3:10" x14ac:dyDescent="0.25">
      <c r="C310" t="s">
        <v>13</v>
      </c>
      <c r="D310" t="s">
        <v>6</v>
      </c>
      <c r="E310" t="s">
        <v>37</v>
      </c>
      <c r="F310" s="3">
        <v>714</v>
      </c>
      <c r="G310" s="4">
        <v>231</v>
      </c>
      <c r="H310">
        <f>SUM(IF(COUNTIF(D$12:D310,D310)&lt;&gt;1,0,COUNTIF(D$12:D310,D310)),H309)</f>
        <v>6</v>
      </c>
      <c r="I310">
        <f>VLOOKUP($E310,product[],2,FALSE)</f>
        <v>11.73</v>
      </c>
      <c r="J310">
        <f>data[[#This Row],[Cost per unit]]*data[[#This Row],[Units]]</f>
        <v>2709.63</v>
      </c>
    </row>
    <row r="311" spans="3:10" x14ac:dyDescent="0.25">
      <c r="C311" t="s">
        <v>11</v>
      </c>
      <c r="D311" t="s">
        <v>20</v>
      </c>
      <c r="E311" t="s">
        <v>18</v>
      </c>
      <c r="F311" s="3">
        <v>3850</v>
      </c>
      <c r="G311" s="4">
        <v>102</v>
      </c>
      <c r="H311">
        <f>SUM(IF(COUNTIF(D$12:D311,D311)&lt;&gt;1,0,COUNTIF(D$12:D311,D311)),H310)</f>
        <v>6</v>
      </c>
      <c r="I311">
        <f>VLOOKUP($E311,product[],2,FALSE)</f>
        <v>13.15</v>
      </c>
      <c r="J311">
        <f>data[[#This Row],[Cost per unit]]*data[[#This Row],[Units]]</f>
        <v>1341.3</v>
      </c>
    </row>
  </sheetData>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AC20"/>
  <sheetViews>
    <sheetView showGridLines="0" workbookViewId="0">
      <selection activeCell="R5" sqref="R5"/>
    </sheetView>
  </sheetViews>
  <sheetFormatPr defaultRowHeight="15" x14ac:dyDescent="0.25"/>
  <cols>
    <col min="1" max="1" width="1.7109375" customWidth="1"/>
    <col min="6" max="6" width="10.42578125" customWidth="1"/>
    <col min="8" max="8" width="8.5703125" bestFit="1" customWidth="1"/>
    <col min="9" max="9" width="11.85546875" customWidth="1"/>
    <col min="13" max="13" width="12.28515625" bestFit="1" customWidth="1"/>
    <col min="17" max="17" width="12.28515625" bestFit="1" customWidth="1"/>
    <col min="19" max="19" width="5.140625" customWidth="1"/>
    <col min="29" max="29" width="0" hidden="1" customWidth="1"/>
  </cols>
  <sheetData>
    <row r="1" spans="1:29" s="19" customFormat="1" ht="52.5" customHeight="1" x14ac:dyDescent="0.25">
      <c r="A1" s="58"/>
      <c r="B1" s="60">
        <v>9</v>
      </c>
      <c r="C1" s="61" t="s">
        <v>60</v>
      </c>
    </row>
    <row r="4" spans="1:29" x14ac:dyDescent="0.25">
      <c r="AC4" t="s">
        <v>71</v>
      </c>
    </row>
    <row r="5" spans="1:29" ht="21" x14ac:dyDescent="0.35">
      <c r="E5" s="72" t="s">
        <v>72</v>
      </c>
      <c r="G5" s="80" t="s">
        <v>30</v>
      </c>
      <c r="H5" s="81"/>
      <c r="M5" s="56">
        <v>12000</v>
      </c>
      <c r="AC5" t="s">
        <v>30</v>
      </c>
    </row>
    <row r="6" spans="1:29" x14ac:dyDescent="0.25">
      <c r="AC6" t="s">
        <v>14</v>
      </c>
    </row>
    <row r="7" spans="1:29" x14ac:dyDescent="0.25">
      <c r="AC7" t="s">
        <v>9</v>
      </c>
    </row>
    <row r="8" spans="1:29" x14ac:dyDescent="0.25">
      <c r="E8" s="46" t="s">
        <v>73</v>
      </c>
      <c r="F8" s="46"/>
      <c r="G8" s="46"/>
      <c r="H8" s="46"/>
      <c r="I8" s="46"/>
      <c r="K8" s="46" t="s">
        <v>80</v>
      </c>
      <c r="L8" s="46"/>
      <c r="M8" s="46"/>
      <c r="N8" s="46"/>
      <c r="O8" s="46"/>
      <c r="AC8" t="s">
        <v>20</v>
      </c>
    </row>
    <row r="9" spans="1:29" x14ac:dyDescent="0.25">
      <c r="AC9" t="s">
        <v>17</v>
      </c>
    </row>
    <row r="10" spans="1:29" x14ac:dyDescent="0.25">
      <c r="F10" s="52" t="s">
        <v>74</v>
      </c>
      <c r="G10" s="49"/>
      <c r="H10" s="49"/>
      <c r="I10" s="49">
        <f>COUNTIF(data[Geography],$G$5)</f>
        <v>58</v>
      </c>
      <c r="K10" s="48"/>
      <c r="L10" s="48"/>
      <c r="M10" s="53" t="s">
        <v>3</v>
      </c>
      <c r="N10" s="53" t="s">
        <v>4</v>
      </c>
      <c r="O10" s="54" t="s">
        <v>81</v>
      </c>
      <c r="AC10" t="s">
        <v>6</v>
      </c>
    </row>
    <row r="11" spans="1:29" x14ac:dyDescent="0.25">
      <c r="K11" s="49" t="s">
        <v>26</v>
      </c>
      <c r="L11" s="49"/>
      <c r="M11" s="50">
        <f>SUMIFS(data[Amount],data[Sales Person],$K11,data[Geography],$G$5)</f>
        <v>7763</v>
      </c>
      <c r="N11" s="51">
        <f>SUMIFS(data[Units],data[Sales Person],$K11,data[Geography],$G$5)</f>
        <v>174</v>
      </c>
      <c r="O11" s="55">
        <f t="shared" ref="O11:O20" si="0">IF(M11&gt;=$M$5,1,-1)</f>
        <v>-1</v>
      </c>
    </row>
    <row r="12" spans="1:29" x14ac:dyDescent="0.25">
      <c r="F12" s="48"/>
      <c r="G12" s="48"/>
      <c r="H12" s="53" t="s">
        <v>75</v>
      </c>
      <c r="I12" s="53" t="s">
        <v>43</v>
      </c>
      <c r="K12" s="49" t="s">
        <v>8</v>
      </c>
      <c r="L12" s="49"/>
      <c r="M12" s="50">
        <f>SUMIFS(data[Amount],data[Sales Person],$K12,data[Geography],$G$5)</f>
        <v>5516</v>
      </c>
      <c r="N12" s="51">
        <f>SUMIFS(data[Units],data[Sales Person],$K12,data[Geography],$G$5)</f>
        <v>507</v>
      </c>
      <c r="O12" s="55">
        <f t="shared" si="0"/>
        <v>-1</v>
      </c>
    </row>
    <row r="13" spans="1:29" x14ac:dyDescent="0.25">
      <c r="F13" s="49" t="s">
        <v>76</v>
      </c>
      <c r="G13" s="49"/>
      <c r="H13" s="50">
        <f>SUMIFS(data[Amount],data[Geography],$G$5)</f>
        <v>252469</v>
      </c>
      <c r="I13" s="50">
        <f>AVERAGEIFS(data[Amount],data[Geography],$G$5)</f>
        <v>4352.9137931034484</v>
      </c>
      <c r="K13" s="49" t="s">
        <v>13</v>
      </c>
      <c r="L13" s="49"/>
      <c r="M13" s="50">
        <f>SUMIFS(data[Amount],data[Sales Person],$K13,data[Geography],$G$5)</f>
        <v>15855</v>
      </c>
      <c r="N13" s="51">
        <f>SUMIFS(data[Units],data[Sales Person],$K13,data[Geography],$G$5)</f>
        <v>708</v>
      </c>
      <c r="O13" s="55">
        <f t="shared" si="0"/>
        <v>1</v>
      </c>
    </row>
    <row r="14" spans="1:29" x14ac:dyDescent="0.25">
      <c r="F14" s="49" t="s">
        <v>77</v>
      </c>
      <c r="G14" s="49"/>
      <c r="H14" s="50">
        <f>SUMIFS(data[Total cost],data[Geography],$G$5)</f>
        <v>80681.400000000038</v>
      </c>
      <c r="I14" s="50">
        <f>AVERAGEIFS(data[Total cost],data[Geography],$G$5)</f>
        <v>1391.0586206896558</v>
      </c>
      <c r="K14" s="49" t="s">
        <v>23</v>
      </c>
      <c r="L14" s="49"/>
      <c r="M14" s="50">
        <f>SUMIFS(data[Amount],data[Sales Person],$K14,data[Geography],$G$5)</f>
        <v>31661</v>
      </c>
      <c r="N14" s="51">
        <f>SUMIFS(data[Units],data[Sales Person],$K14,data[Geography],$G$5)</f>
        <v>978</v>
      </c>
      <c r="O14" s="55">
        <f t="shared" si="0"/>
        <v>1</v>
      </c>
    </row>
    <row r="15" spans="1:29" x14ac:dyDescent="0.25">
      <c r="F15" s="49" t="s">
        <v>78</v>
      </c>
      <c r="G15" s="49"/>
      <c r="H15" s="50">
        <f>H13-H14</f>
        <v>171787.59999999998</v>
      </c>
      <c r="I15" s="50">
        <f>I13-I14</f>
        <v>2961.8551724137924</v>
      </c>
      <c r="K15" s="49" t="s">
        <v>16</v>
      </c>
      <c r="L15" s="49"/>
      <c r="M15" s="50">
        <f>SUMIFS(data[Amount],data[Sales Person],$K15,data[Geography],$G$5)</f>
        <v>33670</v>
      </c>
      <c r="N15" s="51">
        <f>SUMIFS(data[Units],data[Sales Person],$K15,data[Geography],$G$5)</f>
        <v>1515</v>
      </c>
      <c r="O15" s="55">
        <f t="shared" si="0"/>
        <v>1</v>
      </c>
    </row>
    <row r="16" spans="1:29" x14ac:dyDescent="0.25">
      <c r="F16" s="49" t="s">
        <v>79</v>
      </c>
      <c r="G16" s="49"/>
      <c r="H16" s="51">
        <f>SUMIFS(data[Units],data[Geography],$G$5)</f>
        <v>8760</v>
      </c>
      <c r="I16" s="51">
        <f>AVERAGEIFS(data[Units],data[Geography],$G$5)</f>
        <v>151.0344827586207</v>
      </c>
      <c r="K16" s="49" t="s">
        <v>25</v>
      </c>
      <c r="L16" s="49"/>
      <c r="M16" s="50">
        <f>SUMIFS(data[Amount],data[Sales Person],$K16,data[Geography],$G$5)</f>
        <v>41559</v>
      </c>
      <c r="N16" s="51">
        <f>SUMIFS(data[Units],data[Sales Person],$K16,data[Geography],$G$5)</f>
        <v>1188</v>
      </c>
      <c r="O16" s="55">
        <f t="shared" si="0"/>
        <v>1</v>
      </c>
    </row>
    <row r="17" spans="9:15" x14ac:dyDescent="0.25">
      <c r="I17" s="47"/>
      <c r="J17" s="47"/>
      <c r="K17" s="49" t="s">
        <v>27</v>
      </c>
      <c r="L17" s="49"/>
      <c r="M17" s="50">
        <f>SUMIFS(data[Amount],data[Sales Person],$K17,data[Geography],$G$5)</f>
        <v>35847</v>
      </c>
      <c r="N17" s="51">
        <f>SUMIFS(data[Units],data[Sales Person],$K17,data[Geography],$G$5)</f>
        <v>1416</v>
      </c>
      <c r="O17" s="55">
        <f t="shared" si="0"/>
        <v>1</v>
      </c>
    </row>
    <row r="18" spans="9:15" x14ac:dyDescent="0.25">
      <c r="I18" s="47"/>
      <c r="J18" s="47"/>
      <c r="K18" s="49" t="s">
        <v>11</v>
      </c>
      <c r="L18" s="49"/>
      <c r="M18" s="50">
        <f>SUMIFS(data[Amount],data[Sales Person],$K18,data[Geography],$G$5)</f>
        <v>39424</v>
      </c>
      <c r="N18" s="51">
        <f>SUMIFS(data[Units],data[Sales Person],$K18,data[Geography],$G$5)</f>
        <v>1122</v>
      </c>
      <c r="O18" s="55">
        <f t="shared" si="0"/>
        <v>1</v>
      </c>
    </row>
    <row r="19" spans="9:15" x14ac:dyDescent="0.25">
      <c r="I19" s="47"/>
      <c r="J19" s="47"/>
      <c r="K19" s="49" t="s">
        <v>35</v>
      </c>
      <c r="L19" s="49"/>
      <c r="M19" s="50">
        <f>SUMIFS(data[Amount],data[Sales Person],$K19,data[Geography],$G$5)</f>
        <v>16527</v>
      </c>
      <c r="N19" s="51">
        <f>SUMIFS(data[Units],data[Sales Person],$K19,data[Geography],$G$5)</f>
        <v>417</v>
      </c>
      <c r="O19" s="55">
        <f t="shared" si="0"/>
        <v>1</v>
      </c>
    </row>
    <row r="20" spans="9:15" x14ac:dyDescent="0.25">
      <c r="K20" s="49" t="s">
        <v>5</v>
      </c>
      <c r="L20" s="49"/>
      <c r="M20" s="50">
        <f>SUMIFS(data[Amount],data[Sales Person],$K20,data[Geography],$G$5)</f>
        <v>24647</v>
      </c>
      <c r="N20" s="51">
        <f>SUMIFS(data[Units],data[Sales Person],$K20,data[Geography],$G$5)</f>
        <v>735</v>
      </c>
      <c r="O20" s="55">
        <f t="shared" si="0"/>
        <v>1</v>
      </c>
    </row>
  </sheetData>
  <mergeCells count="1">
    <mergeCell ref="G5:H5"/>
  </mergeCells>
  <conditionalFormatting sqref="M11:M20">
    <cfRule type="dataBar" priority="2">
      <dataBar>
        <cfvo type="min"/>
        <cfvo type="max"/>
        <color theme="8" tint="0.59999389629810485"/>
      </dataBar>
      <extLst>
        <ext xmlns:x14="http://schemas.microsoft.com/office/spreadsheetml/2009/9/main" uri="{B025F937-C7B1-47D3-B67F-A62EFF666E3E}">
          <x14:id>{A2D89822-09FD-4D12-AA19-5000EE901601}</x14:id>
        </ext>
      </extLst>
    </cfRule>
  </conditionalFormatting>
  <dataValidations count="1">
    <dataValidation type="list" allowBlank="1" showInputMessage="1" showErrorMessage="1" sqref="G5:H5">
      <formula1>$AC$5:$AC$10</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A2D89822-09FD-4D12-AA19-5000EE901601}">
            <x14:dataBar minLength="0" maxLength="100" gradient="0">
              <x14:cfvo type="autoMin"/>
              <x14:cfvo type="autoMax"/>
              <x14:negativeFillColor rgb="FFFF0000"/>
              <x14:axisColor rgb="FF000000"/>
            </x14:dataBar>
          </x14:cfRule>
          <xm:sqref>M11:M20</xm:sqref>
        </x14:conditionalFormatting>
        <x14:conditionalFormatting xmlns:xm="http://schemas.microsoft.com/office/excel/2006/main">
          <x14:cfRule type="iconSet" priority="1" id="{C3EFFC48-8D1B-4F00-98FB-50712C8BAD3E}">
            <x14:iconSet iconSet="3Symbols" showValue="0" custom="1">
              <x14:cfvo type="percent">
                <xm:f>0</xm:f>
              </x14:cfvo>
              <x14:cfvo type="num">
                <xm:f>0</xm:f>
              </x14:cfvo>
              <x14:cfvo type="num">
                <xm:f>1</xm:f>
              </x14:cfvo>
              <x14:cfIcon iconSet="3Symbols" iconId="0"/>
              <x14:cfIcon iconSet="NoIcons" iconId="0"/>
              <x14:cfIcon iconSet="3Symbols" iconId="2"/>
            </x14:iconSet>
          </x14:cfRule>
          <xm:sqref>O11:O20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G26"/>
  <sheetViews>
    <sheetView showGridLines="0" workbookViewId="0"/>
  </sheetViews>
  <sheetFormatPr defaultRowHeight="15" x14ac:dyDescent="0.25"/>
  <cols>
    <col min="1" max="1" width="1.7109375" customWidth="1"/>
    <col min="3" max="3" width="21.85546875" customWidth="1"/>
    <col min="4" max="4" width="14.85546875" bestFit="1" customWidth="1"/>
    <col min="5" max="5" width="12.140625" customWidth="1"/>
    <col min="6" max="6" width="10.85546875" bestFit="1" customWidth="1"/>
    <col min="7" max="7" width="10.140625" bestFit="1" customWidth="1"/>
  </cols>
  <sheetData>
    <row r="1" spans="1:7" s="19" customFormat="1" ht="52.5" customHeight="1" x14ac:dyDescent="0.25">
      <c r="A1" s="58"/>
      <c r="B1" s="60">
        <v>10</v>
      </c>
      <c r="C1" s="61" t="str">
        <f>Data!M21</f>
        <v>Which products to discontinue?</v>
      </c>
    </row>
    <row r="3" spans="1:7" x14ac:dyDescent="0.25">
      <c r="C3" s="22" t="s">
        <v>62</v>
      </c>
      <c r="D3" t="s">
        <v>64</v>
      </c>
      <c r="E3" t="s">
        <v>65</v>
      </c>
      <c r="F3" t="s">
        <v>70</v>
      </c>
      <c r="G3" t="s">
        <v>82</v>
      </c>
    </row>
    <row r="4" spans="1:7" x14ac:dyDescent="0.25">
      <c r="C4" s="23" t="s">
        <v>12</v>
      </c>
      <c r="D4" s="45">
        <v>33551</v>
      </c>
      <c r="E4" s="4">
        <v>1566</v>
      </c>
      <c r="F4" s="26">
        <v>14946.919999999998</v>
      </c>
      <c r="G4" s="57">
        <v>0.44549849482876808</v>
      </c>
    </row>
    <row r="5" spans="1:7" x14ac:dyDescent="0.25">
      <c r="C5" s="23" t="s">
        <v>38</v>
      </c>
      <c r="D5" s="45">
        <v>35378</v>
      </c>
      <c r="E5" s="4">
        <v>1044</v>
      </c>
      <c r="F5" s="26">
        <v>30189.32</v>
      </c>
      <c r="G5" s="57">
        <v>0.85333597150771667</v>
      </c>
    </row>
    <row r="6" spans="1:7" x14ac:dyDescent="0.25">
      <c r="C6" s="23" t="s">
        <v>41</v>
      </c>
      <c r="D6" s="45">
        <v>37772</v>
      </c>
      <c r="E6" s="4">
        <v>1308</v>
      </c>
      <c r="F6" s="26">
        <v>26000</v>
      </c>
      <c r="G6" s="57">
        <v>0.68834056973419466</v>
      </c>
    </row>
    <row r="7" spans="1:7" x14ac:dyDescent="0.25">
      <c r="C7" s="23" t="s">
        <v>21</v>
      </c>
      <c r="D7" s="45">
        <v>39263</v>
      </c>
      <c r="E7" s="4">
        <v>1683</v>
      </c>
      <c r="F7" s="26">
        <v>29518.43</v>
      </c>
      <c r="G7" s="57">
        <v>0.75181290273285284</v>
      </c>
    </row>
    <row r="8" spans="1:7" x14ac:dyDescent="0.25">
      <c r="C8" s="23" t="s">
        <v>24</v>
      </c>
      <c r="D8" s="45">
        <v>43183</v>
      </c>
      <c r="E8" s="4">
        <v>2022</v>
      </c>
      <c r="F8" s="26">
        <v>19525.600000000002</v>
      </c>
      <c r="G8" s="57">
        <v>0.45215941458444298</v>
      </c>
    </row>
    <row r="9" spans="1:7" x14ac:dyDescent="0.25">
      <c r="C9" s="23" t="s">
        <v>36</v>
      </c>
      <c r="D9" s="45">
        <v>44744</v>
      </c>
      <c r="E9" s="4">
        <v>1956</v>
      </c>
      <c r="F9" s="26">
        <v>29800.160000000003</v>
      </c>
      <c r="G9" s="57">
        <v>0.66601466118362251</v>
      </c>
    </row>
    <row r="10" spans="1:7" x14ac:dyDescent="0.25">
      <c r="C10" s="23" t="s">
        <v>31</v>
      </c>
      <c r="D10" s="45">
        <v>47271</v>
      </c>
      <c r="E10" s="4">
        <v>1881</v>
      </c>
      <c r="F10" s="26">
        <v>29721.27</v>
      </c>
      <c r="G10" s="57">
        <v>0.62874214634765502</v>
      </c>
    </row>
    <row r="11" spans="1:7" x14ac:dyDescent="0.25">
      <c r="C11" s="23" t="s">
        <v>15</v>
      </c>
      <c r="D11" s="45">
        <v>52150</v>
      </c>
      <c r="E11" s="4">
        <v>1752</v>
      </c>
      <c r="F11" s="26">
        <v>40814.559999999998</v>
      </c>
      <c r="G11" s="57">
        <v>0.78263777564717163</v>
      </c>
    </row>
    <row r="12" spans="1:7" x14ac:dyDescent="0.25">
      <c r="C12" s="23" t="s">
        <v>33</v>
      </c>
      <c r="D12" s="45">
        <v>54712</v>
      </c>
      <c r="E12" s="4">
        <v>2196</v>
      </c>
      <c r="F12" s="26">
        <v>31390.480000000003</v>
      </c>
      <c r="G12" s="57">
        <v>0.57374031291124439</v>
      </c>
    </row>
    <row r="13" spans="1:7" x14ac:dyDescent="0.25">
      <c r="C13" s="23" t="s">
        <v>34</v>
      </c>
      <c r="D13" s="45">
        <v>56644</v>
      </c>
      <c r="E13" s="4">
        <v>1812</v>
      </c>
      <c r="F13" s="26">
        <v>44884.12</v>
      </c>
      <c r="G13" s="57">
        <v>0.79238966174705183</v>
      </c>
    </row>
    <row r="14" spans="1:7" x14ac:dyDescent="0.25">
      <c r="C14" s="23" t="s">
        <v>18</v>
      </c>
      <c r="D14" s="45">
        <v>57372</v>
      </c>
      <c r="E14" s="4">
        <v>2106</v>
      </c>
      <c r="F14" s="26">
        <v>29678.099999999995</v>
      </c>
      <c r="G14" s="57">
        <v>0.51729240744614091</v>
      </c>
    </row>
    <row r="15" spans="1:7" x14ac:dyDescent="0.25">
      <c r="C15" s="23" t="s">
        <v>32</v>
      </c>
      <c r="D15" s="45">
        <v>58009</v>
      </c>
      <c r="E15" s="4">
        <v>2976</v>
      </c>
      <c r="F15" s="26">
        <v>36700.840000000004</v>
      </c>
      <c r="G15" s="57">
        <v>0.6326749297522799</v>
      </c>
    </row>
    <row r="16" spans="1:7" x14ac:dyDescent="0.25">
      <c r="C16" s="23" t="s">
        <v>29</v>
      </c>
      <c r="D16" s="45">
        <v>62111</v>
      </c>
      <c r="E16" s="4">
        <v>2154</v>
      </c>
      <c r="F16" s="26">
        <v>43177.340000000004</v>
      </c>
      <c r="G16" s="57">
        <v>0.6951641416174269</v>
      </c>
    </row>
    <row r="17" spans="3:7" x14ac:dyDescent="0.25">
      <c r="C17" s="23" t="s">
        <v>28</v>
      </c>
      <c r="D17" s="45">
        <v>63721</v>
      </c>
      <c r="E17" s="4">
        <v>2331</v>
      </c>
      <c r="F17" s="26">
        <v>56471.590000000004</v>
      </c>
      <c r="G17" s="57">
        <v>0.88623201142480512</v>
      </c>
    </row>
    <row r="18" spans="3:7" x14ac:dyDescent="0.25">
      <c r="C18" s="23" t="s">
        <v>22</v>
      </c>
      <c r="D18" s="45">
        <v>66283</v>
      </c>
      <c r="E18" s="4">
        <v>2052</v>
      </c>
      <c r="F18" s="26">
        <v>46234.960000000006</v>
      </c>
      <c r="G18" s="57">
        <v>0.69753873542235578</v>
      </c>
    </row>
    <row r="19" spans="3:7" x14ac:dyDescent="0.25">
      <c r="C19" s="23" t="s">
        <v>7</v>
      </c>
      <c r="D19" s="45">
        <v>66500</v>
      </c>
      <c r="E19" s="4">
        <v>2802</v>
      </c>
      <c r="F19" s="26">
        <v>25899.020000000011</v>
      </c>
      <c r="G19" s="57">
        <v>0.38945894736842124</v>
      </c>
    </row>
    <row r="20" spans="3:7" x14ac:dyDescent="0.25">
      <c r="C20" s="23" t="s">
        <v>37</v>
      </c>
      <c r="D20" s="45">
        <v>68971</v>
      </c>
      <c r="E20" s="4">
        <v>1533</v>
      </c>
      <c r="F20" s="26">
        <v>50988.91</v>
      </c>
      <c r="G20" s="57">
        <v>0.73928042220643464</v>
      </c>
    </row>
    <row r="21" spans="3:7" x14ac:dyDescent="0.25">
      <c r="C21" s="23" t="s">
        <v>19</v>
      </c>
      <c r="D21" s="45">
        <v>69160</v>
      </c>
      <c r="E21" s="4">
        <v>1854</v>
      </c>
      <c r="F21" s="26">
        <v>46226.020000000004</v>
      </c>
      <c r="G21" s="57">
        <v>0.6683924233661076</v>
      </c>
    </row>
    <row r="22" spans="3:7" x14ac:dyDescent="0.25">
      <c r="C22" s="23" t="s">
        <v>39</v>
      </c>
      <c r="D22" s="45">
        <v>69461</v>
      </c>
      <c r="E22" s="4">
        <v>2982</v>
      </c>
      <c r="F22" s="26">
        <v>19572.14</v>
      </c>
      <c r="G22" s="57">
        <v>0.28177164164063284</v>
      </c>
    </row>
    <row r="23" spans="3:7" x14ac:dyDescent="0.25">
      <c r="C23" s="23" t="s">
        <v>42</v>
      </c>
      <c r="D23" s="45">
        <v>70273</v>
      </c>
      <c r="E23" s="4">
        <v>2142</v>
      </c>
      <c r="F23" s="26">
        <v>58277.8</v>
      </c>
      <c r="G23" s="57">
        <v>0.82930570773981471</v>
      </c>
    </row>
    <row r="24" spans="3:7" x14ac:dyDescent="0.25">
      <c r="C24" s="23" t="s">
        <v>10</v>
      </c>
      <c r="D24" s="45">
        <v>71967</v>
      </c>
      <c r="E24" s="4">
        <v>2301</v>
      </c>
      <c r="F24" s="26">
        <v>52063.35</v>
      </c>
      <c r="G24" s="57">
        <v>0.72343365709283425</v>
      </c>
    </row>
    <row r="25" spans="3:7" x14ac:dyDescent="0.25">
      <c r="C25" s="23" t="s">
        <v>40</v>
      </c>
      <c r="D25" s="45">
        <v>72373</v>
      </c>
      <c r="E25" s="4">
        <v>3207</v>
      </c>
      <c r="F25" s="26">
        <v>39084.340000000004</v>
      </c>
      <c r="G25" s="57">
        <v>0.54004034653807365</v>
      </c>
    </row>
    <row r="26" spans="3:7" x14ac:dyDescent="0.25">
      <c r="C26" s="23" t="s">
        <v>63</v>
      </c>
      <c r="D26" s="45">
        <v>1240869</v>
      </c>
      <c r="E26" s="4">
        <v>45660</v>
      </c>
      <c r="F26" s="26">
        <v>801165.2699999999</v>
      </c>
      <c r="G26" s="57">
        <v>0.64564854952456696</v>
      </c>
    </row>
  </sheetData>
  <conditionalFormatting pivot="1" sqref="G4:G2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4:E20"/>
  <sheetViews>
    <sheetView workbookViewId="0">
      <selection activeCell="C17" sqref="C17"/>
    </sheetView>
  </sheetViews>
  <sheetFormatPr defaultRowHeight="15" x14ac:dyDescent="0.25"/>
  <cols>
    <col min="3" max="3" width="12.5703125" bestFit="1" customWidth="1"/>
    <col min="4" max="4" width="13.7109375" bestFit="1" customWidth="1"/>
    <col min="5" max="5" width="11.5703125" bestFit="1" customWidth="1"/>
    <col min="11" max="11" width="12.5703125" bestFit="1" customWidth="1"/>
    <col min="12" max="12" width="10" bestFit="1" customWidth="1"/>
    <col min="13" max="13" width="6.5703125" bestFit="1" customWidth="1"/>
  </cols>
  <sheetData>
    <row r="4" spans="3:5" x14ac:dyDescent="0.25">
      <c r="C4">
        <f>MAX(data[Helper])</f>
        <v>6</v>
      </c>
    </row>
    <row r="5" spans="3:5" x14ac:dyDescent="0.25">
      <c r="C5" s="10" t="s">
        <v>52</v>
      </c>
      <c r="D5" s="11" t="s">
        <v>3</v>
      </c>
      <c r="E5" s="11" t="s">
        <v>4</v>
      </c>
    </row>
    <row r="6" spans="3:5" x14ac:dyDescent="0.25">
      <c r="C6" t="str">
        <f>IF(ROWS(C$6:C6)&gt;$C$4,"",INDEX(data[Geography],MATCH(ROWS(C$6:C6),data[Helper],0)))</f>
        <v>New Zealand</v>
      </c>
      <c r="D6" s="7">
        <f>IF(ROWS(D$6:D6)&gt;$C$4,"",SUMIFS(data[Amount],data[Geography],C6))</f>
        <v>218813</v>
      </c>
      <c r="E6" s="9">
        <f>IF(ROWS(E$6:E6)&gt;$C$4,"",SUMIFS(data[Units],data[Geography],$C6))</f>
        <v>7431</v>
      </c>
    </row>
    <row r="7" spans="3:5" x14ac:dyDescent="0.25">
      <c r="C7" t="str">
        <f>IF(ROWS(C$6:C7)&gt;$C$4,"",INDEX(data[Geography],MATCH(ROWS(C$6:C7),data[Helper],0)))</f>
        <v>USA</v>
      </c>
      <c r="D7" s="7">
        <f>IF(ROWS(D$6:D7)&gt;$C$4,"",SUMIFS(data[Amount],data[Geography],C7))</f>
        <v>189434</v>
      </c>
      <c r="E7" s="9">
        <f>IF(ROWS(E$6:E7)&gt;$C$4,"",SUMIFS(data[Units],data[Geography],$C7))</f>
        <v>10158</v>
      </c>
    </row>
    <row r="8" spans="3:5" x14ac:dyDescent="0.25">
      <c r="C8" t="str">
        <f>IF(ROWS(C$6:C8)&gt;$C$4,"",INDEX(data[Geography],MATCH(ROWS(C$6:C8),data[Helper],0)))</f>
        <v>Canada</v>
      </c>
      <c r="D8" s="7">
        <f>IF(ROWS(D$6:D8)&gt;$C$4,"",SUMIFS(data[Amount],data[Geography],C8))</f>
        <v>237944</v>
      </c>
      <c r="E8" s="9">
        <f>IF(ROWS(E$6:E8)&gt;$C$4,"",SUMIFS(data[Units],data[Geography],$C8))</f>
        <v>7302</v>
      </c>
    </row>
    <row r="9" spans="3:5" x14ac:dyDescent="0.25">
      <c r="C9" t="str">
        <f>IF(ROWS(C$6:C9)&gt;$C$4,"",INDEX(data[Geography],MATCH(ROWS(C$6:C9),data[Helper],0)))</f>
        <v>UK</v>
      </c>
      <c r="D9" s="7">
        <f>IF(ROWS(D$6:D9)&gt;$C$4,"",SUMIFS(data[Amount],data[Geography],C9))</f>
        <v>173530</v>
      </c>
      <c r="E9" s="9">
        <f>IF(ROWS(E$6:E9)&gt;$C$4,"",SUMIFS(data[Units],data[Geography],$C9))</f>
        <v>5745</v>
      </c>
    </row>
    <row r="10" spans="3:5" x14ac:dyDescent="0.25">
      <c r="C10" t="str">
        <f>IF(ROWS(C$6:C10)&gt;$C$4,"",INDEX(data[Geography],MATCH(ROWS(C$6:C10),data[Helper],0)))</f>
        <v>Australia</v>
      </c>
      <c r="D10" s="7">
        <f>IF(ROWS(D$6:D10)&gt;$C$4,"",SUMIFS(data[Amount],data[Geography],C10))</f>
        <v>168679</v>
      </c>
      <c r="E10" s="9">
        <f>IF(ROWS(E$6:E10)&gt;$C$4,"",SUMIFS(data[Units],data[Geography],$C10))</f>
        <v>6264</v>
      </c>
    </row>
    <row r="11" spans="3:5" x14ac:dyDescent="0.25">
      <c r="C11" t="str">
        <f>IF(ROWS(C$6:C11)&gt;$C$4,"",INDEX(data[Geography],MATCH(ROWS(C$6:C11),data[Helper],0)))</f>
        <v>India</v>
      </c>
      <c r="D11" s="7">
        <f>IF(ROWS(D$6:D11)&gt;$C$4,"",SUMIFS(data[Amount],data[Geography],C11))</f>
        <v>252469</v>
      </c>
      <c r="E11" s="9">
        <f>IF(ROWS(E$6:E11)&gt;$C$4,"",SUMIFS(data[Units],data[Geography],$C11))</f>
        <v>8760</v>
      </c>
    </row>
    <row r="12" spans="3:5" x14ac:dyDescent="0.25">
      <c r="C12" t="str">
        <f>IF(ROWS(C$6:C12)&gt;$C$4,"",INDEX(data[Geography],MATCH(ROWS(C$6:C12),data[Helper],0)))</f>
        <v/>
      </c>
      <c r="D12" s="8" t="str">
        <f>IF(ROWS(D$6:D12)&gt;$C$4,"",SUMIFS(data[Amount],data[Geography],C12))</f>
        <v/>
      </c>
      <c r="E12" s="9" t="str">
        <f>IF(ROWS(E$6:E12)&gt;$C$4,"",SUMIFS(data[Units],data[Geography],$C12))</f>
        <v/>
      </c>
    </row>
    <row r="13" spans="3:5" x14ac:dyDescent="0.25">
      <c r="C13" t="str">
        <f>IF(ROWS(C$6:C13)&gt;$C$4,"",INDEX(data[Geography],MATCH(ROWS(C$6:C13),data[Helper],0)))</f>
        <v/>
      </c>
      <c r="D13" s="8" t="str">
        <f>IF(ROWS(D$6:D13)&gt;$C$4,"",SUMIFS(data[Amount],data[Geography],C13))</f>
        <v/>
      </c>
      <c r="E13" s="9" t="str">
        <f>IF(ROWS(E$6:E13)&gt;$C$4,"",SUMIFS(data[Units],data[Geography],$C13))</f>
        <v/>
      </c>
    </row>
    <row r="14" spans="3:5" x14ac:dyDescent="0.25">
      <c r="C14" t="str">
        <f>IF(ROWS(C$6:C14)&gt;$C$4,"",INDEX(data[Geography],MATCH(ROWS(C$6:C14),data[Helper],0)))</f>
        <v/>
      </c>
      <c r="D14" s="7" t="str">
        <f>IF(ROWS(D$6:D14)&gt;$C$4,"",SUMIFS(data[Amount],data[Geography],C14))</f>
        <v/>
      </c>
      <c r="E14" s="9" t="str">
        <f>IF(ROWS(E$6:E14)&gt;$C$4,"",SUMIFS(data[Units],data[Geography],$C14))</f>
        <v/>
      </c>
    </row>
    <row r="15" spans="3:5" x14ac:dyDescent="0.25">
      <c r="C15" t="str">
        <f>IF(ROWS(C$6:C15)&gt;$C$4,"",INDEX(data[Geography],MATCH(ROWS(C$6:C15),data[Helper],0)))</f>
        <v/>
      </c>
      <c r="D15" s="7" t="str">
        <f>IF(ROWS(D$6:D15)&gt;$C$4,"",SUMIFS(data[Amount],data[Geography],C15))</f>
        <v/>
      </c>
      <c r="E15" s="9" t="str">
        <f>IF(ROWS(E$6:E15)&gt;$C$4,"",SUMIFS(data[Units],data[Geography],$C15))</f>
        <v/>
      </c>
    </row>
    <row r="16" spans="3:5" x14ac:dyDescent="0.25">
      <c r="D16" s="8"/>
      <c r="E16" s="9"/>
    </row>
    <row r="17" spans="4:5" x14ac:dyDescent="0.25">
      <c r="D17" s="7"/>
      <c r="E17" s="9"/>
    </row>
    <row r="18" spans="4:5" x14ac:dyDescent="0.25">
      <c r="D18" s="8"/>
      <c r="E18" s="9"/>
    </row>
    <row r="19" spans="4:5" x14ac:dyDescent="0.25">
      <c r="D19" s="8"/>
      <c r="E19" s="9"/>
    </row>
    <row r="20" spans="4:5" x14ac:dyDescent="0.25">
      <c r="D20" s="8"/>
      <c r="E20" s="9"/>
    </row>
  </sheetData>
  <autoFilter ref="C5:E20">
    <sortState ref="C6:E20">
      <sortCondition descending="1" ref="D5:D20"/>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249977111117893"/>
  </sheetPr>
  <dimension ref="A1:Z15"/>
  <sheetViews>
    <sheetView showGridLines="0" zoomScale="130" zoomScaleNormal="130" workbookViewId="0">
      <selection activeCell="O13" sqref="O13"/>
    </sheetView>
  </sheetViews>
  <sheetFormatPr defaultRowHeight="15" x14ac:dyDescent="0.25"/>
  <cols>
    <col min="1" max="1" width="1.7109375" customWidth="1"/>
    <col min="11" max="11" width="3" customWidth="1"/>
  </cols>
  <sheetData>
    <row r="1" spans="1:26" ht="52.5" customHeight="1" x14ac:dyDescent="0.25">
      <c r="A1" s="59"/>
      <c r="B1" s="60">
        <v>1</v>
      </c>
      <c r="C1" s="61" t="str">
        <f>Data!M12</f>
        <v>Quick statistics</v>
      </c>
      <c r="D1" s="19"/>
      <c r="E1" s="19"/>
      <c r="F1" s="19"/>
      <c r="G1" s="19"/>
      <c r="H1" s="19"/>
      <c r="I1" s="19"/>
      <c r="J1" s="19"/>
      <c r="K1" s="19"/>
      <c r="L1" s="19"/>
      <c r="M1" s="19"/>
      <c r="N1" s="19"/>
      <c r="O1" s="19"/>
      <c r="P1" s="19"/>
      <c r="Q1" s="19"/>
      <c r="R1" s="19"/>
      <c r="S1" s="19"/>
      <c r="T1" s="19"/>
      <c r="U1" s="19"/>
      <c r="V1" s="19"/>
      <c r="W1" s="19"/>
      <c r="X1" s="19"/>
      <c r="Y1" s="19"/>
      <c r="Z1" s="19"/>
    </row>
    <row r="3" spans="1:26" x14ac:dyDescent="0.25">
      <c r="H3" s="11"/>
      <c r="I3" s="11" t="s">
        <v>3</v>
      </c>
      <c r="J3" s="11" t="s">
        <v>4</v>
      </c>
    </row>
    <row r="4" spans="1:26" x14ac:dyDescent="0.25">
      <c r="H4" s="63" t="s">
        <v>43</v>
      </c>
      <c r="I4" s="64">
        <f>AVERAGE(data[Amount])</f>
        <v>4136.2299999999996</v>
      </c>
      <c r="J4" s="65">
        <f>AVERAGE(data[Units])</f>
        <v>152.19999999999999</v>
      </c>
    </row>
    <row r="5" spans="1:26" x14ac:dyDescent="0.25">
      <c r="H5" s="66" t="s">
        <v>44</v>
      </c>
      <c r="I5" s="67">
        <f>MEDIAN(data[Amount])</f>
        <v>3437</v>
      </c>
      <c r="J5" s="68">
        <f>MEDIAN(data[Units])</f>
        <v>124.5</v>
      </c>
    </row>
    <row r="6" spans="1:26" x14ac:dyDescent="0.25">
      <c r="H6" s="66" t="s">
        <v>45</v>
      </c>
      <c r="I6" s="67">
        <f>MIN(data[Amount])</f>
        <v>0</v>
      </c>
      <c r="J6" s="68">
        <f>MIN(data[Units])</f>
        <v>0</v>
      </c>
    </row>
    <row r="7" spans="1:26" x14ac:dyDescent="0.25">
      <c r="H7" s="66" t="s">
        <v>46</v>
      </c>
      <c r="I7" s="67">
        <f>MAX(data[Amount])</f>
        <v>16184</v>
      </c>
      <c r="J7" s="68">
        <f>MAX(data[Units])</f>
        <v>525</v>
      </c>
    </row>
    <row r="8" spans="1:26" x14ac:dyDescent="0.25">
      <c r="H8" s="66" t="s">
        <v>47</v>
      </c>
      <c r="I8" s="67">
        <f>I7-I6</f>
        <v>16184</v>
      </c>
      <c r="J8" s="68">
        <f>J7-J6</f>
        <v>525</v>
      </c>
    </row>
    <row r="9" spans="1:26" x14ac:dyDescent="0.25">
      <c r="H9" s="49"/>
      <c r="I9" s="50"/>
      <c r="J9" s="51"/>
    </row>
    <row r="10" spans="1:26" x14ac:dyDescent="0.25">
      <c r="H10" s="69" t="s">
        <v>48</v>
      </c>
      <c r="I10" s="70">
        <f>_xlfn.PERCENTILE.EXC(data[Amount],0.25)</f>
        <v>1652</v>
      </c>
      <c r="J10" s="71">
        <f>_xlfn.PERCENTILE.EXC(data[Units],0.25)</f>
        <v>54</v>
      </c>
    </row>
    <row r="11" spans="1:26" x14ac:dyDescent="0.25">
      <c r="H11" s="69" t="s">
        <v>50</v>
      </c>
      <c r="I11" s="70">
        <f>_xlfn.PERCENTILE.EXC(data[Amount],0.5)</f>
        <v>3437</v>
      </c>
      <c r="J11" s="71">
        <f>_xlfn.PERCENTILE.EXC(data[Units],0.5)</f>
        <v>124.5</v>
      </c>
    </row>
    <row r="12" spans="1:26" x14ac:dyDescent="0.25">
      <c r="H12" s="69" t="s">
        <v>49</v>
      </c>
      <c r="I12" s="70">
        <f>_xlfn.QUARTILE.EXC(data[Amount],3)</f>
        <v>6245.75</v>
      </c>
      <c r="J12" s="71">
        <f>_xlfn.QUARTILE.EXC(data[Units],3)</f>
        <v>223.5</v>
      </c>
    </row>
    <row r="13" spans="1:26" ht="15.75" thickBot="1" x14ac:dyDescent="0.3"/>
    <row r="14" spans="1:26" ht="16.5" thickTop="1" thickBot="1" x14ac:dyDescent="0.3">
      <c r="H14" s="73" t="s">
        <v>51</v>
      </c>
      <c r="I14" s="73"/>
      <c r="J14" s="73"/>
      <c r="K14" s="74">
        <f>SUMPRODUCT(1/COUNTIF(data[Product],data[Product]))</f>
        <v>21.999999999999993</v>
      </c>
    </row>
    <row r="15" spans="1:26" ht="15.75" thickTop="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39997558519241921"/>
  </sheetPr>
  <dimension ref="A1:Z304"/>
  <sheetViews>
    <sheetView showGridLines="0" zoomScaleNormal="100" workbookViewId="0">
      <pane xSplit="5" ySplit="4" topLeftCell="F5" activePane="bottomRight" state="frozen"/>
      <selection pane="topRight" activeCell="F1" sqref="F1"/>
      <selection pane="bottomLeft" activeCell="A5" sqref="A5"/>
      <selection pane="bottomRight" activeCell="B11" sqref="B11"/>
    </sheetView>
  </sheetViews>
  <sheetFormatPr defaultRowHeight="15" x14ac:dyDescent="0.25"/>
  <cols>
    <col min="1" max="1" width="1.7109375" customWidth="1"/>
    <col min="2" max="2" width="16" bestFit="1" customWidth="1"/>
    <col min="3" max="3" width="13" bestFit="1" customWidth="1"/>
    <col min="4" max="4" width="21.85546875" bestFit="1" customWidth="1"/>
    <col min="5" max="5" width="8.28515625" bestFit="1" customWidth="1"/>
    <col min="6" max="6" width="16" bestFit="1" customWidth="1"/>
    <col min="7" max="7" width="13" bestFit="1" customWidth="1"/>
    <col min="8" max="8" width="21.85546875" bestFit="1" customWidth="1"/>
    <col min="9" max="9" width="10.42578125" bestFit="1" customWidth="1"/>
    <col min="10" max="10" width="14.28515625" customWidth="1"/>
  </cols>
  <sheetData>
    <row r="1" spans="1:26" ht="52.5" customHeight="1" x14ac:dyDescent="0.25">
      <c r="A1" s="59"/>
      <c r="B1" s="60">
        <v>2</v>
      </c>
      <c r="C1" s="61" t="str">
        <f>Data!M13</f>
        <v>Exploratory Data Analysis (EDA) with CF</v>
      </c>
      <c r="D1" s="19"/>
      <c r="E1" s="19"/>
      <c r="F1" s="19"/>
      <c r="G1" s="19"/>
      <c r="H1" s="19"/>
      <c r="I1" s="19"/>
      <c r="J1" s="19"/>
      <c r="K1" s="19"/>
      <c r="L1" s="19"/>
      <c r="M1" s="19"/>
      <c r="N1" s="19"/>
      <c r="O1" s="19"/>
      <c r="P1" s="19"/>
      <c r="Q1" s="19"/>
      <c r="R1" s="19"/>
      <c r="S1" s="19"/>
      <c r="T1" s="19"/>
      <c r="U1" s="19"/>
      <c r="V1" s="19"/>
      <c r="W1" s="19"/>
      <c r="X1" s="19"/>
      <c r="Y1" s="19"/>
      <c r="Z1" s="19"/>
    </row>
    <row r="4" spans="1:26" x14ac:dyDescent="0.25">
      <c r="F4" s="1" t="s">
        <v>0</v>
      </c>
      <c r="G4" s="1" t="s">
        <v>1</v>
      </c>
      <c r="H4" s="1" t="s">
        <v>2</v>
      </c>
      <c r="I4" s="75" t="s">
        <v>3</v>
      </c>
      <c r="J4" s="75" t="s">
        <v>4</v>
      </c>
    </row>
    <row r="5" spans="1:26" x14ac:dyDescent="0.25">
      <c r="F5" t="s">
        <v>25</v>
      </c>
      <c r="G5" t="s">
        <v>14</v>
      </c>
      <c r="H5" t="s">
        <v>29</v>
      </c>
      <c r="I5" s="3">
        <v>16184</v>
      </c>
      <c r="J5" s="4">
        <v>39</v>
      </c>
    </row>
    <row r="6" spans="1:26" x14ac:dyDescent="0.25">
      <c r="F6" t="s">
        <v>25</v>
      </c>
      <c r="G6" t="s">
        <v>30</v>
      </c>
      <c r="H6" t="s">
        <v>33</v>
      </c>
      <c r="I6" s="3">
        <v>15610</v>
      </c>
      <c r="J6" s="4">
        <v>339</v>
      </c>
    </row>
    <row r="7" spans="1:26" x14ac:dyDescent="0.25">
      <c r="F7" t="s">
        <v>11</v>
      </c>
      <c r="G7" t="s">
        <v>30</v>
      </c>
      <c r="H7" t="s">
        <v>40</v>
      </c>
      <c r="I7" s="3">
        <v>14329</v>
      </c>
      <c r="J7" s="4">
        <v>150</v>
      </c>
    </row>
    <row r="8" spans="1:26" x14ac:dyDescent="0.25">
      <c r="F8" t="s">
        <v>25</v>
      </c>
      <c r="G8" t="s">
        <v>9</v>
      </c>
      <c r="H8" t="s">
        <v>37</v>
      </c>
      <c r="I8" s="3">
        <v>13391</v>
      </c>
      <c r="J8" s="4">
        <v>201</v>
      </c>
    </row>
    <row r="9" spans="1:26" x14ac:dyDescent="0.25">
      <c r="F9" t="s">
        <v>35</v>
      </c>
      <c r="G9" t="s">
        <v>17</v>
      </c>
      <c r="H9" t="s">
        <v>19</v>
      </c>
      <c r="I9" s="3">
        <v>12950</v>
      </c>
      <c r="J9" s="4">
        <v>30</v>
      </c>
    </row>
    <row r="10" spans="1:26" x14ac:dyDescent="0.25">
      <c r="F10" t="s">
        <v>5</v>
      </c>
      <c r="G10" t="s">
        <v>9</v>
      </c>
      <c r="H10" t="s">
        <v>10</v>
      </c>
      <c r="I10" s="3">
        <v>12348</v>
      </c>
      <c r="J10" s="4">
        <v>234</v>
      </c>
    </row>
    <row r="11" spans="1:26" x14ac:dyDescent="0.25">
      <c r="F11" t="s">
        <v>26</v>
      </c>
      <c r="G11" t="s">
        <v>6</v>
      </c>
      <c r="H11" t="s">
        <v>15</v>
      </c>
      <c r="I11" s="3">
        <v>11571</v>
      </c>
      <c r="J11" s="4">
        <v>138</v>
      </c>
    </row>
    <row r="12" spans="1:26" x14ac:dyDescent="0.25">
      <c r="F12" t="s">
        <v>11</v>
      </c>
      <c r="G12" t="s">
        <v>14</v>
      </c>
      <c r="H12" t="s">
        <v>39</v>
      </c>
      <c r="I12" s="3">
        <v>11522</v>
      </c>
      <c r="J12" s="4">
        <v>204</v>
      </c>
    </row>
    <row r="13" spans="1:26" x14ac:dyDescent="0.25">
      <c r="F13" t="s">
        <v>26</v>
      </c>
      <c r="G13" t="s">
        <v>14</v>
      </c>
      <c r="H13" t="s">
        <v>29</v>
      </c>
      <c r="I13" s="3">
        <v>11417</v>
      </c>
      <c r="J13" s="4">
        <v>21</v>
      </c>
    </row>
    <row r="14" spans="1:26" x14ac:dyDescent="0.25">
      <c r="F14" t="s">
        <v>13</v>
      </c>
      <c r="G14" t="s">
        <v>14</v>
      </c>
      <c r="H14" t="s">
        <v>31</v>
      </c>
      <c r="I14" s="3">
        <v>10311</v>
      </c>
      <c r="J14" s="4">
        <v>231</v>
      </c>
    </row>
    <row r="15" spans="1:26" x14ac:dyDescent="0.25">
      <c r="F15" t="s">
        <v>13</v>
      </c>
      <c r="G15" t="s">
        <v>14</v>
      </c>
      <c r="H15" t="s">
        <v>10</v>
      </c>
      <c r="I15" s="3">
        <v>10304</v>
      </c>
      <c r="J15" s="4">
        <v>84</v>
      </c>
    </row>
    <row r="16" spans="1:26" x14ac:dyDescent="0.25">
      <c r="F16" t="s">
        <v>23</v>
      </c>
      <c r="G16" t="s">
        <v>20</v>
      </c>
      <c r="H16" t="s">
        <v>7</v>
      </c>
      <c r="I16" s="3">
        <v>10129</v>
      </c>
      <c r="J16" s="4">
        <v>312</v>
      </c>
    </row>
    <row r="17" spans="6:10" x14ac:dyDescent="0.25">
      <c r="F17" t="s">
        <v>16</v>
      </c>
      <c r="G17" t="s">
        <v>14</v>
      </c>
      <c r="H17" t="s">
        <v>12</v>
      </c>
      <c r="I17" s="3">
        <v>10073</v>
      </c>
      <c r="J17" s="4">
        <v>120</v>
      </c>
    </row>
    <row r="18" spans="6:10" x14ac:dyDescent="0.25">
      <c r="F18" t="s">
        <v>26</v>
      </c>
      <c r="G18" t="s">
        <v>6</v>
      </c>
      <c r="H18" t="s">
        <v>28</v>
      </c>
      <c r="I18" s="3">
        <v>9926</v>
      </c>
      <c r="J18" s="4">
        <v>201</v>
      </c>
    </row>
    <row r="19" spans="6:10" x14ac:dyDescent="0.25">
      <c r="F19" t="s">
        <v>23</v>
      </c>
      <c r="G19" t="s">
        <v>6</v>
      </c>
      <c r="H19" t="s">
        <v>22</v>
      </c>
      <c r="I19" s="3">
        <v>9835</v>
      </c>
      <c r="J19" s="4">
        <v>207</v>
      </c>
    </row>
    <row r="20" spans="6:10" x14ac:dyDescent="0.25">
      <c r="F20" t="s">
        <v>5</v>
      </c>
      <c r="G20" t="s">
        <v>14</v>
      </c>
      <c r="H20" t="s">
        <v>19</v>
      </c>
      <c r="I20" s="3">
        <v>9772</v>
      </c>
      <c r="J20" s="4">
        <v>90</v>
      </c>
    </row>
    <row r="21" spans="6:10" x14ac:dyDescent="0.25">
      <c r="F21" t="s">
        <v>8</v>
      </c>
      <c r="G21" t="s">
        <v>6</v>
      </c>
      <c r="H21" t="s">
        <v>37</v>
      </c>
      <c r="I21" s="3">
        <v>9709</v>
      </c>
      <c r="J21" s="4">
        <v>30</v>
      </c>
    </row>
    <row r="22" spans="6:10" x14ac:dyDescent="0.25">
      <c r="F22" t="s">
        <v>8</v>
      </c>
      <c r="G22" t="s">
        <v>17</v>
      </c>
      <c r="H22" t="s">
        <v>15</v>
      </c>
      <c r="I22" s="3">
        <v>9660</v>
      </c>
      <c r="J22" s="4">
        <v>27</v>
      </c>
    </row>
    <row r="23" spans="6:10" x14ac:dyDescent="0.25">
      <c r="F23" t="s">
        <v>13</v>
      </c>
      <c r="G23" t="s">
        <v>14</v>
      </c>
      <c r="H23" t="s">
        <v>15</v>
      </c>
      <c r="I23" s="3">
        <v>9632</v>
      </c>
      <c r="J23" s="4">
        <v>288</v>
      </c>
    </row>
    <row r="24" spans="6:10" x14ac:dyDescent="0.25">
      <c r="F24" t="s">
        <v>11</v>
      </c>
      <c r="G24" t="s">
        <v>20</v>
      </c>
      <c r="H24" t="s">
        <v>19</v>
      </c>
      <c r="I24" s="3">
        <v>9506</v>
      </c>
      <c r="J24" s="4">
        <v>87</v>
      </c>
    </row>
    <row r="25" spans="6:10" x14ac:dyDescent="0.25">
      <c r="F25" t="s">
        <v>26</v>
      </c>
      <c r="G25" t="s">
        <v>17</v>
      </c>
      <c r="H25" t="s">
        <v>33</v>
      </c>
      <c r="I25" s="3">
        <v>9443</v>
      </c>
      <c r="J25" s="4">
        <v>162</v>
      </c>
    </row>
    <row r="26" spans="6:10" x14ac:dyDescent="0.25">
      <c r="F26" t="s">
        <v>27</v>
      </c>
      <c r="G26" t="s">
        <v>14</v>
      </c>
      <c r="H26" t="s">
        <v>29</v>
      </c>
      <c r="I26" s="3">
        <v>9198</v>
      </c>
      <c r="J26" s="4">
        <v>36</v>
      </c>
    </row>
    <row r="27" spans="6:10" x14ac:dyDescent="0.25">
      <c r="F27" t="s">
        <v>11</v>
      </c>
      <c r="G27" t="s">
        <v>14</v>
      </c>
      <c r="H27" t="s">
        <v>7</v>
      </c>
      <c r="I27" s="3">
        <v>9051</v>
      </c>
      <c r="J27" s="4">
        <v>57</v>
      </c>
    </row>
    <row r="28" spans="6:10" x14ac:dyDescent="0.25">
      <c r="F28" t="s">
        <v>5</v>
      </c>
      <c r="G28" t="s">
        <v>6</v>
      </c>
      <c r="H28" t="s">
        <v>32</v>
      </c>
      <c r="I28" s="3">
        <v>9002</v>
      </c>
      <c r="J28" s="4">
        <v>72</v>
      </c>
    </row>
    <row r="29" spans="6:10" x14ac:dyDescent="0.25">
      <c r="F29" t="s">
        <v>8</v>
      </c>
      <c r="G29" t="s">
        <v>17</v>
      </c>
      <c r="H29" t="s">
        <v>21</v>
      </c>
      <c r="I29" s="3">
        <v>8890</v>
      </c>
      <c r="J29" s="4">
        <v>210</v>
      </c>
    </row>
    <row r="30" spans="6:10" x14ac:dyDescent="0.25">
      <c r="F30" t="s">
        <v>5</v>
      </c>
      <c r="G30" t="s">
        <v>9</v>
      </c>
      <c r="H30" t="s">
        <v>19</v>
      </c>
      <c r="I30" s="3">
        <v>8869</v>
      </c>
      <c r="J30" s="4">
        <v>432</v>
      </c>
    </row>
    <row r="31" spans="6:10" x14ac:dyDescent="0.25">
      <c r="F31" t="s">
        <v>23</v>
      </c>
      <c r="G31" t="s">
        <v>30</v>
      </c>
      <c r="H31" t="s">
        <v>38</v>
      </c>
      <c r="I31" s="3">
        <v>8862</v>
      </c>
      <c r="J31" s="4">
        <v>189</v>
      </c>
    </row>
    <row r="32" spans="6:10" x14ac:dyDescent="0.25">
      <c r="F32" t="s">
        <v>27</v>
      </c>
      <c r="G32" t="s">
        <v>20</v>
      </c>
      <c r="H32" t="s">
        <v>42</v>
      </c>
      <c r="I32" s="3">
        <v>8841</v>
      </c>
      <c r="J32" s="4">
        <v>303</v>
      </c>
    </row>
    <row r="33" spans="6:10" x14ac:dyDescent="0.25">
      <c r="F33" t="s">
        <v>25</v>
      </c>
      <c r="G33" t="s">
        <v>6</v>
      </c>
      <c r="H33" t="s">
        <v>18</v>
      </c>
      <c r="I33" s="3">
        <v>8813</v>
      </c>
      <c r="J33" s="4">
        <v>21</v>
      </c>
    </row>
    <row r="34" spans="6:10" x14ac:dyDescent="0.25">
      <c r="F34" t="s">
        <v>11</v>
      </c>
      <c r="G34" t="s">
        <v>30</v>
      </c>
      <c r="H34" t="s">
        <v>33</v>
      </c>
      <c r="I34" s="3">
        <v>8463</v>
      </c>
      <c r="J34" s="4">
        <v>492</v>
      </c>
    </row>
    <row r="35" spans="6:10" x14ac:dyDescent="0.25">
      <c r="F35" t="s">
        <v>23</v>
      </c>
      <c r="G35" t="s">
        <v>14</v>
      </c>
      <c r="H35" t="s">
        <v>22</v>
      </c>
      <c r="I35" s="3">
        <v>8435</v>
      </c>
      <c r="J35" s="4">
        <v>42</v>
      </c>
    </row>
    <row r="36" spans="6:10" x14ac:dyDescent="0.25">
      <c r="F36" t="s">
        <v>26</v>
      </c>
      <c r="G36" t="s">
        <v>14</v>
      </c>
      <c r="H36" t="s">
        <v>32</v>
      </c>
      <c r="I36" s="3">
        <v>8211</v>
      </c>
      <c r="J36" s="4">
        <v>75</v>
      </c>
    </row>
    <row r="37" spans="6:10" x14ac:dyDescent="0.25">
      <c r="F37" t="s">
        <v>11</v>
      </c>
      <c r="G37" t="s">
        <v>30</v>
      </c>
      <c r="H37" t="s">
        <v>34</v>
      </c>
      <c r="I37" s="3">
        <v>8155</v>
      </c>
      <c r="J37" s="4">
        <v>90</v>
      </c>
    </row>
    <row r="38" spans="6:10" x14ac:dyDescent="0.25">
      <c r="F38" t="s">
        <v>16</v>
      </c>
      <c r="G38" t="s">
        <v>30</v>
      </c>
      <c r="H38" t="s">
        <v>42</v>
      </c>
      <c r="I38" s="3">
        <v>8008</v>
      </c>
      <c r="J38" s="4">
        <v>456</v>
      </c>
    </row>
    <row r="39" spans="6:10" x14ac:dyDescent="0.25">
      <c r="F39" t="s">
        <v>13</v>
      </c>
      <c r="G39" t="s">
        <v>30</v>
      </c>
      <c r="H39" t="s">
        <v>19</v>
      </c>
      <c r="I39" s="3">
        <v>7847</v>
      </c>
      <c r="J39" s="4">
        <v>174</v>
      </c>
    </row>
    <row r="40" spans="6:10" x14ac:dyDescent="0.25">
      <c r="F40" t="s">
        <v>11</v>
      </c>
      <c r="G40" t="s">
        <v>9</v>
      </c>
      <c r="H40" t="s">
        <v>37</v>
      </c>
      <c r="I40" s="3">
        <v>7833</v>
      </c>
      <c r="J40" s="4">
        <v>243</v>
      </c>
    </row>
    <row r="41" spans="6:10" x14ac:dyDescent="0.25">
      <c r="F41" t="s">
        <v>26</v>
      </c>
      <c r="G41" t="s">
        <v>17</v>
      </c>
      <c r="H41" t="s">
        <v>39</v>
      </c>
      <c r="I41" s="3">
        <v>7812</v>
      </c>
      <c r="J41" s="4">
        <v>81</v>
      </c>
    </row>
    <row r="42" spans="6:10" x14ac:dyDescent="0.25">
      <c r="F42" t="s">
        <v>27</v>
      </c>
      <c r="G42" t="s">
        <v>30</v>
      </c>
      <c r="H42" t="s">
        <v>10</v>
      </c>
      <c r="I42" s="3">
        <v>7777</v>
      </c>
      <c r="J42" s="4">
        <v>504</v>
      </c>
    </row>
    <row r="43" spans="6:10" x14ac:dyDescent="0.25">
      <c r="F43" t="s">
        <v>23</v>
      </c>
      <c r="G43" t="s">
        <v>30</v>
      </c>
      <c r="H43" t="s">
        <v>28</v>
      </c>
      <c r="I43" s="3">
        <v>7777</v>
      </c>
      <c r="J43" s="4">
        <v>39</v>
      </c>
    </row>
    <row r="44" spans="6:10" x14ac:dyDescent="0.25">
      <c r="F44" t="s">
        <v>16</v>
      </c>
      <c r="G44" t="s">
        <v>6</v>
      </c>
      <c r="H44" t="s">
        <v>21</v>
      </c>
      <c r="I44" s="3">
        <v>7693</v>
      </c>
      <c r="J44" s="4">
        <v>87</v>
      </c>
    </row>
    <row r="45" spans="6:10" x14ac:dyDescent="0.25">
      <c r="F45" t="s">
        <v>5</v>
      </c>
      <c r="G45" t="s">
        <v>6</v>
      </c>
      <c r="H45" t="s">
        <v>36</v>
      </c>
      <c r="I45" s="3">
        <v>7693</v>
      </c>
      <c r="J45" s="4">
        <v>21</v>
      </c>
    </row>
    <row r="46" spans="6:10" x14ac:dyDescent="0.25">
      <c r="F46" t="s">
        <v>26</v>
      </c>
      <c r="G46" t="s">
        <v>17</v>
      </c>
      <c r="H46" t="s">
        <v>41</v>
      </c>
      <c r="I46" s="3">
        <v>7651</v>
      </c>
      <c r="J46" s="4">
        <v>213</v>
      </c>
    </row>
    <row r="47" spans="6:10" x14ac:dyDescent="0.25">
      <c r="F47" t="s">
        <v>26</v>
      </c>
      <c r="G47" t="s">
        <v>30</v>
      </c>
      <c r="H47" t="s">
        <v>36</v>
      </c>
      <c r="I47" s="3">
        <v>7511</v>
      </c>
      <c r="J47" s="4">
        <v>120</v>
      </c>
    </row>
    <row r="48" spans="6:10" x14ac:dyDescent="0.25">
      <c r="F48" t="s">
        <v>25</v>
      </c>
      <c r="G48" t="s">
        <v>20</v>
      </c>
      <c r="H48" t="s">
        <v>18</v>
      </c>
      <c r="I48" s="3">
        <v>7483</v>
      </c>
      <c r="J48" s="4">
        <v>45</v>
      </c>
    </row>
    <row r="49" spans="6:10" x14ac:dyDescent="0.25">
      <c r="F49" t="s">
        <v>13</v>
      </c>
      <c r="G49" t="s">
        <v>9</v>
      </c>
      <c r="H49" t="s">
        <v>40</v>
      </c>
      <c r="I49" s="3">
        <v>7455</v>
      </c>
      <c r="J49" s="4">
        <v>216</v>
      </c>
    </row>
    <row r="50" spans="6:10" x14ac:dyDescent="0.25">
      <c r="F50" t="s">
        <v>16</v>
      </c>
      <c r="G50" t="s">
        <v>20</v>
      </c>
      <c r="H50" t="s">
        <v>41</v>
      </c>
      <c r="I50" s="3">
        <v>7322</v>
      </c>
      <c r="J50" s="4">
        <v>36</v>
      </c>
    </row>
    <row r="51" spans="6:10" x14ac:dyDescent="0.25">
      <c r="F51" t="s">
        <v>27</v>
      </c>
      <c r="G51" t="s">
        <v>6</v>
      </c>
      <c r="H51" t="s">
        <v>40</v>
      </c>
      <c r="I51" s="3">
        <v>7308</v>
      </c>
      <c r="J51" s="4">
        <v>327</v>
      </c>
    </row>
    <row r="52" spans="6:10" x14ac:dyDescent="0.25">
      <c r="F52" t="s">
        <v>25</v>
      </c>
      <c r="G52" t="s">
        <v>30</v>
      </c>
      <c r="H52" t="s">
        <v>37</v>
      </c>
      <c r="I52" s="3">
        <v>7280</v>
      </c>
      <c r="J52" s="4">
        <v>201</v>
      </c>
    </row>
    <row r="53" spans="6:10" x14ac:dyDescent="0.25">
      <c r="F53" t="s">
        <v>11</v>
      </c>
      <c r="G53" t="s">
        <v>6</v>
      </c>
      <c r="H53" t="s">
        <v>33</v>
      </c>
      <c r="I53" s="3">
        <v>7273</v>
      </c>
      <c r="J53" s="4">
        <v>96</v>
      </c>
    </row>
    <row r="54" spans="6:10" x14ac:dyDescent="0.25">
      <c r="F54" t="s">
        <v>27</v>
      </c>
      <c r="G54" t="s">
        <v>30</v>
      </c>
      <c r="H54" t="s">
        <v>24</v>
      </c>
      <c r="I54" s="3">
        <v>7259</v>
      </c>
      <c r="J54" s="4">
        <v>276</v>
      </c>
    </row>
    <row r="55" spans="6:10" x14ac:dyDescent="0.25">
      <c r="F55" t="s">
        <v>25</v>
      </c>
      <c r="G55" t="s">
        <v>20</v>
      </c>
      <c r="H55" t="s">
        <v>31</v>
      </c>
      <c r="I55" s="3">
        <v>7189</v>
      </c>
      <c r="J55" s="4">
        <v>54</v>
      </c>
    </row>
    <row r="56" spans="6:10" x14ac:dyDescent="0.25">
      <c r="F56" t="s">
        <v>8</v>
      </c>
      <c r="G56" t="s">
        <v>17</v>
      </c>
      <c r="H56" t="s">
        <v>7</v>
      </c>
      <c r="I56" s="3">
        <v>7021</v>
      </c>
      <c r="J56" s="4">
        <v>183</v>
      </c>
    </row>
    <row r="57" spans="6:10" x14ac:dyDescent="0.25">
      <c r="F57" t="s">
        <v>25</v>
      </c>
      <c r="G57" t="s">
        <v>30</v>
      </c>
      <c r="H57" t="s">
        <v>39</v>
      </c>
      <c r="I57" s="3">
        <v>6986</v>
      </c>
      <c r="J57" s="4">
        <v>21</v>
      </c>
    </row>
    <row r="58" spans="6:10" x14ac:dyDescent="0.25">
      <c r="F58" t="s">
        <v>25</v>
      </c>
      <c r="G58" t="s">
        <v>17</v>
      </c>
      <c r="H58" t="s">
        <v>22</v>
      </c>
      <c r="I58" s="3">
        <v>6909</v>
      </c>
      <c r="J58" s="4">
        <v>81</v>
      </c>
    </row>
    <row r="59" spans="6:10" x14ac:dyDescent="0.25">
      <c r="F59" t="s">
        <v>35</v>
      </c>
      <c r="G59" t="s">
        <v>20</v>
      </c>
      <c r="H59" t="s">
        <v>12</v>
      </c>
      <c r="I59" s="3">
        <v>6860</v>
      </c>
      <c r="J59" s="4">
        <v>126</v>
      </c>
    </row>
    <row r="60" spans="6:10" x14ac:dyDescent="0.25">
      <c r="F60" t="s">
        <v>5</v>
      </c>
      <c r="G60" t="s">
        <v>9</v>
      </c>
      <c r="H60" t="s">
        <v>22</v>
      </c>
      <c r="I60" s="3">
        <v>6853</v>
      </c>
      <c r="J60" s="4">
        <v>372</v>
      </c>
    </row>
    <row r="61" spans="6:10" x14ac:dyDescent="0.25">
      <c r="F61" t="s">
        <v>11</v>
      </c>
      <c r="G61" t="s">
        <v>30</v>
      </c>
      <c r="H61" t="s">
        <v>41</v>
      </c>
      <c r="I61" s="3">
        <v>6832</v>
      </c>
      <c r="J61" s="4">
        <v>27</v>
      </c>
    </row>
    <row r="62" spans="6:10" x14ac:dyDescent="0.25">
      <c r="F62" t="s">
        <v>16</v>
      </c>
      <c r="G62" t="s">
        <v>6</v>
      </c>
      <c r="H62" t="s">
        <v>42</v>
      </c>
      <c r="I62" s="3">
        <v>6818</v>
      </c>
      <c r="J62" s="4">
        <v>6</v>
      </c>
    </row>
    <row r="63" spans="6:10" x14ac:dyDescent="0.25">
      <c r="F63" t="s">
        <v>23</v>
      </c>
      <c r="G63" t="s">
        <v>9</v>
      </c>
      <c r="H63" t="s">
        <v>7</v>
      </c>
      <c r="I63" s="3">
        <v>6755</v>
      </c>
      <c r="J63" s="4">
        <v>252</v>
      </c>
    </row>
    <row r="64" spans="6:10" x14ac:dyDescent="0.25">
      <c r="F64" t="s">
        <v>5</v>
      </c>
      <c r="G64" t="s">
        <v>30</v>
      </c>
      <c r="H64" t="s">
        <v>42</v>
      </c>
      <c r="I64" s="3">
        <v>6748</v>
      </c>
      <c r="J64" s="4">
        <v>48</v>
      </c>
    </row>
    <row r="65" spans="6:10" x14ac:dyDescent="0.25">
      <c r="F65" t="s">
        <v>16</v>
      </c>
      <c r="G65" t="s">
        <v>30</v>
      </c>
      <c r="H65" t="s">
        <v>10</v>
      </c>
      <c r="I65" s="3">
        <v>6734</v>
      </c>
      <c r="J65" s="4">
        <v>123</v>
      </c>
    </row>
    <row r="66" spans="6:10" x14ac:dyDescent="0.25">
      <c r="F66" t="s">
        <v>8</v>
      </c>
      <c r="G66" t="s">
        <v>9</v>
      </c>
      <c r="H66" t="s">
        <v>10</v>
      </c>
      <c r="I66" s="3">
        <v>6706</v>
      </c>
      <c r="J66" s="4">
        <v>459</v>
      </c>
    </row>
    <row r="67" spans="6:10" x14ac:dyDescent="0.25">
      <c r="F67" t="s">
        <v>35</v>
      </c>
      <c r="G67" t="s">
        <v>14</v>
      </c>
      <c r="H67" t="s">
        <v>10</v>
      </c>
      <c r="I67" s="3">
        <v>6657</v>
      </c>
      <c r="J67" s="4">
        <v>303</v>
      </c>
    </row>
    <row r="68" spans="6:10" x14ac:dyDescent="0.25">
      <c r="F68" t="s">
        <v>27</v>
      </c>
      <c r="G68" t="s">
        <v>9</v>
      </c>
      <c r="H68" t="s">
        <v>37</v>
      </c>
      <c r="I68" s="3">
        <v>6657</v>
      </c>
      <c r="J68" s="4">
        <v>276</v>
      </c>
    </row>
    <row r="69" spans="6:10" x14ac:dyDescent="0.25">
      <c r="F69" t="s">
        <v>23</v>
      </c>
      <c r="G69" t="s">
        <v>6</v>
      </c>
      <c r="H69" t="s">
        <v>24</v>
      </c>
      <c r="I69" s="3">
        <v>6608</v>
      </c>
      <c r="J69" s="4">
        <v>225</v>
      </c>
    </row>
    <row r="70" spans="6:10" x14ac:dyDescent="0.25">
      <c r="F70" t="s">
        <v>26</v>
      </c>
      <c r="G70" t="s">
        <v>20</v>
      </c>
      <c r="H70" t="s">
        <v>40</v>
      </c>
      <c r="I70" s="3">
        <v>6580</v>
      </c>
      <c r="J70" s="4">
        <v>183</v>
      </c>
    </row>
    <row r="71" spans="6:10" x14ac:dyDescent="0.25">
      <c r="F71" t="s">
        <v>23</v>
      </c>
      <c r="G71" t="s">
        <v>6</v>
      </c>
      <c r="H71" t="s">
        <v>7</v>
      </c>
      <c r="I71" s="3">
        <v>6454</v>
      </c>
      <c r="J71" s="4">
        <v>54</v>
      </c>
    </row>
    <row r="72" spans="6:10" x14ac:dyDescent="0.25">
      <c r="F72" t="s">
        <v>8</v>
      </c>
      <c r="G72" t="s">
        <v>20</v>
      </c>
      <c r="H72" t="s">
        <v>41</v>
      </c>
      <c r="I72" s="3">
        <v>6433</v>
      </c>
      <c r="J72" s="4">
        <v>78</v>
      </c>
    </row>
    <row r="73" spans="6:10" x14ac:dyDescent="0.25">
      <c r="F73" t="s">
        <v>13</v>
      </c>
      <c r="G73" t="s">
        <v>6</v>
      </c>
      <c r="H73" t="s">
        <v>38</v>
      </c>
      <c r="I73" s="3">
        <v>6398</v>
      </c>
      <c r="J73" s="4">
        <v>102</v>
      </c>
    </row>
    <row r="74" spans="6:10" x14ac:dyDescent="0.25">
      <c r="F74" t="s">
        <v>23</v>
      </c>
      <c r="G74" t="s">
        <v>6</v>
      </c>
      <c r="H74" t="s">
        <v>19</v>
      </c>
      <c r="I74" s="3">
        <v>6391</v>
      </c>
      <c r="J74" s="4">
        <v>48</v>
      </c>
    </row>
    <row r="75" spans="6:10" x14ac:dyDescent="0.25">
      <c r="F75" t="s">
        <v>5</v>
      </c>
      <c r="G75" t="s">
        <v>17</v>
      </c>
      <c r="H75" t="s">
        <v>39</v>
      </c>
      <c r="I75" s="3">
        <v>6370</v>
      </c>
      <c r="J75" s="4">
        <v>30</v>
      </c>
    </row>
    <row r="76" spans="6:10" x14ac:dyDescent="0.25">
      <c r="F76" t="s">
        <v>25</v>
      </c>
      <c r="G76" t="s">
        <v>14</v>
      </c>
      <c r="H76" t="s">
        <v>34</v>
      </c>
      <c r="I76" s="3">
        <v>6314</v>
      </c>
      <c r="J76" s="4">
        <v>15</v>
      </c>
    </row>
    <row r="77" spans="6:10" x14ac:dyDescent="0.25">
      <c r="F77" t="s">
        <v>27</v>
      </c>
      <c r="G77" t="s">
        <v>30</v>
      </c>
      <c r="H77" t="s">
        <v>18</v>
      </c>
      <c r="I77" s="3">
        <v>6300</v>
      </c>
      <c r="J77" s="4">
        <v>42</v>
      </c>
    </row>
    <row r="78" spans="6:10" x14ac:dyDescent="0.25">
      <c r="F78" t="s">
        <v>25</v>
      </c>
      <c r="G78" t="s">
        <v>30</v>
      </c>
      <c r="H78" t="s">
        <v>22</v>
      </c>
      <c r="I78" s="3">
        <v>6279</v>
      </c>
      <c r="J78" s="4">
        <v>237</v>
      </c>
    </row>
    <row r="79" spans="6:10" x14ac:dyDescent="0.25">
      <c r="F79" t="s">
        <v>8</v>
      </c>
      <c r="G79" t="s">
        <v>6</v>
      </c>
      <c r="H79" t="s">
        <v>42</v>
      </c>
      <c r="I79" s="3">
        <v>6279</v>
      </c>
      <c r="J79" s="4">
        <v>45</v>
      </c>
    </row>
    <row r="80" spans="6:10" x14ac:dyDescent="0.25">
      <c r="F80" t="s">
        <v>25</v>
      </c>
      <c r="G80" t="s">
        <v>14</v>
      </c>
      <c r="H80" t="s">
        <v>31</v>
      </c>
      <c r="I80" s="3">
        <v>6146</v>
      </c>
      <c r="J80" s="4">
        <v>63</v>
      </c>
    </row>
    <row r="81" spans="6:10" x14ac:dyDescent="0.25">
      <c r="F81" t="s">
        <v>5</v>
      </c>
      <c r="G81" t="s">
        <v>6</v>
      </c>
      <c r="H81" t="s">
        <v>39</v>
      </c>
      <c r="I81" s="3">
        <v>6132</v>
      </c>
      <c r="J81" s="4">
        <v>93</v>
      </c>
    </row>
    <row r="82" spans="6:10" x14ac:dyDescent="0.25">
      <c r="F82" t="s">
        <v>5</v>
      </c>
      <c r="G82" t="s">
        <v>20</v>
      </c>
      <c r="H82" t="s">
        <v>12</v>
      </c>
      <c r="I82" s="3">
        <v>6125</v>
      </c>
      <c r="J82" s="4">
        <v>102</v>
      </c>
    </row>
    <row r="83" spans="6:10" x14ac:dyDescent="0.25">
      <c r="F83" t="s">
        <v>13</v>
      </c>
      <c r="G83" t="s">
        <v>14</v>
      </c>
      <c r="H83" t="s">
        <v>7</v>
      </c>
      <c r="I83" s="3">
        <v>6118</v>
      </c>
      <c r="J83" s="4">
        <v>174</v>
      </c>
    </row>
    <row r="84" spans="6:10" x14ac:dyDescent="0.25">
      <c r="F84" t="s">
        <v>16</v>
      </c>
      <c r="G84" t="s">
        <v>14</v>
      </c>
      <c r="H84" t="s">
        <v>10</v>
      </c>
      <c r="I84" s="3">
        <v>6118</v>
      </c>
      <c r="J84" s="4">
        <v>9</v>
      </c>
    </row>
    <row r="85" spans="6:10" x14ac:dyDescent="0.25">
      <c r="F85" t="s">
        <v>25</v>
      </c>
      <c r="G85" t="s">
        <v>14</v>
      </c>
      <c r="H85" t="s">
        <v>15</v>
      </c>
      <c r="I85" s="3">
        <v>6111</v>
      </c>
      <c r="J85" s="4">
        <v>3</v>
      </c>
    </row>
    <row r="86" spans="6:10" x14ac:dyDescent="0.25">
      <c r="F86" t="s">
        <v>16</v>
      </c>
      <c r="G86" t="s">
        <v>17</v>
      </c>
      <c r="H86" t="s">
        <v>28</v>
      </c>
      <c r="I86" s="3">
        <v>6048</v>
      </c>
      <c r="J86" s="4">
        <v>27</v>
      </c>
    </row>
    <row r="87" spans="6:10" x14ac:dyDescent="0.25">
      <c r="F87" t="s">
        <v>26</v>
      </c>
      <c r="G87" t="s">
        <v>17</v>
      </c>
      <c r="H87" t="s">
        <v>40</v>
      </c>
      <c r="I87" s="3">
        <v>6027</v>
      </c>
      <c r="J87" s="4">
        <v>144</v>
      </c>
    </row>
    <row r="88" spans="6:10" x14ac:dyDescent="0.25">
      <c r="F88" t="s">
        <v>13</v>
      </c>
      <c r="G88" t="s">
        <v>20</v>
      </c>
      <c r="H88" t="s">
        <v>22</v>
      </c>
      <c r="I88" s="3">
        <v>5915</v>
      </c>
      <c r="J88" s="4">
        <v>3</v>
      </c>
    </row>
    <row r="89" spans="6:10" x14ac:dyDescent="0.25">
      <c r="F89" t="s">
        <v>5</v>
      </c>
      <c r="G89" t="s">
        <v>17</v>
      </c>
      <c r="H89" t="s">
        <v>22</v>
      </c>
      <c r="I89" s="3">
        <v>5817</v>
      </c>
      <c r="J89" s="4">
        <v>12</v>
      </c>
    </row>
    <row r="90" spans="6:10" x14ac:dyDescent="0.25">
      <c r="F90" t="s">
        <v>5</v>
      </c>
      <c r="G90" t="s">
        <v>17</v>
      </c>
      <c r="H90" t="s">
        <v>37</v>
      </c>
      <c r="I90" s="3">
        <v>5775</v>
      </c>
      <c r="J90" s="4">
        <v>42</v>
      </c>
    </row>
    <row r="91" spans="6:10" x14ac:dyDescent="0.25">
      <c r="F91" t="s">
        <v>23</v>
      </c>
      <c r="G91" t="s">
        <v>20</v>
      </c>
      <c r="H91" t="s">
        <v>40</v>
      </c>
      <c r="I91" s="3">
        <v>5677</v>
      </c>
      <c r="J91" s="4">
        <v>258</v>
      </c>
    </row>
    <row r="92" spans="6:10" x14ac:dyDescent="0.25">
      <c r="F92" t="s">
        <v>5</v>
      </c>
      <c r="G92" t="s">
        <v>20</v>
      </c>
      <c r="H92" t="s">
        <v>31</v>
      </c>
      <c r="I92" s="3">
        <v>5670</v>
      </c>
      <c r="J92" s="4">
        <v>297</v>
      </c>
    </row>
    <row r="93" spans="6:10" x14ac:dyDescent="0.25">
      <c r="F93" t="s">
        <v>35</v>
      </c>
      <c r="G93" t="s">
        <v>20</v>
      </c>
      <c r="H93" t="s">
        <v>24</v>
      </c>
      <c r="I93" s="3">
        <v>5586</v>
      </c>
      <c r="J93" s="4">
        <v>525</v>
      </c>
    </row>
    <row r="94" spans="6:10" x14ac:dyDescent="0.25">
      <c r="F94" t="s">
        <v>23</v>
      </c>
      <c r="G94" t="s">
        <v>14</v>
      </c>
      <c r="H94" t="s">
        <v>32</v>
      </c>
      <c r="I94" s="3">
        <v>5551</v>
      </c>
      <c r="J94" s="4">
        <v>252</v>
      </c>
    </row>
    <row r="95" spans="6:10" x14ac:dyDescent="0.25">
      <c r="F95" t="s">
        <v>25</v>
      </c>
      <c r="G95" t="s">
        <v>20</v>
      </c>
      <c r="H95" t="s">
        <v>36</v>
      </c>
      <c r="I95" s="3">
        <v>5474</v>
      </c>
      <c r="J95" s="4">
        <v>168</v>
      </c>
    </row>
    <row r="96" spans="6:10" x14ac:dyDescent="0.25">
      <c r="F96" t="s">
        <v>5</v>
      </c>
      <c r="G96" t="s">
        <v>14</v>
      </c>
      <c r="H96" t="s">
        <v>18</v>
      </c>
      <c r="I96" s="3">
        <v>5439</v>
      </c>
      <c r="J96" s="4">
        <v>30</v>
      </c>
    </row>
    <row r="97" spans="6:10" x14ac:dyDescent="0.25">
      <c r="F97" t="s">
        <v>35</v>
      </c>
      <c r="G97" t="s">
        <v>30</v>
      </c>
      <c r="H97" t="s">
        <v>36</v>
      </c>
      <c r="I97" s="3">
        <v>5355</v>
      </c>
      <c r="J97" s="4">
        <v>204</v>
      </c>
    </row>
    <row r="98" spans="6:10" x14ac:dyDescent="0.25">
      <c r="F98" t="s">
        <v>23</v>
      </c>
      <c r="G98" t="s">
        <v>6</v>
      </c>
      <c r="H98" t="s">
        <v>42</v>
      </c>
      <c r="I98" s="3">
        <v>5306</v>
      </c>
      <c r="J98" s="4">
        <v>0</v>
      </c>
    </row>
    <row r="99" spans="6:10" x14ac:dyDescent="0.25">
      <c r="F99" t="s">
        <v>25</v>
      </c>
      <c r="G99" t="s">
        <v>17</v>
      </c>
      <c r="H99" t="s">
        <v>42</v>
      </c>
      <c r="I99" s="3">
        <v>5236</v>
      </c>
      <c r="J99" s="4">
        <v>51</v>
      </c>
    </row>
    <row r="100" spans="6:10" x14ac:dyDescent="0.25">
      <c r="F100" t="s">
        <v>23</v>
      </c>
      <c r="G100" t="s">
        <v>9</v>
      </c>
      <c r="H100" t="s">
        <v>40</v>
      </c>
      <c r="I100" s="3">
        <v>5194</v>
      </c>
      <c r="J100" s="4">
        <v>288</v>
      </c>
    </row>
    <row r="101" spans="6:10" x14ac:dyDescent="0.25">
      <c r="F101" t="s">
        <v>25</v>
      </c>
      <c r="G101" t="s">
        <v>20</v>
      </c>
      <c r="H101" t="s">
        <v>10</v>
      </c>
      <c r="I101" s="3">
        <v>5075</v>
      </c>
      <c r="J101" s="4">
        <v>21</v>
      </c>
    </row>
    <row r="102" spans="6:10" x14ac:dyDescent="0.25">
      <c r="F102" t="s">
        <v>5</v>
      </c>
      <c r="G102" t="s">
        <v>30</v>
      </c>
      <c r="H102" t="s">
        <v>28</v>
      </c>
      <c r="I102" s="3">
        <v>5019</v>
      </c>
      <c r="J102" s="4">
        <v>156</v>
      </c>
    </row>
    <row r="103" spans="6:10" x14ac:dyDescent="0.25">
      <c r="F103" t="s">
        <v>8</v>
      </c>
      <c r="G103" t="s">
        <v>14</v>
      </c>
      <c r="H103" t="s">
        <v>34</v>
      </c>
      <c r="I103" s="3">
        <v>5019</v>
      </c>
      <c r="J103" s="4">
        <v>150</v>
      </c>
    </row>
    <row r="104" spans="6:10" x14ac:dyDescent="0.25">
      <c r="F104" t="s">
        <v>8</v>
      </c>
      <c r="G104" t="s">
        <v>9</v>
      </c>
      <c r="H104" t="s">
        <v>22</v>
      </c>
      <c r="I104" s="3">
        <v>5012</v>
      </c>
      <c r="J104" s="4">
        <v>210</v>
      </c>
    </row>
    <row r="105" spans="6:10" x14ac:dyDescent="0.25">
      <c r="F105" t="s">
        <v>25</v>
      </c>
      <c r="G105" t="s">
        <v>6</v>
      </c>
      <c r="H105" t="s">
        <v>24</v>
      </c>
      <c r="I105" s="3">
        <v>4991</v>
      </c>
      <c r="J105" s="4">
        <v>12</v>
      </c>
    </row>
    <row r="106" spans="6:10" x14ac:dyDescent="0.25">
      <c r="F106" t="s">
        <v>35</v>
      </c>
      <c r="G106" t="s">
        <v>30</v>
      </c>
      <c r="H106" t="s">
        <v>42</v>
      </c>
      <c r="I106" s="3">
        <v>4991</v>
      </c>
      <c r="J106" s="4">
        <v>9</v>
      </c>
    </row>
    <row r="107" spans="6:10" x14ac:dyDescent="0.25">
      <c r="F107" t="s">
        <v>16</v>
      </c>
      <c r="G107" t="s">
        <v>14</v>
      </c>
      <c r="H107" t="s">
        <v>28</v>
      </c>
      <c r="I107" s="3">
        <v>4970</v>
      </c>
      <c r="J107" s="4">
        <v>156</v>
      </c>
    </row>
    <row r="108" spans="6:10" x14ac:dyDescent="0.25">
      <c r="F108" t="s">
        <v>27</v>
      </c>
      <c r="G108" t="s">
        <v>17</v>
      </c>
      <c r="H108" t="s">
        <v>42</v>
      </c>
      <c r="I108" s="3">
        <v>4956</v>
      </c>
      <c r="J108" s="4">
        <v>171</v>
      </c>
    </row>
    <row r="109" spans="6:10" x14ac:dyDescent="0.25">
      <c r="F109" t="s">
        <v>16</v>
      </c>
      <c r="G109" t="s">
        <v>6</v>
      </c>
      <c r="H109" t="s">
        <v>34</v>
      </c>
      <c r="I109" s="3">
        <v>4949</v>
      </c>
      <c r="J109" s="4">
        <v>189</v>
      </c>
    </row>
    <row r="110" spans="6:10" x14ac:dyDescent="0.25">
      <c r="F110" t="s">
        <v>13</v>
      </c>
      <c r="G110" t="s">
        <v>30</v>
      </c>
      <c r="H110" t="s">
        <v>34</v>
      </c>
      <c r="I110" s="3">
        <v>4935</v>
      </c>
      <c r="J110" s="4">
        <v>126</v>
      </c>
    </row>
    <row r="111" spans="6:10" x14ac:dyDescent="0.25">
      <c r="F111" t="s">
        <v>35</v>
      </c>
      <c r="G111" t="s">
        <v>17</v>
      </c>
      <c r="H111" t="s">
        <v>41</v>
      </c>
      <c r="I111" s="3">
        <v>4858</v>
      </c>
      <c r="J111" s="4">
        <v>279</v>
      </c>
    </row>
    <row r="112" spans="6:10" x14ac:dyDescent="0.25">
      <c r="F112" t="s">
        <v>26</v>
      </c>
      <c r="G112" t="s">
        <v>17</v>
      </c>
      <c r="H112" t="s">
        <v>37</v>
      </c>
      <c r="I112" s="3">
        <v>4802</v>
      </c>
      <c r="J112" s="4">
        <v>36</v>
      </c>
    </row>
    <row r="113" spans="6:10" x14ac:dyDescent="0.25">
      <c r="F113" t="s">
        <v>16</v>
      </c>
      <c r="G113" t="s">
        <v>9</v>
      </c>
      <c r="H113" t="s">
        <v>7</v>
      </c>
      <c r="I113" s="3">
        <v>4781</v>
      </c>
      <c r="J113" s="4">
        <v>123</v>
      </c>
    </row>
    <row r="114" spans="6:10" x14ac:dyDescent="0.25">
      <c r="F114" t="s">
        <v>13</v>
      </c>
      <c r="G114" t="s">
        <v>9</v>
      </c>
      <c r="H114" t="s">
        <v>31</v>
      </c>
      <c r="I114" s="3">
        <v>4760</v>
      </c>
      <c r="J114" s="4">
        <v>69</v>
      </c>
    </row>
    <row r="115" spans="6:10" x14ac:dyDescent="0.25">
      <c r="F115" t="s">
        <v>8</v>
      </c>
      <c r="G115" t="s">
        <v>9</v>
      </c>
      <c r="H115" t="s">
        <v>39</v>
      </c>
      <c r="I115" s="3">
        <v>4753</v>
      </c>
      <c r="J115" s="4">
        <v>300</v>
      </c>
    </row>
    <row r="116" spans="6:10" x14ac:dyDescent="0.25">
      <c r="F116" t="s">
        <v>25</v>
      </c>
      <c r="G116" t="s">
        <v>9</v>
      </c>
      <c r="H116" t="s">
        <v>21</v>
      </c>
      <c r="I116" s="3">
        <v>4753</v>
      </c>
      <c r="J116" s="4">
        <v>246</v>
      </c>
    </row>
    <row r="117" spans="6:10" x14ac:dyDescent="0.25">
      <c r="F117" t="s">
        <v>5</v>
      </c>
      <c r="G117" t="s">
        <v>9</v>
      </c>
      <c r="H117" t="s">
        <v>29</v>
      </c>
      <c r="I117" s="3">
        <v>4725</v>
      </c>
      <c r="J117" s="4">
        <v>174</v>
      </c>
    </row>
    <row r="118" spans="6:10" x14ac:dyDescent="0.25">
      <c r="F118" t="s">
        <v>35</v>
      </c>
      <c r="G118" t="s">
        <v>6</v>
      </c>
      <c r="H118" t="s">
        <v>34</v>
      </c>
      <c r="I118" s="3">
        <v>4683</v>
      </c>
      <c r="J118" s="4">
        <v>30</v>
      </c>
    </row>
    <row r="119" spans="6:10" x14ac:dyDescent="0.25">
      <c r="F119" t="s">
        <v>23</v>
      </c>
      <c r="G119" t="s">
        <v>9</v>
      </c>
      <c r="H119" t="s">
        <v>24</v>
      </c>
      <c r="I119" s="3">
        <v>4606</v>
      </c>
      <c r="J119" s="4">
        <v>63</v>
      </c>
    </row>
    <row r="120" spans="6:10" x14ac:dyDescent="0.25">
      <c r="F120" t="s">
        <v>27</v>
      </c>
      <c r="G120" t="s">
        <v>6</v>
      </c>
      <c r="H120" t="s">
        <v>32</v>
      </c>
      <c r="I120" s="3">
        <v>4592</v>
      </c>
      <c r="J120" s="4">
        <v>324</v>
      </c>
    </row>
    <row r="121" spans="6:10" x14ac:dyDescent="0.25">
      <c r="F121" t="s">
        <v>23</v>
      </c>
      <c r="G121" t="s">
        <v>9</v>
      </c>
      <c r="H121" t="s">
        <v>36</v>
      </c>
      <c r="I121" s="3">
        <v>4585</v>
      </c>
      <c r="J121" s="4">
        <v>240</v>
      </c>
    </row>
    <row r="122" spans="6:10" x14ac:dyDescent="0.25">
      <c r="F122" t="s">
        <v>23</v>
      </c>
      <c r="G122" t="s">
        <v>6</v>
      </c>
      <c r="H122" t="s">
        <v>29</v>
      </c>
      <c r="I122" s="3">
        <v>4487</v>
      </c>
      <c r="J122" s="4">
        <v>333</v>
      </c>
    </row>
    <row r="123" spans="6:10" x14ac:dyDescent="0.25">
      <c r="F123" t="s">
        <v>23</v>
      </c>
      <c r="G123" t="s">
        <v>6</v>
      </c>
      <c r="H123" t="s">
        <v>28</v>
      </c>
      <c r="I123" s="3">
        <v>4487</v>
      </c>
      <c r="J123" s="4">
        <v>111</v>
      </c>
    </row>
    <row r="124" spans="6:10" x14ac:dyDescent="0.25">
      <c r="F124" t="s">
        <v>25</v>
      </c>
      <c r="G124" t="s">
        <v>9</v>
      </c>
      <c r="H124" t="s">
        <v>32</v>
      </c>
      <c r="I124" s="3">
        <v>4480</v>
      </c>
      <c r="J124" s="4">
        <v>357</v>
      </c>
    </row>
    <row r="125" spans="6:10" x14ac:dyDescent="0.25">
      <c r="F125" t="s">
        <v>23</v>
      </c>
      <c r="G125" t="s">
        <v>17</v>
      </c>
      <c r="H125" t="s">
        <v>28</v>
      </c>
      <c r="I125" s="3">
        <v>4438</v>
      </c>
      <c r="J125" s="4">
        <v>246</v>
      </c>
    </row>
    <row r="126" spans="6:10" x14ac:dyDescent="0.25">
      <c r="F126" t="s">
        <v>5</v>
      </c>
      <c r="G126" t="s">
        <v>14</v>
      </c>
      <c r="H126" t="s">
        <v>31</v>
      </c>
      <c r="I126" s="3">
        <v>4424</v>
      </c>
      <c r="J126" s="4">
        <v>201</v>
      </c>
    </row>
    <row r="127" spans="6:10" x14ac:dyDescent="0.25">
      <c r="F127" t="s">
        <v>26</v>
      </c>
      <c r="G127" t="s">
        <v>20</v>
      </c>
      <c r="H127" t="s">
        <v>34</v>
      </c>
      <c r="I127" s="3">
        <v>4417</v>
      </c>
      <c r="J127" s="4">
        <v>153</v>
      </c>
    </row>
    <row r="128" spans="6:10" x14ac:dyDescent="0.25">
      <c r="F128" t="s">
        <v>26</v>
      </c>
      <c r="G128" t="s">
        <v>20</v>
      </c>
      <c r="H128" t="s">
        <v>21</v>
      </c>
      <c r="I128" s="3">
        <v>4326</v>
      </c>
      <c r="J128" s="4">
        <v>348</v>
      </c>
    </row>
    <row r="129" spans="6:10" x14ac:dyDescent="0.25">
      <c r="F129" t="s">
        <v>16</v>
      </c>
      <c r="G129" t="s">
        <v>14</v>
      </c>
      <c r="H129" t="s">
        <v>31</v>
      </c>
      <c r="I129" s="3">
        <v>4319</v>
      </c>
      <c r="J129" s="4">
        <v>30</v>
      </c>
    </row>
    <row r="130" spans="6:10" x14ac:dyDescent="0.25">
      <c r="F130" t="s">
        <v>11</v>
      </c>
      <c r="G130" t="s">
        <v>6</v>
      </c>
      <c r="H130" t="s">
        <v>18</v>
      </c>
      <c r="I130" s="3">
        <v>4305</v>
      </c>
      <c r="J130" s="4">
        <v>156</v>
      </c>
    </row>
    <row r="131" spans="6:10" x14ac:dyDescent="0.25">
      <c r="F131" t="s">
        <v>16</v>
      </c>
      <c r="G131" t="s">
        <v>30</v>
      </c>
      <c r="H131" t="s">
        <v>39</v>
      </c>
      <c r="I131" s="3">
        <v>4242</v>
      </c>
      <c r="J131" s="4">
        <v>207</v>
      </c>
    </row>
    <row r="132" spans="6:10" x14ac:dyDescent="0.25">
      <c r="F132" t="s">
        <v>11</v>
      </c>
      <c r="G132" t="s">
        <v>20</v>
      </c>
      <c r="H132" t="s">
        <v>38</v>
      </c>
      <c r="I132" s="3">
        <v>4137</v>
      </c>
      <c r="J132" s="4">
        <v>60</v>
      </c>
    </row>
    <row r="133" spans="6:10" x14ac:dyDescent="0.25">
      <c r="F133" t="s">
        <v>35</v>
      </c>
      <c r="G133" t="s">
        <v>30</v>
      </c>
      <c r="H133" t="s">
        <v>22</v>
      </c>
      <c r="I133" s="3">
        <v>4053</v>
      </c>
      <c r="J133" s="4">
        <v>24</v>
      </c>
    </row>
    <row r="134" spans="6:10" x14ac:dyDescent="0.25">
      <c r="F134" t="s">
        <v>25</v>
      </c>
      <c r="G134" t="s">
        <v>17</v>
      </c>
      <c r="H134" t="s">
        <v>38</v>
      </c>
      <c r="I134" s="3">
        <v>4018</v>
      </c>
      <c r="J134" s="4">
        <v>171</v>
      </c>
    </row>
    <row r="135" spans="6:10" x14ac:dyDescent="0.25">
      <c r="F135" t="s">
        <v>5</v>
      </c>
      <c r="G135" t="s">
        <v>30</v>
      </c>
      <c r="H135" t="s">
        <v>36</v>
      </c>
      <c r="I135" s="3">
        <v>4018</v>
      </c>
      <c r="J135" s="4">
        <v>162</v>
      </c>
    </row>
    <row r="136" spans="6:10" x14ac:dyDescent="0.25">
      <c r="F136" t="s">
        <v>26</v>
      </c>
      <c r="G136" t="s">
        <v>17</v>
      </c>
      <c r="H136" t="s">
        <v>19</v>
      </c>
      <c r="I136" s="3">
        <v>4018</v>
      </c>
      <c r="J136" s="4">
        <v>126</v>
      </c>
    </row>
    <row r="137" spans="6:10" x14ac:dyDescent="0.25">
      <c r="F137" t="s">
        <v>27</v>
      </c>
      <c r="G137" t="s">
        <v>6</v>
      </c>
      <c r="H137" t="s">
        <v>28</v>
      </c>
      <c r="I137" s="3">
        <v>3983</v>
      </c>
      <c r="J137" s="4">
        <v>144</v>
      </c>
    </row>
    <row r="138" spans="6:10" x14ac:dyDescent="0.25">
      <c r="F138" t="s">
        <v>13</v>
      </c>
      <c r="G138" t="s">
        <v>17</v>
      </c>
      <c r="H138" t="s">
        <v>24</v>
      </c>
      <c r="I138" s="3">
        <v>3976</v>
      </c>
      <c r="J138" s="4">
        <v>72</v>
      </c>
    </row>
    <row r="139" spans="6:10" x14ac:dyDescent="0.25">
      <c r="F139" t="s">
        <v>11</v>
      </c>
      <c r="G139" t="s">
        <v>17</v>
      </c>
      <c r="H139" t="s">
        <v>38</v>
      </c>
      <c r="I139" s="3">
        <v>3920</v>
      </c>
      <c r="J139" s="4">
        <v>306</v>
      </c>
    </row>
    <row r="140" spans="6:10" x14ac:dyDescent="0.25">
      <c r="F140" t="s">
        <v>16</v>
      </c>
      <c r="G140" t="s">
        <v>9</v>
      </c>
      <c r="H140" t="s">
        <v>39</v>
      </c>
      <c r="I140" s="3">
        <v>3864</v>
      </c>
      <c r="J140" s="4">
        <v>177</v>
      </c>
    </row>
    <row r="141" spans="6:10" x14ac:dyDescent="0.25">
      <c r="F141" t="s">
        <v>11</v>
      </c>
      <c r="G141" t="s">
        <v>20</v>
      </c>
      <c r="H141" t="s">
        <v>18</v>
      </c>
      <c r="I141" s="3">
        <v>3850</v>
      </c>
      <c r="J141" s="4">
        <v>102</v>
      </c>
    </row>
    <row r="142" spans="6:10" x14ac:dyDescent="0.25">
      <c r="F142" t="s">
        <v>23</v>
      </c>
      <c r="G142" t="s">
        <v>30</v>
      </c>
      <c r="H142" t="s">
        <v>37</v>
      </c>
      <c r="I142" s="3">
        <v>3829</v>
      </c>
      <c r="J142" s="4">
        <v>24</v>
      </c>
    </row>
    <row r="143" spans="6:10" x14ac:dyDescent="0.25">
      <c r="F143" t="s">
        <v>35</v>
      </c>
      <c r="G143" t="s">
        <v>9</v>
      </c>
      <c r="H143" t="s">
        <v>15</v>
      </c>
      <c r="I143" s="3">
        <v>3808</v>
      </c>
      <c r="J143" s="4">
        <v>279</v>
      </c>
    </row>
    <row r="144" spans="6:10" x14ac:dyDescent="0.25">
      <c r="F144" t="s">
        <v>5</v>
      </c>
      <c r="G144" t="s">
        <v>30</v>
      </c>
      <c r="H144" t="s">
        <v>19</v>
      </c>
      <c r="I144" s="3">
        <v>3794</v>
      </c>
      <c r="J144" s="4">
        <v>159</v>
      </c>
    </row>
    <row r="145" spans="6:10" x14ac:dyDescent="0.25">
      <c r="F145" t="s">
        <v>27</v>
      </c>
      <c r="G145" t="s">
        <v>14</v>
      </c>
      <c r="H145" t="s">
        <v>34</v>
      </c>
      <c r="I145" s="3">
        <v>3773</v>
      </c>
      <c r="J145" s="4">
        <v>165</v>
      </c>
    </row>
    <row r="146" spans="6:10" x14ac:dyDescent="0.25">
      <c r="F146" t="s">
        <v>16</v>
      </c>
      <c r="G146" t="s">
        <v>30</v>
      </c>
      <c r="H146" t="s">
        <v>28</v>
      </c>
      <c r="I146" s="3">
        <v>3759</v>
      </c>
      <c r="J146" s="4">
        <v>150</v>
      </c>
    </row>
    <row r="147" spans="6:10" x14ac:dyDescent="0.25">
      <c r="F147" t="s">
        <v>8</v>
      </c>
      <c r="G147" t="s">
        <v>20</v>
      </c>
      <c r="H147" t="s">
        <v>10</v>
      </c>
      <c r="I147" s="3">
        <v>3752</v>
      </c>
      <c r="J147" s="4">
        <v>213</v>
      </c>
    </row>
    <row r="148" spans="6:10" x14ac:dyDescent="0.25">
      <c r="F148" t="s">
        <v>27</v>
      </c>
      <c r="G148" t="s">
        <v>30</v>
      </c>
      <c r="H148" t="s">
        <v>40</v>
      </c>
      <c r="I148" s="3">
        <v>3689</v>
      </c>
      <c r="J148" s="4">
        <v>312</v>
      </c>
    </row>
    <row r="149" spans="6:10" x14ac:dyDescent="0.25">
      <c r="F149" t="s">
        <v>27</v>
      </c>
      <c r="G149" t="s">
        <v>17</v>
      </c>
      <c r="H149" t="s">
        <v>32</v>
      </c>
      <c r="I149" s="3">
        <v>3640</v>
      </c>
      <c r="J149" s="4">
        <v>51</v>
      </c>
    </row>
    <row r="150" spans="6:10" x14ac:dyDescent="0.25">
      <c r="F150" t="s">
        <v>8</v>
      </c>
      <c r="G150" t="s">
        <v>9</v>
      </c>
      <c r="H150" t="s">
        <v>7</v>
      </c>
      <c r="I150" s="3">
        <v>3598</v>
      </c>
      <c r="J150" s="4">
        <v>81</v>
      </c>
    </row>
    <row r="151" spans="6:10" x14ac:dyDescent="0.25">
      <c r="F151" t="s">
        <v>16</v>
      </c>
      <c r="G151" t="s">
        <v>6</v>
      </c>
      <c r="H151" t="s">
        <v>40</v>
      </c>
      <c r="I151" s="3">
        <v>3556</v>
      </c>
      <c r="J151" s="4">
        <v>459</v>
      </c>
    </row>
    <row r="152" spans="6:10" x14ac:dyDescent="0.25">
      <c r="F152" t="s">
        <v>26</v>
      </c>
      <c r="G152" t="s">
        <v>20</v>
      </c>
      <c r="H152" t="s">
        <v>12</v>
      </c>
      <c r="I152" s="3">
        <v>3549</v>
      </c>
      <c r="J152" s="4">
        <v>3</v>
      </c>
    </row>
    <row r="153" spans="6:10" x14ac:dyDescent="0.25">
      <c r="F153" t="s">
        <v>8</v>
      </c>
      <c r="G153" t="s">
        <v>30</v>
      </c>
      <c r="H153" t="s">
        <v>21</v>
      </c>
      <c r="I153" s="3">
        <v>3507</v>
      </c>
      <c r="J153" s="4">
        <v>288</v>
      </c>
    </row>
    <row r="154" spans="6:10" x14ac:dyDescent="0.25">
      <c r="F154" t="s">
        <v>35</v>
      </c>
      <c r="G154" t="s">
        <v>9</v>
      </c>
      <c r="H154" t="s">
        <v>24</v>
      </c>
      <c r="I154" s="3">
        <v>3472</v>
      </c>
      <c r="J154" s="4">
        <v>96</v>
      </c>
    </row>
    <row r="155" spans="6:10" x14ac:dyDescent="0.25">
      <c r="F155" t="s">
        <v>16</v>
      </c>
      <c r="G155" t="s">
        <v>30</v>
      </c>
      <c r="H155" t="s">
        <v>7</v>
      </c>
      <c r="I155" s="3">
        <v>3402</v>
      </c>
      <c r="J155" s="4">
        <v>366</v>
      </c>
    </row>
    <row r="156" spans="6:10" x14ac:dyDescent="0.25">
      <c r="F156" t="s">
        <v>13</v>
      </c>
      <c r="G156" t="s">
        <v>6</v>
      </c>
      <c r="H156" t="s">
        <v>33</v>
      </c>
      <c r="I156" s="3">
        <v>3388</v>
      </c>
      <c r="J156" s="4">
        <v>123</v>
      </c>
    </row>
    <row r="157" spans="6:10" x14ac:dyDescent="0.25">
      <c r="F157" t="s">
        <v>25</v>
      </c>
      <c r="G157" t="s">
        <v>14</v>
      </c>
      <c r="H157" t="s">
        <v>28</v>
      </c>
      <c r="I157" s="3">
        <v>3339</v>
      </c>
      <c r="J157" s="4">
        <v>348</v>
      </c>
    </row>
    <row r="158" spans="6:10" x14ac:dyDescent="0.25">
      <c r="F158" t="s">
        <v>16</v>
      </c>
      <c r="G158" t="s">
        <v>30</v>
      </c>
      <c r="H158" t="s">
        <v>32</v>
      </c>
      <c r="I158" s="3">
        <v>3339</v>
      </c>
      <c r="J158" s="4">
        <v>75</v>
      </c>
    </row>
    <row r="159" spans="6:10" x14ac:dyDescent="0.25">
      <c r="F159" t="s">
        <v>27</v>
      </c>
      <c r="G159" t="s">
        <v>14</v>
      </c>
      <c r="H159" t="s">
        <v>18</v>
      </c>
      <c r="I159" s="3">
        <v>3339</v>
      </c>
      <c r="J159" s="4">
        <v>39</v>
      </c>
    </row>
    <row r="160" spans="6:10" x14ac:dyDescent="0.25">
      <c r="F160" t="s">
        <v>23</v>
      </c>
      <c r="G160" t="s">
        <v>30</v>
      </c>
      <c r="H160" t="s">
        <v>10</v>
      </c>
      <c r="I160" s="3">
        <v>3262</v>
      </c>
      <c r="J160" s="4">
        <v>75</v>
      </c>
    </row>
    <row r="161" spans="6:10" x14ac:dyDescent="0.25">
      <c r="F161" t="s">
        <v>11</v>
      </c>
      <c r="G161" t="s">
        <v>17</v>
      </c>
      <c r="H161" t="s">
        <v>18</v>
      </c>
      <c r="I161" s="3">
        <v>3192</v>
      </c>
      <c r="J161" s="4">
        <v>72</v>
      </c>
    </row>
    <row r="162" spans="6:10" x14ac:dyDescent="0.25">
      <c r="F162" t="s">
        <v>5</v>
      </c>
      <c r="G162" t="s">
        <v>14</v>
      </c>
      <c r="H162" t="s">
        <v>39</v>
      </c>
      <c r="I162" s="3">
        <v>3164</v>
      </c>
      <c r="J162" s="4">
        <v>306</v>
      </c>
    </row>
    <row r="163" spans="6:10" x14ac:dyDescent="0.25">
      <c r="F163" t="s">
        <v>27</v>
      </c>
      <c r="G163" t="s">
        <v>30</v>
      </c>
      <c r="H163" t="s">
        <v>42</v>
      </c>
      <c r="I163" s="3">
        <v>3108</v>
      </c>
      <c r="J163" s="4">
        <v>54</v>
      </c>
    </row>
    <row r="164" spans="6:10" x14ac:dyDescent="0.25">
      <c r="F164" t="s">
        <v>5</v>
      </c>
      <c r="G164" t="s">
        <v>17</v>
      </c>
      <c r="H164" t="s">
        <v>40</v>
      </c>
      <c r="I164" s="3">
        <v>3101</v>
      </c>
      <c r="J164" s="4">
        <v>225</v>
      </c>
    </row>
    <row r="165" spans="6:10" x14ac:dyDescent="0.25">
      <c r="F165" t="s">
        <v>26</v>
      </c>
      <c r="G165" t="s">
        <v>14</v>
      </c>
      <c r="H165" t="s">
        <v>21</v>
      </c>
      <c r="I165" s="3">
        <v>3094</v>
      </c>
      <c r="J165" s="4">
        <v>246</v>
      </c>
    </row>
    <row r="166" spans="6:10" x14ac:dyDescent="0.25">
      <c r="F166" t="s">
        <v>35</v>
      </c>
      <c r="G166" t="s">
        <v>6</v>
      </c>
      <c r="H166" t="s">
        <v>40</v>
      </c>
      <c r="I166" s="3">
        <v>3059</v>
      </c>
      <c r="J166" s="4">
        <v>27</v>
      </c>
    </row>
    <row r="167" spans="6:10" x14ac:dyDescent="0.25">
      <c r="F167" t="s">
        <v>16</v>
      </c>
      <c r="G167" t="s">
        <v>17</v>
      </c>
      <c r="H167" t="s">
        <v>32</v>
      </c>
      <c r="I167" s="3">
        <v>3052</v>
      </c>
      <c r="J167" s="4">
        <v>378</v>
      </c>
    </row>
    <row r="168" spans="6:10" x14ac:dyDescent="0.25">
      <c r="F168" t="s">
        <v>16</v>
      </c>
      <c r="G168" t="s">
        <v>17</v>
      </c>
      <c r="H168" t="s">
        <v>38</v>
      </c>
      <c r="I168" s="3">
        <v>2989</v>
      </c>
      <c r="J168" s="4">
        <v>3</v>
      </c>
    </row>
    <row r="169" spans="6:10" x14ac:dyDescent="0.25">
      <c r="F169" t="s">
        <v>11</v>
      </c>
      <c r="G169" t="s">
        <v>14</v>
      </c>
      <c r="H169" t="s">
        <v>10</v>
      </c>
      <c r="I169" s="3">
        <v>2954</v>
      </c>
      <c r="J169" s="4">
        <v>189</v>
      </c>
    </row>
    <row r="170" spans="6:10" x14ac:dyDescent="0.25">
      <c r="F170" t="s">
        <v>13</v>
      </c>
      <c r="G170" t="s">
        <v>6</v>
      </c>
      <c r="H170" t="s">
        <v>41</v>
      </c>
      <c r="I170" s="3">
        <v>2933</v>
      </c>
      <c r="J170" s="4">
        <v>9</v>
      </c>
    </row>
    <row r="171" spans="6:10" x14ac:dyDescent="0.25">
      <c r="F171" t="s">
        <v>27</v>
      </c>
      <c r="G171" t="s">
        <v>30</v>
      </c>
      <c r="H171" t="s">
        <v>28</v>
      </c>
      <c r="I171" s="3">
        <v>2919</v>
      </c>
      <c r="J171" s="4">
        <v>93</v>
      </c>
    </row>
    <row r="172" spans="6:10" x14ac:dyDescent="0.25">
      <c r="F172" t="s">
        <v>11</v>
      </c>
      <c r="G172" t="s">
        <v>6</v>
      </c>
      <c r="H172" t="s">
        <v>40</v>
      </c>
      <c r="I172" s="3">
        <v>2919</v>
      </c>
      <c r="J172" s="4">
        <v>45</v>
      </c>
    </row>
    <row r="173" spans="6:10" x14ac:dyDescent="0.25">
      <c r="F173" t="s">
        <v>25</v>
      </c>
      <c r="G173" t="s">
        <v>30</v>
      </c>
      <c r="H173" t="s">
        <v>32</v>
      </c>
      <c r="I173" s="3">
        <v>2891</v>
      </c>
      <c r="J173" s="4">
        <v>102</v>
      </c>
    </row>
    <row r="174" spans="6:10" x14ac:dyDescent="0.25">
      <c r="F174" t="s">
        <v>23</v>
      </c>
      <c r="G174" t="s">
        <v>14</v>
      </c>
      <c r="H174" t="s">
        <v>36</v>
      </c>
      <c r="I174" s="3">
        <v>2870</v>
      </c>
      <c r="J174" s="4">
        <v>300</v>
      </c>
    </row>
    <row r="175" spans="6:10" x14ac:dyDescent="0.25">
      <c r="F175" t="s">
        <v>26</v>
      </c>
      <c r="G175" t="s">
        <v>6</v>
      </c>
      <c r="H175" t="s">
        <v>37</v>
      </c>
      <c r="I175" s="3">
        <v>2863</v>
      </c>
      <c r="J175" s="4">
        <v>42</v>
      </c>
    </row>
    <row r="176" spans="6:10" x14ac:dyDescent="0.25">
      <c r="F176" t="s">
        <v>11</v>
      </c>
      <c r="G176" t="s">
        <v>6</v>
      </c>
      <c r="H176" t="s">
        <v>42</v>
      </c>
      <c r="I176" s="3">
        <v>2856</v>
      </c>
      <c r="J176" s="4">
        <v>246</v>
      </c>
    </row>
    <row r="177" spans="6:10" x14ac:dyDescent="0.25">
      <c r="F177" t="s">
        <v>23</v>
      </c>
      <c r="G177" t="s">
        <v>9</v>
      </c>
      <c r="H177" t="s">
        <v>38</v>
      </c>
      <c r="I177" s="3">
        <v>2793</v>
      </c>
      <c r="J177" s="4">
        <v>114</v>
      </c>
    </row>
    <row r="178" spans="6:10" x14ac:dyDescent="0.25">
      <c r="F178" t="s">
        <v>5</v>
      </c>
      <c r="G178" t="s">
        <v>30</v>
      </c>
      <c r="H178" t="s">
        <v>34</v>
      </c>
      <c r="I178" s="3">
        <v>2779</v>
      </c>
      <c r="J178" s="4">
        <v>75</v>
      </c>
    </row>
    <row r="179" spans="6:10" x14ac:dyDescent="0.25">
      <c r="F179" t="s">
        <v>25</v>
      </c>
      <c r="G179" t="s">
        <v>9</v>
      </c>
      <c r="H179" t="s">
        <v>12</v>
      </c>
      <c r="I179" s="3">
        <v>2744</v>
      </c>
      <c r="J179" s="4">
        <v>9</v>
      </c>
    </row>
    <row r="180" spans="6:10" x14ac:dyDescent="0.25">
      <c r="F180" t="s">
        <v>11</v>
      </c>
      <c r="G180" t="s">
        <v>6</v>
      </c>
      <c r="H180" t="s">
        <v>34</v>
      </c>
      <c r="I180" s="3">
        <v>2737</v>
      </c>
      <c r="J180" s="4">
        <v>93</v>
      </c>
    </row>
    <row r="181" spans="6:10" x14ac:dyDescent="0.25">
      <c r="F181" t="s">
        <v>8</v>
      </c>
      <c r="G181" t="s">
        <v>9</v>
      </c>
      <c r="H181" t="s">
        <v>33</v>
      </c>
      <c r="I181" s="3">
        <v>2702</v>
      </c>
      <c r="J181" s="4">
        <v>363</v>
      </c>
    </row>
    <row r="182" spans="6:10" x14ac:dyDescent="0.25">
      <c r="F182" t="s">
        <v>16</v>
      </c>
      <c r="G182" t="s">
        <v>20</v>
      </c>
      <c r="H182" t="s">
        <v>21</v>
      </c>
      <c r="I182" s="3">
        <v>2681</v>
      </c>
      <c r="J182" s="4">
        <v>54</v>
      </c>
    </row>
    <row r="183" spans="6:10" x14ac:dyDescent="0.25">
      <c r="F183" t="s">
        <v>23</v>
      </c>
      <c r="G183" t="s">
        <v>14</v>
      </c>
      <c r="H183" t="s">
        <v>15</v>
      </c>
      <c r="I183" s="3">
        <v>2646</v>
      </c>
      <c r="J183" s="4">
        <v>177</v>
      </c>
    </row>
    <row r="184" spans="6:10" x14ac:dyDescent="0.25">
      <c r="F184" t="s">
        <v>11</v>
      </c>
      <c r="G184" t="s">
        <v>20</v>
      </c>
      <c r="H184" t="s">
        <v>29</v>
      </c>
      <c r="I184" s="3">
        <v>2646</v>
      </c>
      <c r="J184" s="4">
        <v>120</v>
      </c>
    </row>
    <row r="185" spans="6:10" x14ac:dyDescent="0.25">
      <c r="F185" t="s">
        <v>11</v>
      </c>
      <c r="G185" t="s">
        <v>17</v>
      </c>
      <c r="H185" t="s">
        <v>15</v>
      </c>
      <c r="I185" s="3">
        <v>2639</v>
      </c>
      <c r="J185" s="4">
        <v>204</v>
      </c>
    </row>
    <row r="186" spans="6:10" x14ac:dyDescent="0.25">
      <c r="F186" t="s">
        <v>27</v>
      </c>
      <c r="G186" t="s">
        <v>30</v>
      </c>
      <c r="H186" t="s">
        <v>33</v>
      </c>
      <c r="I186" s="3">
        <v>2583</v>
      </c>
      <c r="J186" s="4">
        <v>18</v>
      </c>
    </row>
    <row r="187" spans="6:10" x14ac:dyDescent="0.25">
      <c r="F187" t="s">
        <v>35</v>
      </c>
      <c r="G187" t="s">
        <v>9</v>
      </c>
      <c r="H187" t="s">
        <v>37</v>
      </c>
      <c r="I187" s="3">
        <v>2562</v>
      </c>
      <c r="J187" s="4">
        <v>6</v>
      </c>
    </row>
    <row r="188" spans="6:10" x14ac:dyDescent="0.25">
      <c r="F188" t="s">
        <v>5</v>
      </c>
      <c r="G188" t="s">
        <v>20</v>
      </c>
      <c r="H188" t="s">
        <v>18</v>
      </c>
      <c r="I188" s="3">
        <v>2541</v>
      </c>
      <c r="J188" s="4">
        <v>90</v>
      </c>
    </row>
    <row r="189" spans="6:10" x14ac:dyDescent="0.25">
      <c r="F189" t="s">
        <v>5</v>
      </c>
      <c r="G189" t="s">
        <v>20</v>
      </c>
      <c r="H189" t="s">
        <v>32</v>
      </c>
      <c r="I189" s="3">
        <v>2541</v>
      </c>
      <c r="J189" s="4">
        <v>45</v>
      </c>
    </row>
    <row r="190" spans="6:10" x14ac:dyDescent="0.25">
      <c r="F190" t="s">
        <v>23</v>
      </c>
      <c r="G190" t="s">
        <v>9</v>
      </c>
      <c r="H190" t="s">
        <v>39</v>
      </c>
      <c r="I190" s="3">
        <v>2478</v>
      </c>
      <c r="J190" s="4">
        <v>21</v>
      </c>
    </row>
    <row r="191" spans="6:10" x14ac:dyDescent="0.25">
      <c r="F191" t="s">
        <v>35</v>
      </c>
      <c r="G191" t="s">
        <v>14</v>
      </c>
      <c r="H191" t="s">
        <v>32</v>
      </c>
      <c r="I191" s="3">
        <v>2471</v>
      </c>
      <c r="J191" s="4">
        <v>342</v>
      </c>
    </row>
    <row r="192" spans="6:10" x14ac:dyDescent="0.25">
      <c r="F192" t="s">
        <v>27</v>
      </c>
      <c r="G192" t="s">
        <v>9</v>
      </c>
      <c r="H192" t="s">
        <v>18</v>
      </c>
      <c r="I192" s="3">
        <v>2464</v>
      </c>
      <c r="J192" s="4">
        <v>234</v>
      </c>
    </row>
    <row r="193" spans="6:10" x14ac:dyDescent="0.25">
      <c r="F193" t="s">
        <v>11</v>
      </c>
      <c r="G193" t="s">
        <v>20</v>
      </c>
      <c r="H193" t="s">
        <v>42</v>
      </c>
      <c r="I193" s="3">
        <v>2436</v>
      </c>
      <c r="J193" s="4">
        <v>99</v>
      </c>
    </row>
    <row r="194" spans="6:10" x14ac:dyDescent="0.25">
      <c r="F194" t="s">
        <v>11</v>
      </c>
      <c r="G194" t="s">
        <v>9</v>
      </c>
      <c r="H194" t="s">
        <v>39</v>
      </c>
      <c r="I194" s="3">
        <v>2429</v>
      </c>
      <c r="J194" s="4">
        <v>144</v>
      </c>
    </row>
    <row r="195" spans="6:10" x14ac:dyDescent="0.25">
      <c r="F195" t="s">
        <v>27</v>
      </c>
      <c r="G195" t="s">
        <v>9</v>
      </c>
      <c r="H195" t="s">
        <v>24</v>
      </c>
      <c r="I195" s="3">
        <v>2415</v>
      </c>
      <c r="J195" s="4">
        <v>255</v>
      </c>
    </row>
    <row r="196" spans="6:10" x14ac:dyDescent="0.25">
      <c r="F196" t="s">
        <v>25</v>
      </c>
      <c r="G196" t="s">
        <v>9</v>
      </c>
      <c r="H196" t="s">
        <v>15</v>
      </c>
      <c r="I196" s="3">
        <v>2415</v>
      </c>
      <c r="J196" s="4">
        <v>15</v>
      </c>
    </row>
    <row r="197" spans="6:10" x14ac:dyDescent="0.25">
      <c r="F197" t="s">
        <v>11</v>
      </c>
      <c r="G197" t="s">
        <v>20</v>
      </c>
      <c r="H197" t="s">
        <v>28</v>
      </c>
      <c r="I197" s="3">
        <v>2408</v>
      </c>
      <c r="J197" s="4">
        <v>9</v>
      </c>
    </row>
    <row r="198" spans="6:10" x14ac:dyDescent="0.25">
      <c r="F198" t="s">
        <v>13</v>
      </c>
      <c r="G198" t="s">
        <v>6</v>
      </c>
      <c r="H198" t="s">
        <v>42</v>
      </c>
      <c r="I198" s="3">
        <v>2324</v>
      </c>
      <c r="J198" s="4">
        <v>177</v>
      </c>
    </row>
    <row r="199" spans="6:10" x14ac:dyDescent="0.25">
      <c r="F199" t="s">
        <v>35</v>
      </c>
      <c r="G199" t="s">
        <v>14</v>
      </c>
      <c r="H199" t="s">
        <v>34</v>
      </c>
      <c r="I199" s="3">
        <v>2317</v>
      </c>
      <c r="J199" s="4">
        <v>261</v>
      </c>
    </row>
    <row r="200" spans="6:10" x14ac:dyDescent="0.25">
      <c r="F200" t="s">
        <v>16</v>
      </c>
      <c r="G200" t="s">
        <v>20</v>
      </c>
      <c r="H200" t="s">
        <v>31</v>
      </c>
      <c r="I200" s="3">
        <v>2317</v>
      </c>
      <c r="J200" s="4">
        <v>123</v>
      </c>
    </row>
    <row r="201" spans="6:10" x14ac:dyDescent="0.25">
      <c r="F201" t="s">
        <v>5</v>
      </c>
      <c r="G201" t="s">
        <v>30</v>
      </c>
      <c r="H201" t="s">
        <v>39</v>
      </c>
      <c r="I201" s="3">
        <v>2289</v>
      </c>
      <c r="J201" s="4">
        <v>135</v>
      </c>
    </row>
    <row r="202" spans="6:10" x14ac:dyDescent="0.25">
      <c r="F202" t="s">
        <v>5</v>
      </c>
      <c r="G202" t="s">
        <v>9</v>
      </c>
      <c r="H202" t="s">
        <v>7</v>
      </c>
      <c r="I202" s="3">
        <v>2275</v>
      </c>
      <c r="J202" s="4">
        <v>447</v>
      </c>
    </row>
    <row r="203" spans="6:10" x14ac:dyDescent="0.25">
      <c r="F203" t="s">
        <v>8</v>
      </c>
      <c r="G203" t="s">
        <v>20</v>
      </c>
      <c r="H203" t="s">
        <v>39</v>
      </c>
      <c r="I203" s="3">
        <v>2268</v>
      </c>
      <c r="J203" s="4">
        <v>63</v>
      </c>
    </row>
    <row r="204" spans="6:10" x14ac:dyDescent="0.25">
      <c r="F204" t="s">
        <v>23</v>
      </c>
      <c r="G204" t="s">
        <v>30</v>
      </c>
      <c r="H204" t="s">
        <v>19</v>
      </c>
      <c r="I204" s="3">
        <v>2226</v>
      </c>
      <c r="J204" s="4">
        <v>48</v>
      </c>
    </row>
    <row r="205" spans="6:10" x14ac:dyDescent="0.25">
      <c r="F205" t="s">
        <v>16</v>
      </c>
      <c r="G205" t="s">
        <v>30</v>
      </c>
      <c r="H205" t="s">
        <v>29</v>
      </c>
      <c r="I205" s="3">
        <v>2219</v>
      </c>
      <c r="J205" s="4">
        <v>75</v>
      </c>
    </row>
    <row r="206" spans="6:10" x14ac:dyDescent="0.25">
      <c r="F206" t="s">
        <v>27</v>
      </c>
      <c r="G206" t="s">
        <v>30</v>
      </c>
      <c r="H206" t="s">
        <v>34</v>
      </c>
      <c r="I206" s="3">
        <v>2212</v>
      </c>
      <c r="J206" s="4">
        <v>117</v>
      </c>
    </row>
    <row r="207" spans="6:10" x14ac:dyDescent="0.25">
      <c r="F207" t="s">
        <v>35</v>
      </c>
      <c r="G207" t="s">
        <v>20</v>
      </c>
      <c r="H207" t="s">
        <v>22</v>
      </c>
      <c r="I207" s="3">
        <v>2205</v>
      </c>
      <c r="J207" s="4">
        <v>141</v>
      </c>
    </row>
    <row r="208" spans="6:10" x14ac:dyDescent="0.25">
      <c r="F208" t="s">
        <v>23</v>
      </c>
      <c r="G208" t="s">
        <v>30</v>
      </c>
      <c r="H208" t="s">
        <v>33</v>
      </c>
      <c r="I208" s="3">
        <v>2205</v>
      </c>
      <c r="J208" s="4">
        <v>138</v>
      </c>
    </row>
    <row r="209" spans="6:10" x14ac:dyDescent="0.25">
      <c r="F209" t="s">
        <v>23</v>
      </c>
      <c r="G209" t="s">
        <v>14</v>
      </c>
      <c r="H209" t="s">
        <v>21</v>
      </c>
      <c r="I209" s="3">
        <v>2149</v>
      </c>
      <c r="J209" s="4">
        <v>117</v>
      </c>
    </row>
    <row r="210" spans="6:10" x14ac:dyDescent="0.25">
      <c r="F210" t="s">
        <v>11</v>
      </c>
      <c r="G210" t="s">
        <v>14</v>
      </c>
      <c r="H210" t="s">
        <v>18</v>
      </c>
      <c r="I210" s="3">
        <v>2142</v>
      </c>
      <c r="J210" s="4">
        <v>114</v>
      </c>
    </row>
    <row r="211" spans="6:10" x14ac:dyDescent="0.25">
      <c r="F211" t="s">
        <v>23</v>
      </c>
      <c r="G211" t="s">
        <v>9</v>
      </c>
      <c r="H211" t="s">
        <v>29</v>
      </c>
      <c r="I211" s="3">
        <v>2135</v>
      </c>
      <c r="J211" s="4">
        <v>27</v>
      </c>
    </row>
    <row r="212" spans="6:10" x14ac:dyDescent="0.25">
      <c r="F212" t="s">
        <v>13</v>
      </c>
      <c r="G212" t="s">
        <v>9</v>
      </c>
      <c r="H212" t="s">
        <v>37</v>
      </c>
      <c r="I212" s="3">
        <v>2114</v>
      </c>
      <c r="J212" s="4">
        <v>186</v>
      </c>
    </row>
    <row r="213" spans="6:10" x14ac:dyDescent="0.25">
      <c r="F213" t="s">
        <v>27</v>
      </c>
      <c r="G213" t="s">
        <v>9</v>
      </c>
      <c r="H213" t="s">
        <v>32</v>
      </c>
      <c r="I213" s="3">
        <v>2114</v>
      </c>
      <c r="J213" s="4">
        <v>66</v>
      </c>
    </row>
    <row r="214" spans="6:10" x14ac:dyDescent="0.25">
      <c r="F214" t="s">
        <v>16</v>
      </c>
      <c r="G214" t="s">
        <v>17</v>
      </c>
      <c r="H214" t="s">
        <v>18</v>
      </c>
      <c r="I214" s="3">
        <v>2100</v>
      </c>
      <c r="J214" s="4">
        <v>414</v>
      </c>
    </row>
    <row r="215" spans="6:10" x14ac:dyDescent="0.25">
      <c r="F215" t="s">
        <v>8</v>
      </c>
      <c r="G215" t="s">
        <v>9</v>
      </c>
      <c r="H215" t="s">
        <v>32</v>
      </c>
      <c r="I215" s="3">
        <v>2023</v>
      </c>
      <c r="J215" s="4">
        <v>168</v>
      </c>
    </row>
    <row r="216" spans="6:10" x14ac:dyDescent="0.25">
      <c r="F216" t="s">
        <v>27</v>
      </c>
      <c r="G216" t="s">
        <v>9</v>
      </c>
      <c r="H216" t="s">
        <v>34</v>
      </c>
      <c r="I216" s="3">
        <v>2023</v>
      </c>
      <c r="J216" s="4">
        <v>78</v>
      </c>
    </row>
    <row r="217" spans="6:10" x14ac:dyDescent="0.25">
      <c r="F217" t="s">
        <v>26</v>
      </c>
      <c r="G217" t="s">
        <v>17</v>
      </c>
      <c r="H217" t="s">
        <v>29</v>
      </c>
      <c r="I217" s="3">
        <v>2016</v>
      </c>
      <c r="J217" s="4">
        <v>117</v>
      </c>
    </row>
    <row r="218" spans="6:10" x14ac:dyDescent="0.25">
      <c r="F218" t="s">
        <v>8</v>
      </c>
      <c r="G218" t="s">
        <v>30</v>
      </c>
      <c r="H218" t="s">
        <v>29</v>
      </c>
      <c r="I218" s="3">
        <v>2009</v>
      </c>
      <c r="J218" s="4">
        <v>219</v>
      </c>
    </row>
    <row r="219" spans="6:10" x14ac:dyDescent="0.25">
      <c r="F219" t="s">
        <v>5</v>
      </c>
      <c r="G219" t="s">
        <v>20</v>
      </c>
      <c r="H219" t="s">
        <v>21</v>
      </c>
      <c r="I219" s="3">
        <v>1988</v>
      </c>
      <c r="J219" s="4">
        <v>39</v>
      </c>
    </row>
    <row r="220" spans="6:10" x14ac:dyDescent="0.25">
      <c r="F220" t="s">
        <v>35</v>
      </c>
      <c r="G220" t="s">
        <v>9</v>
      </c>
      <c r="H220" t="s">
        <v>33</v>
      </c>
      <c r="I220" s="3">
        <v>1974</v>
      </c>
      <c r="J220" s="4">
        <v>195</v>
      </c>
    </row>
    <row r="221" spans="6:10" x14ac:dyDescent="0.25">
      <c r="F221" t="s">
        <v>23</v>
      </c>
      <c r="G221" t="s">
        <v>30</v>
      </c>
      <c r="H221" t="s">
        <v>24</v>
      </c>
      <c r="I221" s="3">
        <v>1932</v>
      </c>
      <c r="J221" s="4">
        <v>369</v>
      </c>
    </row>
    <row r="222" spans="6:10" x14ac:dyDescent="0.25">
      <c r="F222" t="s">
        <v>13</v>
      </c>
      <c r="G222" t="s">
        <v>14</v>
      </c>
      <c r="H222" t="s">
        <v>36</v>
      </c>
      <c r="I222" s="3">
        <v>1925</v>
      </c>
      <c r="J222" s="4">
        <v>192</v>
      </c>
    </row>
    <row r="223" spans="6:10" x14ac:dyDescent="0.25">
      <c r="F223" t="s">
        <v>16</v>
      </c>
      <c r="G223" t="s">
        <v>6</v>
      </c>
      <c r="H223" t="s">
        <v>29</v>
      </c>
      <c r="I223" s="3">
        <v>1904</v>
      </c>
      <c r="J223" s="4">
        <v>405</v>
      </c>
    </row>
    <row r="224" spans="6:10" x14ac:dyDescent="0.25">
      <c r="F224" t="s">
        <v>8</v>
      </c>
      <c r="G224" t="s">
        <v>6</v>
      </c>
      <c r="H224" t="s">
        <v>22</v>
      </c>
      <c r="I224" s="3">
        <v>1890</v>
      </c>
      <c r="J224" s="4">
        <v>195</v>
      </c>
    </row>
    <row r="225" spans="6:10" x14ac:dyDescent="0.25">
      <c r="F225" t="s">
        <v>26</v>
      </c>
      <c r="G225" t="s">
        <v>17</v>
      </c>
      <c r="H225" t="s">
        <v>18</v>
      </c>
      <c r="I225" s="3">
        <v>1785</v>
      </c>
      <c r="J225" s="4">
        <v>462</v>
      </c>
    </row>
    <row r="226" spans="6:10" x14ac:dyDescent="0.25">
      <c r="F226" t="s">
        <v>23</v>
      </c>
      <c r="G226" t="s">
        <v>20</v>
      </c>
      <c r="H226" t="s">
        <v>15</v>
      </c>
      <c r="I226" s="3">
        <v>1778</v>
      </c>
      <c r="J226" s="4">
        <v>270</v>
      </c>
    </row>
    <row r="227" spans="6:10" x14ac:dyDescent="0.25">
      <c r="F227" t="s">
        <v>8</v>
      </c>
      <c r="G227" t="s">
        <v>6</v>
      </c>
      <c r="H227" t="s">
        <v>36</v>
      </c>
      <c r="I227" s="3">
        <v>1771</v>
      </c>
      <c r="J227" s="4">
        <v>204</v>
      </c>
    </row>
    <row r="228" spans="6:10" x14ac:dyDescent="0.25">
      <c r="F228" t="s">
        <v>8</v>
      </c>
      <c r="G228" t="s">
        <v>20</v>
      </c>
      <c r="H228" t="s">
        <v>34</v>
      </c>
      <c r="I228" s="3">
        <v>1701</v>
      </c>
      <c r="J228" s="4">
        <v>234</v>
      </c>
    </row>
    <row r="229" spans="6:10" x14ac:dyDescent="0.25">
      <c r="F229" t="s">
        <v>27</v>
      </c>
      <c r="G229" t="s">
        <v>17</v>
      </c>
      <c r="H229" t="s">
        <v>40</v>
      </c>
      <c r="I229" s="3">
        <v>1652</v>
      </c>
      <c r="J229" s="4">
        <v>102</v>
      </c>
    </row>
    <row r="230" spans="6:10" x14ac:dyDescent="0.25">
      <c r="F230" t="s">
        <v>25</v>
      </c>
      <c r="G230" t="s">
        <v>30</v>
      </c>
      <c r="H230" t="s">
        <v>19</v>
      </c>
      <c r="I230" s="3">
        <v>1652</v>
      </c>
      <c r="J230" s="4">
        <v>93</v>
      </c>
    </row>
    <row r="231" spans="6:10" x14ac:dyDescent="0.25">
      <c r="F231" t="s">
        <v>16</v>
      </c>
      <c r="G231" t="s">
        <v>17</v>
      </c>
      <c r="H231" t="s">
        <v>7</v>
      </c>
      <c r="I231" s="3">
        <v>1638</v>
      </c>
      <c r="J231" s="4">
        <v>63</v>
      </c>
    </row>
    <row r="232" spans="6:10" x14ac:dyDescent="0.25">
      <c r="F232" t="s">
        <v>5</v>
      </c>
      <c r="G232" t="s">
        <v>9</v>
      </c>
      <c r="H232" t="s">
        <v>38</v>
      </c>
      <c r="I232" s="3">
        <v>1638</v>
      </c>
      <c r="J232" s="4">
        <v>48</v>
      </c>
    </row>
    <row r="233" spans="6:10" x14ac:dyDescent="0.25">
      <c r="F233" t="s">
        <v>5</v>
      </c>
      <c r="G233" t="s">
        <v>6</v>
      </c>
      <c r="H233" t="s">
        <v>7</v>
      </c>
      <c r="I233" s="3">
        <v>1624</v>
      </c>
      <c r="J233" s="4">
        <v>114</v>
      </c>
    </row>
    <row r="234" spans="6:10" x14ac:dyDescent="0.25">
      <c r="F234" t="s">
        <v>5</v>
      </c>
      <c r="G234" t="s">
        <v>9</v>
      </c>
      <c r="H234" t="s">
        <v>32</v>
      </c>
      <c r="I234" s="3">
        <v>1617</v>
      </c>
      <c r="J234" s="4">
        <v>126</v>
      </c>
    </row>
    <row r="235" spans="6:10" x14ac:dyDescent="0.25">
      <c r="F235" t="s">
        <v>26</v>
      </c>
      <c r="G235" t="s">
        <v>9</v>
      </c>
      <c r="H235" t="s">
        <v>28</v>
      </c>
      <c r="I235" s="3">
        <v>1589</v>
      </c>
      <c r="J235" s="4">
        <v>303</v>
      </c>
    </row>
    <row r="236" spans="6:10" x14ac:dyDescent="0.25">
      <c r="F236" t="s">
        <v>26</v>
      </c>
      <c r="G236" t="s">
        <v>17</v>
      </c>
      <c r="H236" t="s">
        <v>22</v>
      </c>
      <c r="I236" s="3">
        <v>1568</v>
      </c>
      <c r="J236" s="4">
        <v>141</v>
      </c>
    </row>
    <row r="237" spans="6:10" x14ac:dyDescent="0.25">
      <c r="F237" t="s">
        <v>23</v>
      </c>
      <c r="G237" t="s">
        <v>30</v>
      </c>
      <c r="H237" t="s">
        <v>18</v>
      </c>
      <c r="I237" s="3">
        <v>1568</v>
      </c>
      <c r="J237" s="4">
        <v>96</v>
      </c>
    </row>
    <row r="238" spans="6:10" x14ac:dyDescent="0.25">
      <c r="F238" t="s">
        <v>8</v>
      </c>
      <c r="G238" t="s">
        <v>17</v>
      </c>
      <c r="H238" t="s">
        <v>42</v>
      </c>
      <c r="I238" s="3">
        <v>1561</v>
      </c>
      <c r="J238" s="4">
        <v>27</v>
      </c>
    </row>
    <row r="239" spans="6:10" x14ac:dyDescent="0.25">
      <c r="F239" t="s">
        <v>13</v>
      </c>
      <c r="G239" t="s">
        <v>6</v>
      </c>
      <c r="H239" t="s">
        <v>7</v>
      </c>
      <c r="I239" s="3">
        <v>1526</v>
      </c>
      <c r="J239" s="4">
        <v>240</v>
      </c>
    </row>
    <row r="240" spans="6:10" x14ac:dyDescent="0.25">
      <c r="F240" t="s">
        <v>25</v>
      </c>
      <c r="G240" t="s">
        <v>14</v>
      </c>
      <c r="H240" t="s">
        <v>7</v>
      </c>
      <c r="I240" s="3">
        <v>1526</v>
      </c>
      <c r="J240" s="4">
        <v>105</v>
      </c>
    </row>
    <row r="241" spans="6:10" x14ac:dyDescent="0.25">
      <c r="F241" t="s">
        <v>16</v>
      </c>
      <c r="G241" t="s">
        <v>6</v>
      </c>
      <c r="H241" t="s">
        <v>15</v>
      </c>
      <c r="I241" s="3">
        <v>1505</v>
      </c>
      <c r="J241" s="4">
        <v>102</v>
      </c>
    </row>
    <row r="242" spans="6:10" x14ac:dyDescent="0.25">
      <c r="F242" t="s">
        <v>13</v>
      </c>
      <c r="G242" t="s">
        <v>30</v>
      </c>
      <c r="H242" t="s">
        <v>28</v>
      </c>
      <c r="I242" s="3">
        <v>1463</v>
      </c>
      <c r="J242" s="4">
        <v>39</v>
      </c>
    </row>
    <row r="243" spans="6:10" x14ac:dyDescent="0.25">
      <c r="F243" t="s">
        <v>16</v>
      </c>
      <c r="G243" t="s">
        <v>30</v>
      </c>
      <c r="H243" t="s">
        <v>37</v>
      </c>
      <c r="I243" s="3">
        <v>1442</v>
      </c>
      <c r="J243" s="4">
        <v>15</v>
      </c>
    </row>
    <row r="244" spans="6:10" x14ac:dyDescent="0.25">
      <c r="F244" t="s">
        <v>35</v>
      </c>
      <c r="G244" t="s">
        <v>30</v>
      </c>
      <c r="H244" t="s">
        <v>18</v>
      </c>
      <c r="I244" s="3">
        <v>1428</v>
      </c>
      <c r="J244" s="4">
        <v>93</v>
      </c>
    </row>
    <row r="245" spans="6:10" x14ac:dyDescent="0.25">
      <c r="F245" t="s">
        <v>35</v>
      </c>
      <c r="G245" t="s">
        <v>14</v>
      </c>
      <c r="H245" t="s">
        <v>39</v>
      </c>
      <c r="I245" s="3">
        <v>1407</v>
      </c>
      <c r="J245" s="4">
        <v>72</v>
      </c>
    </row>
    <row r="246" spans="6:10" x14ac:dyDescent="0.25">
      <c r="F246" t="s">
        <v>16</v>
      </c>
      <c r="G246" t="s">
        <v>14</v>
      </c>
      <c r="H246" t="s">
        <v>32</v>
      </c>
      <c r="I246" s="3">
        <v>1400</v>
      </c>
      <c r="J246" s="4">
        <v>135</v>
      </c>
    </row>
    <row r="247" spans="6:10" x14ac:dyDescent="0.25">
      <c r="F247" t="s">
        <v>16</v>
      </c>
      <c r="G247" t="s">
        <v>9</v>
      </c>
      <c r="H247" t="s">
        <v>12</v>
      </c>
      <c r="I247" s="3">
        <v>1302</v>
      </c>
      <c r="J247" s="4">
        <v>402</v>
      </c>
    </row>
    <row r="248" spans="6:10" x14ac:dyDescent="0.25">
      <c r="F248" t="s">
        <v>23</v>
      </c>
      <c r="G248" t="s">
        <v>20</v>
      </c>
      <c r="H248" t="s">
        <v>24</v>
      </c>
      <c r="I248" s="3">
        <v>1281</v>
      </c>
      <c r="J248" s="4">
        <v>75</v>
      </c>
    </row>
    <row r="249" spans="6:10" x14ac:dyDescent="0.25">
      <c r="F249" t="s">
        <v>27</v>
      </c>
      <c r="G249" t="s">
        <v>14</v>
      </c>
      <c r="H249" t="s">
        <v>36</v>
      </c>
      <c r="I249" s="3">
        <v>1281</v>
      </c>
      <c r="J249" s="4">
        <v>18</v>
      </c>
    </row>
    <row r="250" spans="6:10" x14ac:dyDescent="0.25">
      <c r="F250" t="s">
        <v>13</v>
      </c>
      <c r="G250" t="s">
        <v>30</v>
      </c>
      <c r="H250" t="s">
        <v>29</v>
      </c>
      <c r="I250" s="3">
        <v>1274</v>
      </c>
      <c r="J250" s="4">
        <v>225</v>
      </c>
    </row>
    <row r="251" spans="6:10" x14ac:dyDescent="0.25">
      <c r="F251" t="s">
        <v>16</v>
      </c>
      <c r="G251" t="s">
        <v>20</v>
      </c>
      <c r="H251" t="s">
        <v>39</v>
      </c>
      <c r="I251" s="3">
        <v>1134</v>
      </c>
      <c r="J251" s="4">
        <v>282</v>
      </c>
    </row>
    <row r="252" spans="6:10" x14ac:dyDescent="0.25">
      <c r="F252" t="s">
        <v>11</v>
      </c>
      <c r="G252" t="s">
        <v>6</v>
      </c>
      <c r="H252" t="s">
        <v>32</v>
      </c>
      <c r="I252" s="3">
        <v>1085</v>
      </c>
      <c r="J252" s="4">
        <v>273</v>
      </c>
    </row>
    <row r="253" spans="6:10" x14ac:dyDescent="0.25">
      <c r="F253" t="s">
        <v>16</v>
      </c>
      <c r="G253" t="s">
        <v>9</v>
      </c>
      <c r="H253" t="s">
        <v>33</v>
      </c>
      <c r="I253" s="3">
        <v>1071</v>
      </c>
      <c r="J253" s="4">
        <v>270</v>
      </c>
    </row>
    <row r="254" spans="6:10" x14ac:dyDescent="0.25">
      <c r="F254" t="s">
        <v>26</v>
      </c>
      <c r="G254" t="s">
        <v>6</v>
      </c>
      <c r="H254" t="s">
        <v>24</v>
      </c>
      <c r="I254" s="3">
        <v>1057</v>
      </c>
      <c r="J254" s="4">
        <v>54</v>
      </c>
    </row>
    <row r="255" spans="6:10" x14ac:dyDescent="0.25">
      <c r="F255" t="s">
        <v>27</v>
      </c>
      <c r="G255" t="s">
        <v>14</v>
      </c>
      <c r="H255" t="s">
        <v>40</v>
      </c>
      <c r="I255" s="3">
        <v>973</v>
      </c>
      <c r="J255" s="4">
        <v>162</v>
      </c>
    </row>
    <row r="256" spans="6:10" x14ac:dyDescent="0.25">
      <c r="F256" t="s">
        <v>23</v>
      </c>
      <c r="G256" t="s">
        <v>17</v>
      </c>
      <c r="H256" t="s">
        <v>39</v>
      </c>
      <c r="I256" s="3">
        <v>966</v>
      </c>
      <c r="J256" s="4">
        <v>198</v>
      </c>
    </row>
    <row r="257" spans="6:10" x14ac:dyDescent="0.25">
      <c r="F257" t="s">
        <v>11</v>
      </c>
      <c r="G257" t="s">
        <v>9</v>
      </c>
      <c r="H257" t="s">
        <v>12</v>
      </c>
      <c r="I257" s="3">
        <v>959</v>
      </c>
      <c r="J257" s="4">
        <v>147</v>
      </c>
    </row>
    <row r="258" spans="6:10" x14ac:dyDescent="0.25">
      <c r="F258" t="s">
        <v>16</v>
      </c>
      <c r="G258" t="s">
        <v>20</v>
      </c>
      <c r="H258" t="s">
        <v>19</v>
      </c>
      <c r="I258" s="3">
        <v>959</v>
      </c>
      <c r="J258" s="4">
        <v>135</v>
      </c>
    </row>
    <row r="259" spans="6:10" x14ac:dyDescent="0.25">
      <c r="F259" t="s">
        <v>35</v>
      </c>
      <c r="G259" t="s">
        <v>14</v>
      </c>
      <c r="H259" t="s">
        <v>31</v>
      </c>
      <c r="I259" s="3">
        <v>945</v>
      </c>
      <c r="J259" s="4">
        <v>75</v>
      </c>
    </row>
    <row r="260" spans="6:10" x14ac:dyDescent="0.25">
      <c r="F260" t="s">
        <v>27</v>
      </c>
      <c r="G260" t="s">
        <v>6</v>
      </c>
      <c r="H260" t="s">
        <v>12</v>
      </c>
      <c r="I260" s="3">
        <v>938</v>
      </c>
      <c r="J260" s="4">
        <v>366</v>
      </c>
    </row>
    <row r="261" spans="6:10" x14ac:dyDescent="0.25">
      <c r="F261" t="s">
        <v>11</v>
      </c>
      <c r="G261" t="s">
        <v>30</v>
      </c>
      <c r="H261" t="s">
        <v>29</v>
      </c>
      <c r="I261" s="3">
        <v>938</v>
      </c>
      <c r="J261" s="4">
        <v>189</v>
      </c>
    </row>
    <row r="262" spans="6:10" x14ac:dyDescent="0.25">
      <c r="F262" t="s">
        <v>16</v>
      </c>
      <c r="G262" t="s">
        <v>20</v>
      </c>
      <c r="H262" t="s">
        <v>29</v>
      </c>
      <c r="I262" s="3">
        <v>938</v>
      </c>
      <c r="J262" s="4">
        <v>6</v>
      </c>
    </row>
    <row r="263" spans="6:10" x14ac:dyDescent="0.25">
      <c r="F263" t="s">
        <v>25</v>
      </c>
      <c r="G263" t="s">
        <v>30</v>
      </c>
      <c r="H263" t="s">
        <v>36</v>
      </c>
      <c r="I263" s="3">
        <v>861</v>
      </c>
      <c r="J263" s="4">
        <v>195</v>
      </c>
    </row>
    <row r="264" spans="6:10" x14ac:dyDescent="0.25">
      <c r="F264" t="s">
        <v>13</v>
      </c>
      <c r="G264" t="s">
        <v>14</v>
      </c>
      <c r="H264" t="s">
        <v>40</v>
      </c>
      <c r="I264" s="3">
        <v>854</v>
      </c>
      <c r="J264" s="4">
        <v>309</v>
      </c>
    </row>
    <row r="265" spans="6:10" x14ac:dyDescent="0.25">
      <c r="F265" t="s">
        <v>13</v>
      </c>
      <c r="G265" t="s">
        <v>9</v>
      </c>
      <c r="H265" t="s">
        <v>39</v>
      </c>
      <c r="I265" s="3">
        <v>847</v>
      </c>
      <c r="J265" s="4">
        <v>129</v>
      </c>
    </row>
    <row r="266" spans="6:10" x14ac:dyDescent="0.25">
      <c r="F266" t="s">
        <v>8</v>
      </c>
      <c r="G266" t="s">
        <v>20</v>
      </c>
      <c r="H266" t="s">
        <v>31</v>
      </c>
      <c r="I266" s="3">
        <v>819</v>
      </c>
      <c r="J266" s="4">
        <v>510</v>
      </c>
    </row>
    <row r="267" spans="6:10" x14ac:dyDescent="0.25">
      <c r="F267" t="s">
        <v>27</v>
      </c>
      <c r="G267" t="s">
        <v>9</v>
      </c>
      <c r="H267" t="s">
        <v>19</v>
      </c>
      <c r="I267" s="3">
        <v>819</v>
      </c>
      <c r="J267" s="4">
        <v>306</v>
      </c>
    </row>
    <row r="268" spans="6:10" x14ac:dyDescent="0.25">
      <c r="F268" t="s">
        <v>26</v>
      </c>
      <c r="G268" t="s">
        <v>14</v>
      </c>
      <c r="H268" t="s">
        <v>39</v>
      </c>
      <c r="I268" s="3">
        <v>798</v>
      </c>
      <c r="J268" s="4">
        <v>519</v>
      </c>
    </row>
    <row r="269" spans="6:10" x14ac:dyDescent="0.25">
      <c r="F269" t="s">
        <v>13</v>
      </c>
      <c r="G269" t="s">
        <v>6</v>
      </c>
      <c r="H269" t="s">
        <v>37</v>
      </c>
      <c r="I269" s="3">
        <v>714</v>
      </c>
      <c r="J269" s="4">
        <v>231</v>
      </c>
    </row>
    <row r="270" spans="6:10" x14ac:dyDescent="0.25">
      <c r="F270" t="s">
        <v>11</v>
      </c>
      <c r="G270" t="s">
        <v>30</v>
      </c>
      <c r="H270" t="s">
        <v>28</v>
      </c>
      <c r="I270" s="3">
        <v>707</v>
      </c>
      <c r="J270" s="4">
        <v>174</v>
      </c>
    </row>
    <row r="271" spans="6:10" x14ac:dyDescent="0.25">
      <c r="F271" t="s">
        <v>35</v>
      </c>
      <c r="G271" t="s">
        <v>30</v>
      </c>
      <c r="H271" t="s">
        <v>28</v>
      </c>
      <c r="I271" s="3">
        <v>700</v>
      </c>
      <c r="J271" s="4">
        <v>87</v>
      </c>
    </row>
    <row r="272" spans="6:10" x14ac:dyDescent="0.25">
      <c r="F272" t="s">
        <v>26</v>
      </c>
      <c r="G272" t="s">
        <v>17</v>
      </c>
      <c r="H272" t="s">
        <v>34</v>
      </c>
      <c r="I272" s="3">
        <v>630</v>
      </c>
      <c r="J272" s="4">
        <v>36</v>
      </c>
    </row>
    <row r="273" spans="6:10" x14ac:dyDescent="0.25">
      <c r="F273" t="s">
        <v>5</v>
      </c>
      <c r="G273" t="s">
        <v>20</v>
      </c>
      <c r="H273" t="s">
        <v>38</v>
      </c>
      <c r="I273" s="3">
        <v>623</v>
      </c>
      <c r="J273" s="4">
        <v>51</v>
      </c>
    </row>
    <row r="274" spans="6:10" x14ac:dyDescent="0.25">
      <c r="F274" t="s">
        <v>13</v>
      </c>
      <c r="G274" t="s">
        <v>9</v>
      </c>
      <c r="H274" t="s">
        <v>36</v>
      </c>
      <c r="I274" s="3">
        <v>609</v>
      </c>
      <c r="J274" s="4">
        <v>99</v>
      </c>
    </row>
    <row r="275" spans="6:10" x14ac:dyDescent="0.25">
      <c r="F275" t="s">
        <v>5</v>
      </c>
      <c r="G275" t="s">
        <v>20</v>
      </c>
      <c r="H275" t="s">
        <v>42</v>
      </c>
      <c r="I275" s="3">
        <v>609</v>
      </c>
      <c r="J275" s="4">
        <v>87</v>
      </c>
    </row>
    <row r="276" spans="6:10" x14ac:dyDescent="0.25">
      <c r="F276" t="s">
        <v>35</v>
      </c>
      <c r="G276" t="s">
        <v>9</v>
      </c>
      <c r="H276" t="s">
        <v>41</v>
      </c>
      <c r="I276" s="3">
        <v>567</v>
      </c>
      <c r="J276" s="4">
        <v>228</v>
      </c>
    </row>
    <row r="277" spans="6:10" x14ac:dyDescent="0.25">
      <c r="F277" t="s">
        <v>16</v>
      </c>
      <c r="G277" t="s">
        <v>6</v>
      </c>
      <c r="H277" t="s">
        <v>7</v>
      </c>
      <c r="I277" s="3">
        <v>560</v>
      </c>
      <c r="J277" s="4">
        <v>81</v>
      </c>
    </row>
    <row r="278" spans="6:10" x14ac:dyDescent="0.25">
      <c r="F278" t="s">
        <v>26</v>
      </c>
      <c r="G278" t="s">
        <v>9</v>
      </c>
      <c r="H278" t="s">
        <v>36</v>
      </c>
      <c r="I278" s="3">
        <v>553</v>
      </c>
      <c r="J278" s="4">
        <v>15</v>
      </c>
    </row>
    <row r="279" spans="6:10" x14ac:dyDescent="0.25">
      <c r="F279" t="s">
        <v>16</v>
      </c>
      <c r="G279" t="s">
        <v>30</v>
      </c>
      <c r="H279" t="s">
        <v>12</v>
      </c>
      <c r="I279" s="3">
        <v>525</v>
      </c>
      <c r="J279" s="4">
        <v>48</v>
      </c>
    </row>
    <row r="280" spans="6:10" x14ac:dyDescent="0.25">
      <c r="F280" t="s">
        <v>25</v>
      </c>
      <c r="G280" t="s">
        <v>6</v>
      </c>
      <c r="H280" t="s">
        <v>22</v>
      </c>
      <c r="I280" s="3">
        <v>518</v>
      </c>
      <c r="J280" s="4">
        <v>75</v>
      </c>
    </row>
    <row r="281" spans="6:10" x14ac:dyDescent="0.25">
      <c r="F281" t="s">
        <v>16</v>
      </c>
      <c r="G281" t="s">
        <v>14</v>
      </c>
      <c r="H281" t="s">
        <v>41</v>
      </c>
      <c r="I281" s="3">
        <v>497</v>
      </c>
      <c r="J281" s="4">
        <v>63</v>
      </c>
    </row>
    <row r="282" spans="6:10" x14ac:dyDescent="0.25">
      <c r="F282" t="s">
        <v>25</v>
      </c>
      <c r="G282" t="s">
        <v>9</v>
      </c>
      <c r="H282" t="s">
        <v>22</v>
      </c>
      <c r="I282" s="3">
        <v>490</v>
      </c>
      <c r="J282" s="4">
        <v>84</v>
      </c>
    </row>
    <row r="283" spans="6:10" x14ac:dyDescent="0.25">
      <c r="F283" t="s">
        <v>16</v>
      </c>
      <c r="G283" t="s">
        <v>20</v>
      </c>
      <c r="H283" t="s">
        <v>18</v>
      </c>
      <c r="I283" s="3">
        <v>469</v>
      </c>
      <c r="J283" s="4">
        <v>75</v>
      </c>
    </row>
    <row r="284" spans="6:10" x14ac:dyDescent="0.25">
      <c r="F284" t="s">
        <v>8</v>
      </c>
      <c r="G284" t="s">
        <v>6</v>
      </c>
      <c r="H284" t="s">
        <v>41</v>
      </c>
      <c r="I284" s="3">
        <v>434</v>
      </c>
      <c r="J284" s="4">
        <v>87</v>
      </c>
    </row>
    <row r="285" spans="6:10" x14ac:dyDescent="0.25">
      <c r="F285" t="s">
        <v>25</v>
      </c>
      <c r="G285" t="s">
        <v>17</v>
      </c>
      <c r="H285" t="s">
        <v>15</v>
      </c>
      <c r="I285" s="3">
        <v>385</v>
      </c>
      <c r="J285" s="4">
        <v>249</v>
      </c>
    </row>
    <row r="286" spans="6:10" x14ac:dyDescent="0.25">
      <c r="F286" t="s">
        <v>8</v>
      </c>
      <c r="G286" t="s">
        <v>9</v>
      </c>
      <c r="H286" t="s">
        <v>19</v>
      </c>
      <c r="I286" s="3">
        <v>357</v>
      </c>
      <c r="J286" s="4">
        <v>126</v>
      </c>
    </row>
    <row r="287" spans="6:10" x14ac:dyDescent="0.25">
      <c r="F287" t="s">
        <v>13</v>
      </c>
      <c r="G287" t="s">
        <v>30</v>
      </c>
      <c r="H287" t="s">
        <v>22</v>
      </c>
      <c r="I287" s="3">
        <v>336</v>
      </c>
      <c r="J287" s="4">
        <v>144</v>
      </c>
    </row>
    <row r="288" spans="6:10" x14ac:dyDescent="0.25">
      <c r="F288" t="s">
        <v>23</v>
      </c>
      <c r="G288" t="s">
        <v>14</v>
      </c>
      <c r="H288" t="s">
        <v>10</v>
      </c>
      <c r="I288" s="3">
        <v>280</v>
      </c>
      <c r="J288" s="4">
        <v>87</v>
      </c>
    </row>
    <row r="289" spans="6:10" x14ac:dyDescent="0.25">
      <c r="F289" t="s">
        <v>11</v>
      </c>
      <c r="G289" t="s">
        <v>6</v>
      </c>
      <c r="H289" t="s">
        <v>12</v>
      </c>
      <c r="I289" s="3">
        <v>259</v>
      </c>
      <c r="J289" s="4">
        <v>207</v>
      </c>
    </row>
    <row r="290" spans="6:10" x14ac:dyDescent="0.25">
      <c r="F290" t="s">
        <v>26</v>
      </c>
      <c r="G290" t="s">
        <v>30</v>
      </c>
      <c r="H290" t="s">
        <v>31</v>
      </c>
      <c r="I290" s="3">
        <v>252</v>
      </c>
      <c r="J290" s="4">
        <v>54</v>
      </c>
    </row>
    <row r="291" spans="6:10" x14ac:dyDescent="0.25">
      <c r="F291" t="s">
        <v>35</v>
      </c>
      <c r="G291" t="s">
        <v>6</v>
      </c>
      <c r="H291" t="s">
        <v>41</v>
      </c>
      <c r="I291" s="3">
        <v>245</v>
      </c>
      <c r="J291" s="4">
        <v>288</v>
      </c>
    </row>
    <row r="292" spans="6:10" x14ac:dyDescent="0.25">
      <c r="F292" t="s">
        <v>26</v>
      </c>
      <c r="G292" t="s">
        <v>6</v>
      </c>
      <c r="H292" t="s">
        <v>36</v>
      </c>
      <c r="I292" s="3">
        <v>238</v>
      </c>
      <c r="J292" s="4">
        <v>18</v>
      </c>
    </row>
    <row r="293" spans="6:10" x14ac:dyDescent="0.25">
      <c r="F293" t="s">
        <v>5</v>
      </c>
      <c r="G293" t="s">
        <v>14</v>
      </c>
      <c r="H293" t="s">
        <v>12</v>
      </c>
      <c r="I293" s="3">
        <v>217</v>
      </c>
      <c r="J293" s="4">
        <v>36</v>
      </c>
    </row>
    <row r="294" spans="6:10" x14ac:dyDescent="0.25">
      <c r="F294" t="s">
        <v>26</v>
      </c>
      <c r="G294" t="s">
        <v>14</v>
      </c>
      <c r="H294" t="s">
        <v>28</v>
      </c>
      <c r="I294" s="3">
        <v>189</v>
      </c>
      <c r="J294" s="4">
        <v>48</v>
      </c>
    </row>
    <row r="295" spans="6:10" x14ac:dyDescent="0.25">
      <c r="F295" t="s">
        <v>25</v>
      </c>
      <c r="G295" t="s">
        <v>6</v>
      </c>
      <c r="H295" t="s">
        <v>21</v>
      </c>
      <c r="I295" s="3">
        <v>182</v>
      </c>
      <c r="J295" s="4">
        <v>48</v>
      </c>
    </row>
    <row r="296" spans="6:10" x14ac:dyDescent="0.25">
      <c r="F296" t="s">
        <v>8</v>
      </c>
      <c r="G296" t="s">
        <v>20</v>
      </c>
      <c r="H296" t="s">
        <v>22</v>
      </c>
      <c r="I296" s="3">
        <v>168</v>
      </c>
      <c r="J296" s="4">
        <v>84</v>
      </c>
    </row>
    <row r="297" spans="6:10" x14ac:dyDescent="0.25">
      <c r="F297" t="s">
        <v>13</v>
      </c>
      <c r="G297" t="s">
        <v>20</v>
      </c>
      <c r="H297" t="s">
        <v>18</v>
      </c>
      <c r="I297" s="3">
        <v>154</v>
      </c>
      <c r="J297" s="4">
        <v>21</v>
      </c>
    </row>
    <row r="298" spans="6:10" x14ac:dyDescent="0.25">
      <c r="F298" t="s">
        <v>13</v>
      </c>
      <c r="G298" t="s">
        <v>14</v>
      </c>
      <c r="H298" t="s">
        <v>42</v>
      </c>
      <c r="I298" s="3">
        <v>98</v>
      </c>
      <c r="J298" s="4">
        <v>204</v>
      </c>
    </row>
    <row r="299" spans="6:10" x14ac:dyDescent="0.25">
      <c r="F299" t="s">
        <v>11</v>
      </c>
      <c r="G299" t="s">
        <v>9</v>
      </c>
      <c r="H299" t="s">
        <v>42</v>
      </c>
      <c r="I299" s="3">
        <v>98</v>
      </c>
      <c r="J299" s="4">
        <v>159</v>
      </c>
    </row>
    <row r="300" spans="6:10" x14ac:dyDescent="0.25">
      <c r="F300" t="s">
        <v>35</v>
      </c>
      <c r="G300" t="s">
        <v>20</v>
      </c>
      <c r="H300" t="s">
        <v>31</v>
      </c>
      <c r="I300" s="3">
        <v>63</v>
      </c>
      <c r="J300" s="4">
        <v>123</v>
      </c>
    </row>
    <row r="301" spans="6:10" x14ac:dyDescent="0.25">
      <c r="F301" t="s">
        <v>26</v>
      </c>
      <c r="G301" t="s">
        <v>20</v>
      </c>
      <c r="H301" t="s">
        <v>31</v>
      </c>
      <c r="I301" s="3">
        <v>56</v>
      </c>
      <c r="J301" s="4">
        <v>51</v>
      </c>
    </row>
    <row r="302" spans="6:10" x14ac:dyDescent="0.25">
      <c r="F302" t="s">
        <v>8</v>
      </c>
      <c r="G302" t="s">
        <v>6</v>
      </c>
      <c r="H302" t="s">
        <v>7</v>
      </c>
      <c r="I302" s="3">
        <v>42</v>
      </c>
      <c r="J302" s="4">
        <v>150</v>
      </c>
    </row>
    <row r="303" spans="6:10" x14ac:dyDescent="0.25">
      <c r="F303" t="s">
        <v>27</v>
      </c>
      <c r="G303" t="s">
        <v>17</v>
      </c>
      <c r="H303" t="s">
        <v>29</v>
      </c>
      <c r="I303" s="3">
        <v>21</v>
      </c>
      <c r="J303" s="4">
        <v>168</v>
      </c>
    </row>
    <row r="304" spans="6:10" x14ac:dyDescent="0.25">
      <c r="F304" t="s">
        <v>5</v>
      </c>
      <c r="G304" t="s">
        <v>17</v>
      </c>
      <c r="H304" t="s">
        <v>32</v>
      </c>
      <c r="I304" s="3">
        <v>0</v>
      </c>
      <c r="J304" s="4">
        <v>135</v>
      </c>
    </row>
  </sheetData>
  <conditionalFormatting sqref="I5:I304">
    <cfRule type="colorScale" priority="2">
      <colorScale>
        <cfvo type="min"/>
        <cfvo type="percentile" val="50"/>
        <cfvo type="max"/>
        <color rgb="FFF8696B"/>
        <color rgb="FFFFEB84"/>
        <color rgb="FF63BE7B"/>
      </colorScale>
    </cfRule>
  </conditionalFormatting>
  <conditionalFormatting sqref="J5:J304">
    <cfRule type="dataBar" priority="1">
      <dataBar>
        <cfvo type="min"/>
        <cfvo type="max"/>
        <color rgb="FF638EC6"/>
      </dataBar>
      <extLst>
        <ext xmlns:x14="http://schemas.microsoft.com/office/spreadsheetml/2009/9/main" uri="{B025F937-C7B1-47D3-B67F-A62EFF666E3E}">
          <x14:id>{40A187BE-ABAC-444E-AB2C-58766ED5FC29}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0A187BE-ABAC-444E-AB2C-58766ED5FC29}">
            <x14:dataBar minLength="0" maxLength="100" gradient="0">
              <x14:cfvo type="autoMin"/>
              <x14:cfvo type="autoMax"/>
              <x14:negativeFillColor rgb="FFFF0000"/>
              <x14:axisColor rgb="FF000000"/>
            </x14:dataBar>
          </x14:cfRule>
          <xm:sqref>J5:J304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tint="0.79998168889431442"/>
  </sheetPr>
  <dimension ref="A1:Z20"/>
  <sheetViews>
    <sheetView showGridLines="0" zoomScale="140" zoomScaleNormal="140" workbookViewId="0"/>
  </sheetViews>
  <sheetFormatPr defaultRowHeight="15" x14ac:dyDescent="0.25"/>
  <cols>
    <col min="1" max="1" width="1.7109375" customWidth="1"/>
    <col min="3" max="3" width="12.5703125" bestFit="1" customWidth="1"/>
    <col min="4" max="4" width="13.7109375" bestFit="1" customWidth="1"/>
    <col min="5" max="5" width="7.28515625" customWidth="1"/>
    <col min="6" max="6" width="13.28515625" bestFit="1" customWidth="1"/>
    <col min="8" max="9" width="13.28515625" bestFit="1" customWidth="1"/>
    <col min="12" max="12" width="12.5703125" bestFit="1" customWidth="1"/>
    <col min="13" max="13" width="10" bestFit="1" customWidth="1"/>
    <col min="14" max="14" width="6.5703125" bestFit="1" customWidth="1"/>
  </cols>
  <sheetData>
    <row r="1" spans="1:26" ht="52.5" customHeight="1" x14ac:dyDescent="0.25">
      <c r="A1" s="59"/>
      <c r="B1" s="60">
        <v>3</v>
      </c>
      <c r="C1" s="61" t="str">
        <f>Data!M14</f>
        <v>Sales by country (with formulas)</v>
      </c>
      <c r="D1" s="19"/>
      <c r="E1" s="19"/>
      <c r="F1" s="19"/>
      <c r="G1" s="19"/>
      <c r="H1" s="19"/>
      <c r="I1" s="19"/>
      <c r="J1" s="19"/>
      <c r="K1" s="19"/>
      <c r="L1" s="19"/>
      <c r="M1" s="19"/>
      <c r="N1" s="19"/>
      <c r="O1" s="19"/>
      <c r="P1" s="19"/>
      <c r="Q1" s="19"/>
      <c r="R1" s="19"/>
      <c r="S1" s="19"/>
      <c r="T1" s="19"/>
      <c r="U1" s="19"/>
      <c r="V1" s="19"/>
      <c r="W1" s="19"/>
      <c r="X1" s="19"/>
      <c r="Y1" s="19"/>
      <c r="Z1" s="19"/>
    </row>
    <row r="4" spans="1:26" x14ac:dyDescent="0.25">
      <c r="C4" s="12">
        <f>MAX(data[Helper])</f>
        <v>6</v>
      </c>
    </row>
    <row r="5" spans="1:26" x14ac:dyDescent="0.25">
      <c r="E5" s="13" t="s">
        <v>52</v>
      </c>
      <c r="F5" s="14" t="s">
        <v>3</v>
      </c>
      <c r="G5" s="14"/>
      <c r="H5" s="14" t="s">
        <v>4</v>
      </c>
    </row>
    <row r="6" spans="1:26" x14ac:dyDescent="0.25">
      <c r="E6" s="15" t="s">
        <v>30</v>
      </c>
      <c r="F6" s="16">
        <f>SUMIFS(data[Amount],data[Geography],E6)</f>
        <v>252469</v>
      </c>
      <c r="G6" s="16">
        <f>F6</f>
        <v>252469</v>
      </c>
      <c r="H6" s="17">
        <f>SUMIFS(data[Units],data[Geography],$E6)</f>
        <v>8760</v>
      </c>
      <c r="M6" s="8"/>
      <c r="N6" s="9"/>
    </row>
    <row r="7" spans="1:26" x14ac:dyDescent="0.25">
      <c r="E7" s="15" t="s">
        <v>14</v>
      </c>
      <c r="F7" s="16">
        <f>SUMIFS(data[Amount],data[Geography],E7)</f>
        <v>237944</v>
      </c>
      <c r="G7" s="16">
        <f t="shared" ref="G7:G11" si="0">F7</f>
        <v>237944</v>
      </c>
      <c r="H7" s="17">
        <f>SUMIFS(data[Units],data[Geography],$E7)</f>
        <v>7302</v>
      </c>
      <c r="M7" s="8"/>
      <c r="N7" s="9"/>
    </row>
    <row r="8" spans="1:26" x14ac:dyDescent="0.25">
      <c r="E8" s="15" t="s">
        <v>6</v>
      </c>
      <c r="F8" s="16">
        <f>SUMIFS(data[Amount],data[Geography],E8)</f>
        <v>218813</v>
      </c>
      <c r="G8" s="16">
        <f t="shared" si="0"/>
        <v>218813</v>
      </c>
      <c r="H8" s="17">
        <f>SUMIFS(data[Units],data[Geography],$E8)</f>
        <v>7431</v>
      </c>
      <c r="M8" s="8"/>
      <c r="N8" s="9"/>
    </row>
    <row r="9" spans="1:26" x14ac:dyDescent="0.25">
      <c r="E9" s="15" t="s">
        <v>9</v>
      </c>
      <c r="F9" s="16">
        <f>SUMIFS(data[Amount],data[Geography],E9)</f>
        <v>189434</v>
      </c>
      <c r="G9" s="16">
        <f t="shared" si="0"/>
        <v>189434</v>
      </c>
      <c r="H9" s="17">
        <f>SUMIFS(data[Units],data[Geography],$E9)</f>
        <v>10158</v>
      </c>
      <c r="M9" s="8"/>
      <c r="N9" s="9"/>
    </row>
    <row r="10" spans="1:26" x14ac:dyDescent="0.25">
      <c r="E10" s="15" t="s">
        <v>17</v>
      </c>
      <c r="F10" s="16">
        <f>SUMIFS(data[Amount],data[Geography],E10)</f>
        <v>173530</v>
      </c>
      <c r="G10" s="16">
        <f t="shared" si="0"/>
        <v>173530</v>
      </c>
      <c r="H10" s="17">
        <f>SUMIFS(data[Units],data[Geography],$E10)</f>
        <v>5745</v>
      </c>
      <c r="M10" s="8"/>
      <c r="N10" s="9"/>
    </row>
    <row r="11" spans="1:26" x14ac:dyDescent="0.25">
      <c r="E11" s="15" t="s">
        <v>20</v>
      </c>
      <c r="F11" s="16">
        <f>SUMIFS(data[Amount],data[Geography],E11)</f>
        <v>168679</v>
      </c>
      <c r="G11" s="16">
        <f t="shared" si="0"/>
        <v>168679</v>
      </c>
      <c r="H11" s="17">
        <f>SUMIFS(data[Units],data[Geography],$E11)</f>
        <v>6264</v>
      </c>
      <c r="M11" s="8"/>
      <c r="N11" s="9"/>
    </row>
    <row r="12" spans="1:26" x14ac:dyDescent="0.25">
      <c r="D12" s="7"/>
      <c r="E12" s="7"/>
      <c r="F12" s="9"/>
    </row>
    <row r="13" spans="1:26" x14ac:dyDescent="0.25">
      <c r="D13" s="7"/>
      <c r="E13" s="7"/>
      <c r="F13" s="9"/>
    </row>
    <row r="14" spans="1:26" x14ac:dyDescent="0.25">
      <c r="D14" s="7"/>
      <c r="E14" s="7"/>
      <c r="F14" s="9"/>
    </row>
    <row r="15" spans="1:26" x14ac:dyDescent="0.25">
      <c r="D15" s="8"/>
      <c r="E15" s="8"/>
      <c r="F15" s="9"/>
    </row>
    <row r="16" spans="1:26" x14ac:dyDescent="0.25">
      <c r="D16" s="8"/>
      <c r="E16" s="8"/>
      <c r="F16" s="9"/>
    </row>
    <row r="17" spans="4:6" x14ac:dyDescent="0.25">
      <c r="D17" s="8"/>
      <c r="E17" s="8"/>
      <c r="F17" s="9"/>
    </row>
    <row r="18" spans="4:6" x14ac:dyDescent="0.25">
      <c r="D18" s="8"/>
      <c r="E18" s="8"/>
      <c r="F18" s="9"/>
    </row>
    <row r="19" spans="4:6" x14ac:dyDescent="0.25">
      <c r="D19" s="8"/>
      <c r="E19" s="8"/>
      <c r="F19" s="9"/>
    </row>
    <row r="20" spans="4:6" x14ac:dyDescent="0.25">
      <c r="D20" s="8"/>
      <c r="E20" s="8"/>
      <c r="F20" s="9"/>
    </row>
  </sheetData>
  <conditionalFormatting sqref="G6:G11">
    <cfRule type="dataBar" priority="1">
      <dataBar showValue="0">
        <cfvo type="min"/>
        <cfvo type="max"/>
        <color theme="4" tint="0.39997558519241921"/>
      </dataBar>
      <extLst>
        <ext xmlns:x14="http://schemas.microsoft.com/office/spreadsheetml/2009/9/main" uri="{B025F937-C7B1-47D3-B67F-A62EFF666E3E}">
          <x14:id>{141C58A8-3F58-4EE7-B68E-FC235D63D0DD}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41C58A8-3F58-4EE7-B68E-FC235D63D0DD}">
            <x14:dataBar minLength="0" maxLength="100" gradient="0">
              <x14:cfvo type="autoMin"/>
              <x14:cfvo type="autoMax"/>
              <x14:negativeFillColor rgb="FFFF0000"/>
              <x14:axisColor rgb="FF000000"/>
            </x14:dataBar>
          </x14:cfRule>
          <xm:sqref>G6:G11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Z11"/>
  <sheetViews>
    <sheetView showGridLines="0" zoomScale="120" zoomScaleNormal="120" workbookViewId="0"/>
  </sheetViews>
  <sheetFormatPr defaultRowHeight="15" x14ac:dyDescent="0.25"/>
  <cols>
    <col min="1" max="1" width="1.7109375" customWidth="1"/>
    <col min="3" max="3" width="13.140625" bestFit="1" customWidth="1"/>
    <col min="4" max="4" width="13.140625" customWidth="1"/>
    <col min="5" max="5" width="14.85546875" bestFit="1" customWidth="1"/>
    <col min="6" max="6" width="15.85546875" customWidth="1"/>
    <col min="7" max="7" width="12.140625" bestFit="1" customWidth="1"/>
  </cols>
  <sheetData>
    <row r="1" spans="1:26" ht="52.5" customHeight="1" x14ac:dyDescent="0.25">
      <c r="A1" s="59"/>
      <c r="B1" s="60">
        <v>4</v>
      </c>
      <c r="C1" s="61" t="str">
        <f>Data!M15</f>
        <v>Sales by country (with pivots)</v>
      </c>
      <c r="D1" s="19"/>
      <c r="E1" s="19"/>
      <c r="F1" s="19"/>
      <c r="G1" s="19"/>
      <c r="H1" s="19"/>
      <c r="I1" s="19"/>
      <c r="J1" s="19"/>
      <c r="K1" s="19"/>
      <c r="L1" s="19"/>
      <c r="M1" s="19"/>
      <c r="N1" s="19"/>
      <c r="O1" s="19"/>
      <c r="P1" s="19"/>
      <c r="Q1" s="19"/>
      <c r="R1" s="19"/>
      <c r="S1" s="19"/>
      <c r="T1" s="19"/>
      <c r="U1" s="19"/>
      <c r="V1" s="19"/>
      <c r="W1" s="19"/>
      <c r="X1" s="19"/>
      <c r="Y1" s="19"/>
      <c r="Z1" s="19"/>
    </row>
    <row r="4" spans="1:26" x14ac:dyDescent="0.25">
      <c r="D4" s="22" t="s">
        <v>62</v>
      </c>
      <c r="E4" t="s">
        <v>64</v>
      </c>
      <c r="F4" s="24" t="s">
        <v>66</v>
      </c>
      <c r="G4" t="s">
        <v>65</v>
      </c>
    </row>
    <row r="5" spans="1:26" x14ac:dyDescent="0.25">
      <c r="D5" s="23" t="s">
        <v>30</v>
      </c>
      <c r="E5" s="45">
        <v>252469</v>
      </c>
      <c r="F5" s="6">
        <v>252469</v>
      </c>
      <c r="G5" s="4">
        <v>8760</v>
      </c>
    </row>
    <row r="6" spans="1:26" x14ac:dyDescent="0.25">
      <c r="D6" s="23" t="s">
        <v>14</v>
      </c>
      <c r="E6" s="45">
        <v>237944</v>
      </c>
      <c r="F6" s="6">
        <v>237944</v>
      </c>
      <c r="G6" s="4">
        <v>7302</v>
      </c>
    </row>
    <row r="7" spans="1:26" x14ac:dyDescent="0.25">
      <c r="D7" s="23" t="s">
        <v>6</v>
      </c>
      <c r="E7" s="45">
        <v>218813</v>
      </c>
      <c r="F7" s="6">
        <v>218813</v>
      </c>
      <c r="G7" s="4">
        <v>7431</v>
      </c>
    </row>
    <row r="8" spans="1:26" x14ac:dyDescent="0.25">
      <c r="D8" s="23" t="s">
        <v>9</v>
      </c>
      <c r="E8" s="45">
        <v>189434</v>
      </c>
      <c r="F8" s="6">
        <v>189434</v>
      </c>
      <c r="G8" s="4">
        <v>10158</v>
      </c>
    </row>
    <row r="9" spans="1:26" x14ac:dyDescent="0.25">
      <c r="D9" s="23" t="s">
        <v>17</v>
      </c>
      <c r="E9" s="45">
        <v>173530</v>
      </c>
      <c r="F9" s="6">
        <v>173530</v>
      </c>
      <c r="G9" s="4">
        <v>5745</v>
      </c>
    </row>
    <row r="10" spans="1:26" x14ac:dyDescent="0.25">
      <c r="D10" s="23" t="s">
        <v>20</v>
      </c>
      <c r="E10" s="45">
        <v>168679</v>
      </c>
      <c r="F10" s="6">
        <v>168679</v>
      </c>
      <c r="G10" s="4">
        <v>6264</v>
      </c>
    </row>
    <row r="11" spans="1:26" x14ac:dyDescent="0.25">
      <c r="D11" s="23" t="s">
        <v>63</v>
      </c>
      <c r="E11" s="6">
        <v>1240869</v>
      </c>
      <c r="F11" s="25">
        <v>1240869</v>
      </c>
      <c r="G11" s="6">
        <v>45660</v>
      </c>
    </row>
  </sheetData>
  <conditionalFormatting pivot="1" sqref="F5:F10">
    <cfRule type="dataBar" priority="1">
      <dataBar showValue="0">
        <cfvo type="min"/>
        <cfvo type="max"/>
        <color theme="5" tint="0.39997558519241921"/>
      </dataBar>
      <extLst>
        <ext xmlns:x14="http://schemas.microsoft.com/office/spreadsheetml/2009/9/main" uri="{B025F937-C7B1-47D3-B67F-A62EFF666E3E}">
          <x14:id>{D01959C1-EDA3-4A0A-BF6E-BB8F1699E6C6}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D01959C1-EDA3-4A0A-BF6E-BB8F1699E6C6}">
            <x14:dataBar minLength="0" maxLength="100" gradient="0">
              <x14:cfvo type="autoMin"/>
              <x14:cfvo type="autoMax"/>
              <x14:negativeFillColor rgb="FFFF0000"/>
              <x14:axisColor rgb="FF000000"/>
            </x14:dataBar>
          </x14:cfRule>
          <xm:sqref>F5:F10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10"/>
  <sheetViews>
    <sheetView showGridLines="0" zoomScale="150" zoomScaleNormal="150" workbookViewId="0">
      <selection activeCell="G7" sqref="G7"/>
    </sheetView>
  </sheetViews>
  <sheetFormatPr defaultRowHeight="15" x14ac:dyDescent="0.25"/>
  <cols>
    <col min="1" max="1" width="1.7109375" customWidth="1"/>
    <col min="3" max="3" width="19.42578125" customWidth="1"/>
    <col min="4" max="4" width="13.42578125" bestFit="1" customWidth="1"/>
    <col min="5" max="5" width="19.42578125" bestFit="1" customWidth="1"/>
    <col min="6" max="6" width="13.42578125" bestFit="1" customWidth="1"/>
  </cols>
  <sheetData>
    <row r="1" spans="1:26" ht="52.5" customHeight="1" x14ac:dyDescent="0.25">
      <c r="A1" s="59"/>
      <c r="B1" s="60">
        <v>5</v>
      </c>
      <c r="C1" s="61" t="str">
        <f>Data!M16</f>
        <v>Top 5 products by $ per unit</v>
      </c>
      <c r="D1" s="19"/>
      <c r="E1" s="19"/>
      <c r="F1" s="19"/>
      <c r="G1" s="19"/>
      <c r="H1" s="19"/>
      <c r="I1" s="19"/>
      <c r="J1" s="19"/>
      <c r="K1" s="19"/>
      <c r="L1" s="19"/>
      <c r="M1" s="19"/>
      <c r="N1" s="19"/>
      <c r="O1" s="19"/>
      <c r="P1" s="19"/>
      <c r="Q1" s="19"/>
      <c r="R1" s="19"/>
      <c r="S1" s="19"/>
      <c r="T1" s="19"/>
      <c r="U1" s="19"/>
      <c r="V1" s="19"/>
      <c r="W1" s="19"/>
      <c r="X1" s="19"/>
      <c r="Y1" s="19"/>
      <c r="Z1" s="19"/>
    </row>
    <row r="5" spans="1:26" x14ac:dyDescent="0.25">
      <c r="E5" s="22" t="s">
        <v>62</v>
      </c>
      <c r="F5" t="s">
        <v>67</v>
      </c>
    </row>
    <row r="6" spans="1:26" x14ac:dyDescent="0.25">
      <c r="E6" s="76" t="s">
        <v>37</v>
      </c>
      <c r="F6" s="77">
        <v>44.990867579908674</v>
      </c>
    </row>
    <row r="7" spans="1:26" x14ac:dyDescent="0.25">
      <c r="E7" s="78" t="s">
        <v>19</v>
      </c>
      <c r="F7" s="79">
        <v>37.303128371089535</v>
      </c>
    </row>
    <row r="8" spans="1:26" x14ac:dyDescent="0.25">
      <c r="E8" s="78" t="s">
        <v>38</v>
      </c>
      <c r="F8" s="79">
        <v>33.88697318007663</v>
      </c>
    </row>
    <row r="9" spans="1:26" x14ac:dyDescent="0.25">
      <c r="E9" s="78" t="s">
        <v>42</v>
      </c>
      <c r="F9" s="79">
        <v>32.807189542483663</v>
      </c>
    </row>
    <row r="10" spans="1:26" x14ac:dyDescent="0.25">
      <c r="E10" s="23" t="s">
        <v>22</v>
      </c>
      <c r="F10" s="27">
        <v>32.301656920077974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Z304"/>
  <sheetViews>
    <sheetView showGridLines="0" workbookViewId="0"/>
  </sheetViews>
  <sheetFormatPr defaultRowHeight="15" x14ac:dyDescent="0.25"/>
  <cols>
    <col min="1" max="1" width="1.7109375" customWidth="1"/>
    <col min="15" max="15" width="16" bestFit="1" customWidth="1"/>
    <col min="16" max="16" width="12.5703125" bestFit="1" customWidth="1"/>
    <col min="17" max="17" width="21.85546875" bestFit="1" customWidth="1"/>
    <col min="18" max="18" width="8.28515625" bestFit="1" customWidth="1"/>
    <col min="19" max="19" width="5.7109375" bestFit="1" customWidth="1"/>
  </cols>
  <sheetData>
    <row r="1" spans="1:26" ht="52.5" customHeight="1" x14ac:dyDescent="0.25">
      <c r="A1" s="59"/>
      <c r="B1" s="60">
        <v>6</v>
      </c>
      <c r="C1" s="61" t="str">
        <f>Data!M17</f>
        <v>Are there any anomalies in the data?</v>
      </c>
      <c r="D1" s="19"/>
      <c r="E1" s="19"/>
      <c r="F1" s="19"/>
      <c r="G1" s="19"/>
      <c r="H1" s="19"/>
      <c r="I1" s="19"/>
      <c r="J1" s="19"/>
      <c r="K1" s="19"/>
      <c r="L1" s="19"/>
      <c r="M1" s="19"/>
      <c r="N1" s="19"/>
      <c r="O1" s="19"/>
      <c r="P1" s="19"/>
      <c r="Q1" s="19"/>
      <c r="R1" s="19"/>
      <c r="S1" s="19"/>
      <c r="T1" s="19"/>
      <c r="U1" s="19"/>
      <c r="V1" s="19"/>
      <c r="W1" s="19"/>
      <c r="X1" s="19"/>
      <c r="Y1" s="19"/>
      <c r="Z1" s="19"/>
    </row>
    <row r="4" spans="1:26" x14ac:dyDescent="0.25">
      <c r="O4" s="28" t="s">
        <v>0</v>
      </c>
      <c r="P4" s="29" t="s">
        <v>1</v>
      </c>
      <c r="Q4" s="29" t="s">
        <v>2</v>
      </c>
      <c r="R4" s="30" t="s">
        <v>3</v>
      </c>
      <c r="S4" s="30" t="s">
        <v>4</v>
      </c>
    </row>
    <row r="5" spans="1:26" x14ac:dyDescent="0.25">
      <c r="O5" s="31" t="s">
        <v>5</v>
      </c>
      <c r="P5" s="32" t="s">
        <v>6</v>
      </c>
      <c r="Q5" s="32" t="s">
        <v>7</v>
      </c>
      <c r="R5" s="33">
        <v>1624</v>
      </c>
      <c r="S5" s="34">
        <v>114</v>
      </c>
    </row>
    <row r="6" spans="1:26" x14ac:dyDescent="0.25">
      <c r="O6" s="35" t="s">
        <v>8</v>
      </c>
      <c r="P6" s="36" t="s">
        <v>9</v>
      </c>
      <c r="Q6" s="36" t="s">
        <v>10</v>
      </c>
      <c r="R6" s="37">
        <v>6706</v>
      </c>
      <c r="S6" s="38">
        <v>459</v>
      </c>
    </row>
    <row r="7" spans="1:26" x14ac:dyDescent="0.25">
      <c r="O7" s="31" t="s">
        <v>11</v>
      </c>
      <c r="P7" s="32" t="s">
        <v>9</v>
      </c>
      <c r="Q7" s="32" t="s">
        <v>12</v>
      </c>
      <c r="R7" s="33">
        <v>959</v>
      </c>
      <c r="S7" s="34">
        <v>147</v>
      </c>
    </row>
    <row r="8" spans="1:26" x14ac:dyDescent="0.25">
      <c r="O8" s="35" t="s">
        <v>13</v>
      </c>
      <c r="P8" s="36" t="s">
        <v>14</v>
      </c>
      <c r="Q8" s="36" t="s">
        <v>15</v>
      </c>
      <c r="R8" s="37">
        <v>9632</v>
      </c>
      <c r="S8" s="38">
        <v>288</v>
      </c>
    </row>
    <row r="9" spans="1:26" x14ac:dyDescent="0.25">
      <c r="O9" s="31" t="s">
        <v>16</v>
      </c>
      <c r="P9" s="32" t="s">
        <v>17</v>
      </c>
      <c r="Q9" s="32" t="s">
        <v>18</v>
      </c>
      <c r="R9" s="33">
        <v>2100</v>
      </c>
      <c r="S9" s="34">
        <v>414</v>
      </c>
    </row>
    <row r="10" spans="1:26" x14ac:dyDescent="0.25">
      <c r="O10" s="35" t="s">
        <v>5</v>
      </c>
      <c r="P10" s="36" t="s">
        <v>9</v>
      </c>
      <c r="Q10" s="36" t="s">
        <v>19</v>
      </c>
      <c r="R10" s="37">
        <v>8869</v>
      </c>
      <c r="S10" s="38">
        <v>432</v>
      </c>
    </row>
    <row r="11" spans="1:26" x14ac:dyDescent="0.25">
      <c r="O11" s="31" t="s">
        <v>16</v>
      </c>
      <c r="P11" s="32" t="s">
        <v>20</v>
      </c>
      <c r="Q11" s="32" t="s">
        <v>21</v>
      </c>
      <c r="R11" s="33">
        <v>2681</v>
      </c>
      <c r="S11" s="34">
        <v>54</v>
      </c>
    </row>
    <row r="12" spans="1:26" x14ac:dyDescent="0.25">
      <c r="O12" s="35" t="s">
        <v>8</v>
      </c>
      <c r="P12" s="36" t="s">
        <v>9</v>
      </c>
      <c r="Q12" s="36" t="s">
        <v>22</v>
      </c>
      <c r="R12" s="37">
        <v>5012</v>
      </c>
      <c r="S12" s="38">
        <v>210</v>
      </c>
    </row>
    <row r="13" spans="1:26" x14ac:dyDescent="0.25">
      <c r="O13" s="31" t="s">
        <v>23</v>
      </c>
      <c r="P13" s="32" t="s">
        <v>20</v>
      </c>
      <c r="Q13" s="32" t="s">
        <v>24</v>
      </c>
      <c r="R13" s="33">
        <v>1281</v>
      </c>
      <c r="S13" s="34">
        <v>75</v>
      </c>
    </row>
    <row r="14" spans="1:26" x14ac:dyDescent="0.25">
      <c r="O14" s="35" t="s">
        <v>25</v>
      </c>
      <c r="P14" s="36" t="s">
        <v>6</v>
      </c>
      <c r="Q14" s="36" t="s">
        <v>24</v>
      </c>
      <c r="R14" s="37">
        <v>4991</v>
      </c>
      <c r="S14" s="38">
        <v>12</v>
      </c>
    </row>
    <row r="15" spans="1:26" x14ac:dyDescent="0.25">
      <c r="O15" s="31" t="s">
        <v>26</v>
      </c>
      <c r="P15" s="32" t="s">
        <v>17</v>
      </c>
      <c r="Q15" s="32" t="s">
        <v>18</v>
      </c>
      <c r="R15" s="33">
        <v>1785</v>
      </c>
      <c r="S15" s="34">
        <v>462</v>
      </c>
    </row>
    <row r="16" spans="1:26" x14ac:dyDescent="0.25">
      <c r="O16" s="35" t="s">
        <v>27</v>
      </c>
      <c r="P16" s="36" t="s">
        <v>6</v>
      </c>
      <c r="Q16" s="36" t="s">
        <v>28</v>
      </c>
      <c r="R16" s="37">
        <v>3983</v>
      </c>
      <c r="S16" s="38">
        <v>144</v>
      </c>
    </row>
    <row r="17" spans="15:19" x14ac:dyDescent="0.25">
      <c r="O17" s="31" t="s">
        <v>11</v>
      </c>
      <c r="P17" s="32" t="s">
        <v>20</v>
      </c>
      <c r="Q17" s="32" t="s">
        <v>29</v>
      </c>
      <c r="R17" s="33">
        <v>2646</v>
      </c>
      <c r="S17" s="34">
        <v>120</v>
      </c>
    </row>
    <row r="18" spans="15:19" x14ac:dyDescent="0.25">
      <c r="O18" s="35" t="s">
        <v>26</v>
      </c>
      <c r="P18" s="36" t="s">
        <v>30</v>
      </c>
      <c r="Q18" s="36" t="s">
        <v>31</v>
      </c>
      <c r="R18" s="37">
        <v>252</v>
      </c>
      <c r="S18" s="38">
        <v>54</v>
      </c>
    </row>
    <row r="19" spans="15:19" x14ac:dyDescent="0.25">
      <c r="O19" s="31" t="s">
        <v>27</v>
      </c>
      <c r="P19" s="32" t="s">
        <v>9</v>
      </c>
      <c r="Q19" s="32" t="s">
        <v>18</v>
      </c>
      <c r="R19" s="33">
        <v>2464</v>
      </c>
      <c r="S19" s="34">
        <v>234</v>
      </c>
    </row>
    <row r="20" spans="15:19" x14ac:dyDescent="0.25">
      <c r="O20" s="35" t="s">
        <v>27</v>
      </c>
      <c r="P20" s="36" t="s">
        <v>9</v>
      </c>
      <c r="Q20" s="36" t="s">
        <v>32</v>
      </c>
      <c r="R20" s="37">
        <v>2114</v>
      </c>
      <c r="S20" s="38">
        <v>66</v>
      </c>
    </row>
    <row r="21" spans="15:19" x14ac:dyDescent="0.25">
      <c r="O21" s="31" t="s">
        <v>16</v>
      </c>
      <c r="P21" s="32" t="s">
        <v>6</v>
      </c>
      <c r="Q21" s="32" t="s">
        <v>21</v>
      </c>
      <c r="R21" s="33">
        <v>7693</v>
      </c>
      <c r="S21" s="34">
        <v>87</v>
      </c>
    </row>
    <row r="22" spans="15:19" x14ac:dyDescent="0.25">
      <c r="O22" s="35" t="s">
        <v>25</v>
      </c>
      <c r="P22" s="36" t="s">
        <v>30</v>
      </c>
      <c r="Q22" s="36" t="s">
        <v>33</v>
      </c>
      <c r="R22" s="37">
        <v>15610</v>
      </c>
      <c r="S22" s="38">
        <v>339</v>
      </c>
    </row>
    <row r="23" spans="15:19" x14ac:dyDescent="0.25">
      <c r="O23" s="31" t="s">
        <v>13</v>
      </c>
      <c r="P23" s="32" t="s">
        <v>30</v>
      </c>
      <c r="Q23" s="32" t="s">
        <v>22</v>
      </c>
      <c r="R23" s="33">
        <v>336</v>
      </c>
      <c r="S23" s="34">
        <v>144</v>
      </c>
    </row>
    <row r="24" spans="15:19" x14ac:dyDescent="0.25">
      <c r="O24" s="35" t="s">
        <v>26</v>
      </c>
      <c r="P24" s="36" t="s">
        <v>17</v>
      </c>
      <c r="Q24" s="36" t="s">
        <v>33</v>
      </c>
      <c r="R24" s="37">
        <v>9443</v>
      </c>
      <c r="S24" s="38">
        <v>162</v>
      </c>
    </row>
    <row r="25" spans="15:19" x14ac:dyDescent="0.25">
      <c r="O25" s="31" t="s">
        <v>11</v>
      </c>
      <c r="P25" s="32" t="s">
        <v>30</v>
      </c>
      <c r="Q25" s="32" t="s">
        <v>34</v>
      </c>
      <c r="R25" s="33">
        <v>8155</v>
      </c>
      <c r="S25" s="34">
        <v>90</v>
      </c>
    </row>
    <row r="26" spans="15:19" x14ac:dyDescent="0.25">
      <c r="O26" s="35" t="s">
        <v>8</v>
      </c>
      <c r="P26" s="36" t="s">
        <v>20</v>
      </c>
      <c r="Q26" s="36" t="s">
        <v>34</v>
      </c>
      <c r="R26" s="37">
        <v>1701</v>
      </c>
      <c r="S26" s="38">
        <v>234</v>
      </c>
    </row>
    <row r="27" spans="15:19" x14ac:dyDescent="0.25">
      <c r="O27" s="31" t="s">
        <v>35</v>
      </c>
      <c r="P27" s="32" t="s">
        <v>20</v>
      </c>
      <c r="Q27" s="32" t="s">
        <v>22</v>
      </c>
      <c r="R27" s="33">
        <v>2205</v>
      </c>
      <c r="S27" s="34">
        <v>141</v>
      </c>
    </row>
    <row r="28" spans="15:19" x14ac:dyDescent="0.25">
      <c r="O28" s="35" t="s">
        <v>8</v>
      </c>
      <c r="P28" s="36" t="s">
        <v>6</v>
      </c>
      <c r="Q28" s="36" t="s">
        <v>36</v>
      </c>
      <c r="R28" s="37">
        <v>1771</v>
      </c>
      <c r="S28" s="38">
        <v>204</v>
      </c>
    </row>
    <row r="29" spans="15:19" x14ac:dyDescent="0.25">
      <c r="O29" s="31" t="s">
        <v>13</v>
      </c>
      <c r="P29" s="32" t="s">
        <v>9</v>
      </c>
      <c r="Q29" s="32" t="s">
        <v>37</v>
      </c>
      <c r="R29" s="33">
        <v>2114</v>
      </c>
      <c r="S29" s="34">
        <v>186</v>
      </c>
    </row>
    <row r="30" spans="15:19" x14ac:dyDescent="0.25">
      <c r="O30" s="35" t="s">
        <v>13</v>
      </c>
      <c r="P30" s="36" t="s">
        <v>14</v>
      </c>
      <c r="Q30" s="36" t="s">
        <v>31</v>
      </c>
      <c r="R30" s="37">
        <v>10311</v>
      </c>
      <c r="S30" s="38">
        <v>231</v>
      </c>
    </row>
    <row r="31" spans="15:19" x14ac:dyDescent="0.25">
      <c r="O31" s="31" t="s">
        <v>27</v>
      </c>
      <c r="P31" s="32" t="s">
        <v>17</v>
      </c>
      <c r="Q31" s="32" t="s">
        <v>29</v>
      </c>
      <c r="R31" s="33">
        <v>21</v>
      </c>
      <c r="S31" s="34">
        <v>168</v>
      </c>
    </row>
    <row r="32" spans="15:19" x14ac:dyDescent="0.25">
      <c r="O32" s="35" t="s">
        <v>35</v>
      </c>
      <c r="P32" s="36" t="s">
        <v>9</v>
      </c>
      <c r="Q32" s="36" t="s">
        <v>33</v>
      </c>
      <c r="R32" s="37">
        <v>1974</v>
      </c>
      <c r="S32" s="38">
        <v>195</v>
      </c>
    </row>
    <row r="33" spans="15:19" x14ac:dyDescent="0.25">
      <c r="O33" s="31" t="s">
        <v>25</v>
      </c>
      <c r="P33" s="32" t="s">
        <v>14</v>
      </c>
      <c r="Q33" s="32" t="s">
        <v>34</v>
      </c>
      <c r="R33" s="33">
        <v>6314</v>
      </c>
      <c r="S33" s="34">
        <v>15</v>
      </c>
    </row>
    <row r="34" spans="15:19" x14ac:dyDescent="0.25">
      <c r="O34" s="35" t="s">
        <v>35</v>
      </c>
      <c r="P34" s="36" t="s">
        <v>6</v>
      </c>
      <c r="Q34" s="36" t="s">
        <v>34</v>
      </c>
      <c r="R34" s="37">
        <v>4683</v>
      </c>
      <c r="S34" s="38">
        <v>30</v>
      </c>
    </row>
    <row r="35" spans="15:19" x14ac:dyDescent="0.25">
      <c r="O35" s="31" t="s">
        <v>13</v>
      </c>
      <c r="P35" s="32" t="s">
        <v>6</v>
      </c>
      <c r="Q35" s="32" t="s">
        <v>38</v>
      </c>
      <c r="R35" s="33">
        <v>6398</v>
      </c>
      <c r="S35" s="34">
        <v>102</v>
      </c>
    </row>
    <row r="36" spans="15:19" x14ac:dyDescent="0.25">
      <c r="O36" s="35" t="s">
        <v>26</v>
      </c>
      <c r="P36" s="36" t="s">
        <v>9</v>
      </c>
      <c r="Q36" s="36" t="s">
        <v>36</v>
      </c>
      <c r="R36" s="37">
        <v>553</v>
      </c>
      <c r="S36" s="38">
        <v>15</v>
      </c>
    </row>
    <row r="37" spans="15:19" x14ac:dyDescent="0.25">
      <c r="O37" s="31" t="s">
        <v>8</v>
      </c>
      <c r="P37" s="32" t="s">
        <v>17</v>
      </c>
      <c r="Q37" s="32" t="s">
        <v>7</v>
      </c>
      <c r="R37" s="33">
        <v>7021</v>
      </c>
      <c r="S37" s="34">
        <v>183</v>
      </c>
    </row>
    <row r="38" spans="15:19" x14ac:dyDescent="0.25">
      <c r="O38" s="35" t="s">
        <v>5</v>
      </c>
      <c r="P38" s="36" t="s">
        <v>17</v>
      </c>
      <c r="Q38" s="36" t="s">
        <v>22</v>
      </c>
      <c r="R38" s="37">
        <v>5817</v>
      </c>
      <c r="S38" s="38">
        <v>12</v>
      </c>
    </row>
    <row r="39" spans="15:19" x14ac:dyDescent="0.25">
      <c r="O39" s="31" t="s">
        <v>13</v>
      </c>
      <c r="P39" s="32" t="s">
        <v>17</v>
      </c>
      <c r="Q39" s="32" t="s">
        <v>24</v>
      </c>
      <c r="R39" s="33">
        <v>3976</v>
      </c>
      <c r="S39" s="34">
        <v>72</v>
      </c>
    </row>
    <row r="40" spans="15:19" x14ac:dyDescent="0.25">
      <c r="O40" s="35" t="s">
        <v>16</v>
      </c>
      <c r="P40" s="36" t="s">
        <v>20</v>
      </c>
      <c r="Q40" s="36" t="s">
        <v>39</v>
      </c>
      <c r="R40" s="37">
        <v>1134</v>
      </c>
      <c r="S40" s="38">
        <v>282</v>
      </c>
    </row>
    <row r="41" spans="15:19" x14ac:dyDescent="0.25">
      <c r="O41" s="31" t="s">
        <v>26</v>
      </c>
      <c r="P41" s="32" t="s">
        <v>17</v>
      </c>
      <c r="Q41" s="32" t="s">
        <v>40</v>
      </c>
      <c r="R41" s="33">
        <v>6027</v>
      </c>
      <c r="S41" s="34">
        <v>144</v>
      </c>
    </row>
    <row r="42" spans="15:19" x14ac:dyDescent="0.25">
      <c r="O42" s="35" t="s">
        <v>16</v>
      </c>
      <c r="P42" s="36" t="s">
        <v>6</v>
      </c>
      <c r="Q42" s="36" t="s">
        <v>29</v>
      </c>
      <c r="R42" s="37">
        <v>1904</v>
      </c>
      <c r="S42" s="38">
        <v>405</v>
      </c>
    </row>
    <row r="43" spans="15:19" x14ac:dyDescent="0.25">
      <c r="O43" s="31" t="s">
        <v>23</v>
      </c>
      <c r="P43" s="32" t="s">
        <v>30</v>
      </c>
      <c r="Q43" s="32" t="s">
        <v>10</v>
      </c>
      <c r="R43" s="33">
        <v>3262</v>
      </c>
      <c r="S43" s="34">
        <v>75</v>
      </c>
    </row>
    <row r="44" spans="15:19" x14ac:dyDescent="0.25">
      <c r="O44" s="35" t="s">
        <v>5</v>
      </c>
      <c r="P44" s="36" t="s">
        <v>30</v>
      </c>
      <c r="Q44" s="36" t="s">
        <v>39</v>
      </c>
      <c r="R44" s="37">
        <v>2289</v>
      </c>
      <c r="S44" s="38">
        <v>135</v>
      </c>
    </row>
    <row r="45" spans="15:19" x14ac:dyDescent="0.25">
      <c r="O45" s="31" t="s">
        <v>25</v>
      </c>
      <c r="P45" s="32" t="s">
        <v>30</v>
      </c>
      <c r="Q45" s="32" t="s">
        <v>39</v>
      </c>
      <c r="R45" s="33">
        <v>6986</v>
      </c>
      <c r="S45" s="34">
        <v>21</v>
      </c>
    </row>
    <row r="46" spans="15:19" x14ac:dyDescent="0.25">
      <c r="O46" s="35" t="s">
        <v>26</v>
      </c>
      <c r="P46" s="36" t="s">
        <v>20</v>
      </c>
      <c r="Q46" s="36" t="s">
        <v>34</v>
      </c>
      <c r="R46" s="37">
        <v>4417</v>
      </c>
      <c r="S46" s="38">
        <v>153</v>
      </c>
    </row>
    <row r="47" spans="15:19" x14ac:dyDescent="0.25">
      <c r="O47" s="31" t="s">
        <v>16</v>
      </c>
      <c r="P47" s="32" t="s">
        <v>30</v>
      </c>
      <c r="Q47" s="32" t="s">
        <v>37</v>
      </c>
      <c r="R47" s="33">
        <v>1442</v>
      </c>
      <c r="S47" s="34">
        <v>15</v>
      </c>
    </row>
    <row r="48" spans="15:19" x14ac:dyDescent="0.25">
      <c r="O48" s="35" t="s">
        <v>27</v>
      </c>
      <c r="P48" s="36" t="s">
        <v>9</v>
      </c>
      <c r="Q48" s="36" t="s">
        <v>24</v>
      </c>
      <c r="R48" s="37">
        <v>2415</v>
      </c>
      <c r="S48" s="38">
        <v>255</v>
      </c>
    </row>
    <row r="49" spans="15:19" x14ac:dyDescent="0.25">
      <c r="O49" s="31" t="s">
        <v>26</v>
      </c>
      <c r="P49" s="32" t="s">
        <v>6</v>
      </c>
      <c r="Q49" s="32" t="s">
        <v>36</v>
      </c>
      <c r="R49" s="33">
        <v>238</v>
      </c>
      <c r="S49" s="34">
        <v>18</v>
      </c>
    </row>
    <row r="50" spans="15:19" x14ac:dyDescent="0.25">
      <c r="O50" s="35" t="s">
        <v>16</v>
      </c>
      <c r="P50" s="36" t="s">
        <v>6</v>
      </c>
      <c r="Q50" s="36" t="s">
        <v>34</v>
      </c>
      <c r="R50" s="37">
        <v>4949</v>
      </c>
      <c r="S50" s="38">
        <v>189</v>
      </c>
    </row>
    <row r="51" spans="15:19" x14ac:dyDescent="0.25">
      <c r="O51" s="31" t="s">
        <v>25</v>
      </c>
      <c r="P51" s="32" t="s">
        <v>20</v>
      </c>
      <c r="Q51" s="32" t="s">
        <v>10</v>
      </c>
      <c r="R51" s="33">
        <v>5075</v>
      </c>
      <c r="S51" s="34">
        <v>21</v>
      </c>
    </row>
    <row r="52" spans="15:19" x14ac:dyDescent="0.25">
      <c r="O52" s="35" t="s">
        <v>27</v>
      </c>
      <c r="P52" s="36" t="s">
        <v>14</v>
      </c>
      <c r="Q52" s="36" t="s">
        <v>29</v>
      </c>
      <c r="R52" s="37">
        <v>9198</v>
      </c>
      <c r="S52" s="38">
        <v>36</v>
      </c>
    </row>
    <row r="53" spans="15:19" x14ac:dyDescent="0.25">
      <c r="O53" s="31" t="s">
        <v>16</v>
      </c>
      <c r="P53" s="32" t="s">
        <v>30</v>
      </c>
      <c r="Q53" s="32" t="s">
        <v>32</v>
      </c>
      <c r="R53" s="33">
        <v>3339</v>
      </c>
      <c r="S53" s="34">
        <v>75</v>
      </c>
    </row>
    <row r="54" spans="15:19" x14ac:dyDescent="0.25">
      <c r="O54" s="35" t="s">
        <v>5</v>
      </c>
      <c r="P54" s="36" t="s">
        <v>30</v>
      </c>
      <c r="Q54" s="36" t="s">
        <v>28</v>
      </c>
      <c r="R54" s="37">
        <v>5019</v>
      </c>
      <c r="S54" s="38">
        <v>156</v>
      </c>
    </row>
    <row r="55" spans="15:19" x14ac:dyDescent="0.25">
      <c r="O55" s="31" t="s">
        <v>25</v>
      </c>
      <c r="P55" s="32" t="s">
        <v>14</v>
      </c>
      <c r="Q55" s="32" t="s">
        <v>29</v>
      </c>
      <c r="R55" s="33">
        <v>16184</v>
      </c>
      <c r="S55" s="34">
        <v>39</v>
      </c>
    </row>
    <row r="56" spans="15:19" x14ac:dyDescent="0.25">
      <c r="O56" s="35" t="s">
        <v>16</v>
      </c>
      <c r="P56" s="36" t="s">
        <v>14</v>
      </c>
      <c r="Q56" s="36" t="s">
        <v>41</v>
      </c>
      <c r="R56" s="37">
        <v>497</v>
      </c>
      <c r="S56" s="38">
        <v>63</v>
      </c>
    </row>
    <row r="57" spans="15:19" x14ac:dyDescent="0.25">
      <c r="O57" s="31" t="s">
        <v>26</v>
      </c>
      <c r="P57" s="32" t="s">
        <v>14</v>
      </c>
      <c r="Q57" s="32" t="s">
        <v>32</v>
      </c>
      <c r="R57" s="33">
        <v>8211</v>
      </c>
      <c r="S57" s="34">
        <v>75</v>
      </c>
    </row>
    <row r="58" spans="15:19" x14ac:dyDescent="0.25">
      <c r="O58" s="35" t="s">
        <v>26</v>
      </c>
      <c r="P58" s="36" t="s">
        <v>20</v>
      </c>
      <c r="Q58" s="36" t="s">
        <v>40</v>
      </c>
      <c r="R58" s="37">
        <v>6580</v>
      </c>
      <c r="S58" s="38">
        <v>183</v>
      </c>
    </row>
    <row r="59" spans="15:19" x14ac:dyDescent="0.25">
      <c r="O59" s="31" t="s">
        <v>13</v>
      </c>
      <c r="P59" s="32" t="s">
        <v>9</v>
      </c>
      <c r="Q59" s="32" t="s">
        <v>31</v>
      </c>
      <c r="R59" s="33">
        <v>4760</v>
      </c>
      <c r="S59" s="34">
        <v>69</v>
      </c>
    </row>
    <row r="60" spans="15:19" x14ac:dyDescent="0.25">
      <c r="O60" s="35" t="s">
        <v>5</v>
      </c>
      <c r="P60" s="36" t="s">
        <v>14</v>
      </c>
      <c r="Q60" s="36" t="s">
        <v>18</v>
      </c>
      <c r="R60" s="37">
        <v>5439</v>
      </c>
      <c r="S60" s="38">
        <v>30</v>
      </c>
    </row>
    <row r="61" spans="15:19" x14ac:dyDescent="0.25">
      <c r="O61" s="31" t="s">
        <v>13</v>
      </c>
      <c r="P61" s="32" t="s">
        <v>30</v>
      </c>
      <c r="Q61" s="32" t="s">
        <v>28</v>
      </c>
      <c r="R61" s="33">
        <v>1463</v>
      </c>
      <c r="S61" s="34">
        <v>39</v>
      </c>
    </row>
    <row r="62" spans="15:19" x14ac:dyDescent="0.25">
      <c r="O62" s="35" t="s">
        <v>27</v>
      </c>
      <c r="P62" s="36" t="s">
        <v>30</v>
      </c>
      <c r="Q62" s="36" t="s">
        <v>10</v>
      </c>
      <c r="R62" s="37">
        <v>7777</v>
      </c>
      <c r="S62" s="38">
        <v>504</v>
      </c>
    </row>
    <row r="63" spans="15:19" x14ac:dyDescent="0.25">
      <c r="O63" s="31" t="s">
        <v>11</v>
      </c>
      <c r="P63" s="32" t="s">
        <v>6</v>
      </c>
      <c r="Q63" s="32" t="s">
        <v>32</v>
      </c>
      <c r="R63" s="33">
        <v>1085</v>
      </c>
      <c r="S63" s="34">
        <v>273</v>
      </c>
    </row>
    <row r="64" spans="15:19" x14ac:dyDescent="0.25">
      <c r="O64" s="35" t="s">
        <v>25</v>
      </c>
      <c r="P64" s="36" t="s">
        <v>6</v>
      </c>
      <c r="Q64" s="36" t="s">
        <v>21</v>
      </c>
      <c r="R64" s="37">
        <v>182</v>
      </c>
      <c r="S64" s="38">
        <v>48</v>
      </c>
    </row>
    <row r="65" spans="15:19" x14ac:dyDescent="0.25">
      <c r="O65" s="31" t="s">
        <v>16</v>
      </c>
      <c r="P65" s="32" t="s">
        <v>30</v>
      </c>
      <c r="Q65" s="32" t="s">
        <v>39</v>
      </c>
      <c r="R65" s="33">
        <v>4242</v>
      </c>
      <c r="S65" s="34">
        <v>207</v>
      </c>
    </row>
    <row r="66" spans="15:19" x14ac:dyDescent="0.25">
      <c r="O66" s="35" t="s">
        <v>16</v>
      </c>
      <c r="P66" s="36" t="s">
        <v>14</v>
      </c>
      <c r="Q66" s="36" t="s">
        <v>10</v>
      </c>
      <c r="R66" s="37">
        <v>6118</v>
      </c>
      <c r="S66" s="38">
        <v>9</v>
      </c>
    </row>
    <row r="67" spans="15:19" x14ac:dyDescent="0.25">
      <c r="O67" s="31" t="s">
        <v>35</v>
      </c>
      <c r="P67" s="32" t="s">
        <v>14</v>
      </c>
      <c r="Q67" s="32" t="s">
        <v>34</v>
      </c>
      <c r="R67" s="33">
        <v>2317</v>
      </c>
      <c r="S67" s="34">
        <v>261</v>
      </c>
    </row>
    <row r="68" spans="15:19" x14ac:dyDescent="0.25">
      <c r="O68" s="35" t="s">
        <v>16</v>
      </c>
      <c r="P68" s="36" t="s">
        <v>20</v>
      </c>
      <c r="Q68" s="36" t="s">
        <v>29</v>
      </c>
      <c r="R68" s="37">
        <v>938</v>
      </c>
      <c r="S68" s="38">
        <v>6</v>
      </c>
    </row>
    <row r="69" spans="15:19" x14ac:dyDescent="0.25">
      <c r="O69" s="31" t="s">
        <v>8</v>
      </c>
      <c r="P69" s="32" t="s">
        <v>6</v>
      </c>
      <c r="Q69" s="32" t="s">
        <v>37</v>
      </c>
      <c r="R69" s="33">
        <v>9709</v>
      </c>
      <c r="S69" s="34">
        <v>30</v>
      </c>
    </row>
    <row r="70" spans="15:19" x14ac:dyDescent="0.25">
      <c r="O70" s="35" t="s">
        <v>23</v>
      </c>
      <c r="P70" s="36" t="s">
        <v>30</v>
      </c>
      <c r="Q70" s="36" t="s">
        <v>33</v>
      </c>
      <c r="R70" s="37">
        <v>2205</v>
      </c>
      <c r="S70" s="38">
        <v>138</v>
      </c>
    </row>
    <row r="71" spans="15:19" x14ac:dyDescent="0.25">
      <c r="O71" s="31" t="s">
        <v>23</v>
      </c>
      <c r="P71" s="32" t="s">
        <v>6</v>
      </c>
      <c r="Q71" s="32" t="s">
        <v>28</v>
      </c>
      <c r="R71" s="33">
        <v>4487</v>
      </c>
      <c r="S71" s="34">
        <v>111</v>
      </c>
    </row>
    <row r="72" spans="15:19" x14ac:dyDescent="0.25">
      <c r="O72" s="35" t="s">
        <v>25</v>
      </c>
      <c r="P72" s="36" t="s">
        <v>9</v>
      </c>
      <c r="Q72" s="36" t="s">
        <v>15</v>
      </c>
      <c r="R72" s="37">
        <v>2415</v>
      </c>
      <c r="S72" s="38">
        <v>15</v>
      </c>
    </row>
    <row r="73" spans="15:19" x14ac:dyDescent="0.25">
      <c r="O73" s="31" t="s">
        <v>5</v>
      </c>
      <c r="P73" s="32" t="s">
        <v>30</v>
      </c>
      <c r="Q73" s="32" t="s">
        <v>36</v>
      </c>
      <c r="R73" s="33">
        <v>4018</v>
      </c>
      <c r="S73" s="34">
        <v>162</v>
      </c>
    </row>
    <row r="74" spans="15:19" x14ac:dyDescent="0.25">
      <c r="O74" s="35" t="s">
        <v>25</v>
      </c>
      <c r="P74" s="36" t="s">
        <v>30</v>
      </c>
      <c r="Q74" s="36" t="s">
        <v>36</v>
      </c>
      <c r="R74" s="37">
        <v>861</v>
      </c>
      <c r="S74" s="38">
        <v>195</v>
      </c>
    </row>
    <row r="75" spans="15:19" x14ac:dyDescent="0.25">
      <c r="O75" s="31" t="s">
        <v>35</v>
      </c>
      <c r="P75" s="32" t="s">
        <v>20</v>
      </c>
      <c r="Q75" s="32" t="s">
        <v>24</v>
      </c>
      <c r="R75" s="33">
        <v>5586</v>
      </c>
      <c r="S75" s="34">
        <v>525</v>
      </c>
    </row>
    <row r="76" spans="15:19" x14ac:dyDescent="0.25">
      <c r="O76" s="35" t="s">
        <v>23</v>
      </c>
      <c r="P76" s="36" t="s">
        <v>30</v>
      </c>
      <c r="Q76" s="36" t="s">
        <v>19</v>
      </c>
      <c r="R76" s="37">
        <v>2226</v>
      </c>
      <c r="S76" s="38">
        <v>48</v>
      </c>
    </row>
    <row r="77" spans="15:19" x14ac:dyDescent="0.25">
      <c r="O77" s="31" t="s">
        <v>11</v>
      </c>
      <c r="P77" s="32" t="s">
        <v>30</v>
      </c>
      <c r="Q77" s="32" t="s">
        <v>40</v>
      </c>
      <c r="R77" s="33">
        <v>14329</v>
      </c>
      <c r="S77" s="34">
        <v>150</v>
      </c>
    </row>
    <row r="78" spans="15:19" x14ac:dyDescent="0.25">
      <c r="O78" s="35" t="s">
        <v>11</v>
      </c>
      <c r="P78" s="36" t="s">
        <v>30</v>
      </c>
      <c r="Q78" s="36" t="s">
        <v>33</v>
      </c>
      <c r="R78" s="37">
        <v>8463</v>
      </c>
      <c r="S78" s="38">
        <v>492</v>
      </c>
    </row>
    <row r="79" spans="15:19" x14ac:dyDescent="0.25">
      <c r="O79" s="31" t="s">
        <v>25</v>
      </c>
      <c r="P79" s="32" t="s">
        <v>30</v>
      </c>
      <c r="Q79" s="32" t="s">
        <v>32</v>
      </c>
      <c r="R79" s="33">
        <v>2891</v>
      </c>
      <c r="S79" s="34">
        <v>102</v>
      </c>
    </row>
    <row r="80" spans="15:19" x14ac:dyDescent="0.25">
      <c r="O80" s="35" t="s">
        <v>27</v>
      </c>
      <c r="P80" s="36" t="s">
        <v>14</v>
      </c>
      <c r="Q80" s="36" t="s">
        <v>34</v>
      </c>
      <c r="R80" s="37">
        <v>3773</v>
      </c>
      <c r="S80" s="38">
        <v>165</v>
      </c>
    </row>
    <row r="81" spans="15:19" x14ac:dyDescent="0.25">
      <c r="O81" s="31" t="s">
        <v>13</v>
      </c>
      <c r="P81" s="32" t="s">
        <v>14</v>
      </c>
      <c r="Q81" s="32" t="s">
        <v>40</v>
      </c>
      <c r="R81" s="33">
        <v>854</v>
      </c>
      <c r="S81" s="34">
        <v>309</v>
      </c>
    </row>
    <row r="82" spans="15:19" x14ac:dyDescent="0.25">
      <c r="O82" s="35" t="s">
        <v>16</v>
      </c>
      <c r="P82" s="36" t="s">
        <v>14</v>
      </c>
      <c r="Q82" s="36" t="s">
        <v>28</v>
      </c>
      <c r="R82" s="37">
        <v>4970</v>
      </c>
      <c r="S82" s="38">
        <v>156</v>
      </c>
    </row>
    <row r="83" spans="15:19" x14ac:dyDescent="0.25">
      <c r="O83" s="31" t="s">
        <v>11</v>
      </c>
      <c r="P83" s="32" t="s">
        <v>9</v>
      </c>
      <c r="Q83" s="32" t="s">
        <v>42</v>
      </c>
      <c r="R83" s="33">
        <v>98</v>
      </c>
      <c r="S83" s="34">
        <v>159</v>
      </c>
    </row>
    <row r="84" spans="15:19" x14ac:dyDescent="0.25">
      <c r="O84" s="35" t="s">
        <v>25</v>
      </c>
      <c r="P84" s="36" t="s">
        <v>9</v>
      </c>
      <c r="Q84" s="36" t="s">
        <v>37</v>
      </c>
      <c r="R84" s="37">
        <v>13391</v>
      </c>
      <c r="S84" s="38">
        <v>201</v>
      </c>
    </row>
    <row r="85" spans="15:19" x14ac:dyDescent="0.25">
      <c r="O85" s="31" t="s">
        <v>8</v>
      </c>
      <c r="P85" s="32" t="s">
        <v>17</v>
      </c>
      <c r="Q85" s="32" t="s">
        <v>21</v>
      </c>
      <c r="R85" s="33">
        <v>8890</v>
      </c>
      <c r="S85" s="34">
        <v>210</v>
      </c>
    </row>
    <row r="86" spans="15:19" x14ac:dyDescent="0.25">
      <c r="O86" s="35" t="s">
        <v>26</v>
      </c>
      <c r="P86" s="36" t="s">
        <v>20</v>
      </c>
      <c r="Q86" s="36" t="s">
        <v>31</v>
      </c>
      <c r="R86" s="37">
        <v>56</v>
      </c>
      <c r="S86" s="38">
        <v>51</v>
      </c>
    </row>
    <row r="87" spans="15:19" x14ac:dyDescent="0.25">
      <c r="O87" s="31" t="s">
        <v>27</v>
      </c>
      <c r="P87" s="32" t="s">
        <v>14</v>
      </c>
      <c r="Q87" s="32" t="s">
        <v>18</v>
      </c>
      <c r="R87" s="33">
        <v>3339</v>
      </c>
      <c r="S87" s="34">
        <v>39</v>
      </c>
    </row>
    <row r="88" spans="15:19" x14ac:dyDescent="0.25">
      <c r="O88" s="35" t="s">
        <v>35</v>
      </c>
      <c r="P88" s="36" t="s">
        <v>9</v>
      </c>
      <c r="Q88" s="36" t="s">
        <v>15</v>
      </c>
      <c r="R88" s="37">
        <v>3808</v>
      </c>
      <c r="S88" s="38">
        <v>279</v>
      </c>
    </row>
    <row r="89" spans="15:19" x14ac:dyDescent="0.25">
      <c r="O89" s="31" t="s">
        <v>35</v>
      </c>
      <c r="P89" s="32" t="s">
        <v>20</v>
      </c>
      <c r="Q89" s="32" t="s">
        <v>31</v>
      </c>
      <c r="R89" s="33">
        <v>63</v>
      </c>
      <c r="S89" s="34">
        <v>123</v>
      </c>
    </row>
    <row r="90" spans="15:19" x14ac:dyDescent="0.25">
      <c r="O90" s="35" t="s">
        <v>26</v>
      </c>
      <c r="P90" s="36" t="s">
        <v>17</v>
      </c>
      <c r="Q90" s="36" t="s">
        <v>39</v>
      </c>
      <c r="R90" s="37">
        <v>7812</v>
      </c>
      <c r="S90" s="38">
        <v>81</v>
      </c>
    </row>
    <row r="91" spans="15:19" x14ac:dyDescent="0.25">
      <c r="O91" s="31" t="s">
        <v>5</v>
      </c>
      <c r="P91" s="32" t="s">
        <v>6</v>
      </c>
      <c r="Q91" s="32" t="s">
        <v>36</v>
      </c>
      <c r="R91" s="33">
        <v>7693</v>
      </c>
      <c r="S91" s="34">
        <v>21</v>
      </c>
    </row>
    <row r="92" spans="15:19" x14ac:dyDescent="0.25">
      <c r="O92" s="35" t="s">
        <v>27</v>
      </c>
      <c r="P92" s="36" t="s">
        <v>14</v>
      </c>
      <c r="Q92" s="36" t="s">
        <v>40</v>
      </c>
      <c r="R92" s="37">
        <v>973</v>
      </c>
      <c r="S92" s="38">
        <v>162</v>
      </c>
    </row>
    <row r="93" spans="15:19" x14ac:dyDescent="0.25">
      <c r="O93" s="31" t="s">
        <v>35</v>
      </c>
      <c r="P93" s="32" t="s">
        <v>9</v>
      </c>
      <c r="Q93" s="32" t="s">
        <v>41</v>
      </c>
      <c r="R93" s="33">
        <v>567</v>
      </c>
      <c r="S93" s="34">
        <v>228</v>
      </c>
    </row>
    <row r="94" spans="15:19" x14ac:dyDescent="0.25">
      <c r="O94" s="35" t="s">
        <v>35</v>
      </c>
      <c r="P94" s="36" t="s">
        <v>14</v>
      </c>
      <c r="Q94" s="36" t="s">
        <v>32</v>
      </c>
      <c r="R94" s="37">
        <v>2471</v>
      </c>
      <c r="S94" s="38">
        <v>342</v>
      </c>
    </row>
    <row r="95" spans="15:19" x14ac:dyDescent="0.25">
      <c r="O95" s="31" t="s">
        <v>25</v>
      </c>
      <c r="P95" s="32" t="s">
        <v>20</v>
      </c>
      <c r="Q95" s="32" t="s">
        <v>31</v>
      </c>
      <c r="R95" s="33">
        <v>7189</v>
      </c>
      <c r="S95" s="34">
        <v>54</v>
      </c>
    </row>
    <row r="96" spans="15:19" x14ac:dyDescent="0.25">
      <c r="O96" s="35" t="s">
        <v>13</v>
      </c>
      <c r="P96" s="36" t="s">
        <v>9</v>
      </c>
      <c r="Q96" s="36" t="s">
        <v>40</v>
      </c>
      <c r="R96" s="37">
        <v>7455</v>
      </c>
      <c r="S96" s="38">
        <v>216</v>
      </c>
    </row>
    <row r="97" spans="15:19" x14ac:dyDescent="0.25">
      <c r="O97" s="31" t="s">
        <v>27</v>
      </c>
      <c r="P97" s="32" t="s">
        <v>30</v>
      </c>
      <c r="Q97" s="32" t="s">
        <v>42</v>
      </c>
      <c r="R97" s="33">
        <v>3108</v>
      </c>
      <c r="S97" s="34">
        <v>54</v>
      </c>
    </row>
    <row r="98" spans="15:19" x14ac:dyDescent="0.25">
      <c r="O98" s="35" t="s">
        <v>16</v>
      </c>
      <c r="P98" s="36" t="s">
        <v>20</v>
      </c>
      <c r="Q98" s="36" t="s">
        <v>18</v>
      </c>
      <c r="R98" s="37">
        <v>469</v>
      </c>
      <c r="S98" s="38">
        <v>75</v>
      </c>
    </row>
    <row r="99" spans="15:19" x14ac:dyDescent="0.25">
      <c r="O99" s="31" t="s">
        <v>11</v>
      </c>
      <c r="P99" s="32" t="s">
        <v>6</v>
      </c>
      <c r="Q99" s="32" t="s">
        <v>34</v>
      </c>
      <c r="R99" s="33">
        <v>2737</v>
      </c>
      <c r="S99" s="34">
        <v>93</v>
      </c>
    </row>
    <row r="100" spans="15:19" x14ac:dyDescent="0.25">
      <c r="O100" s="35" t="s">
        <v>11</v>
      </c>
      <c r="P100" s="36" t="s">
        <v>6</v>
      </c>
      <c r="Q100" s="36" t="s">
        <v>18</v>
      </c>
      <c r="R100" s="37">
        <v>4305</v>
      </c>
      <c r="S100" s="38">
        <v>156</v>
      </c>
    </row>
    <row r="101" spans="15:19" x14ac:dyDescent="0.25">
      <c r="O101" s="31" t="s">
        <v>11</v>
      </c>
      <c r="P101" s="32" t="s">
        <v>20</v>
      </c>
      <c r="Q101" s="32" t="s">
        <v>28</v>
      </c>
      <c r="R101" s="33">
        <v>2408</v>
      </c>
      <c r="S101" s="34">
        <v>9</v>
      </c>
    </row>
    <row r="102" spans="15:19" x14ac:dyDescent="0.25">
      <c r="O102" s="35" t="s">
        <v>27</v>
      </c>
      <c r="P102" s="36" t="s">
        <v>14</v>
      </c>
      <c r="Q102" s="36" t="s">
        <v>36</v>
      </c>
      <c r="R102" s="37">
        <v>1281</v>
      </c>
      <c r="S102" s="38">
        <v>18</v>
      </c>
    </row>
    <row r="103" spans="15:19" x14ac:dyDescent="0.25">
      <c r="O103" s="31" t="s">
        <v>5</v>
      </c>
      <c r="P103" s="32" t="s">
        <v>9</v>
      </c>
      <c r="Q103" s="32" t="s">
        <v>10</v>
      </c>
      <c r="R103" s="33">
        <v>12348</v>
      </c>
      <c r="S103" s="34">
        <v>234</v>
      </c>
    </row>
    <row r="104" spans="15:19" x14ac:dyDescent="0.25">
      <c r="O104" s="35" t="s">
        <v>27</v>
      </c>
      <c r="P104" s="36" t="s">
        <v>30</v>
      </c>
      <c r="Q104" s="36" t="s">
        <v>40</v>
      </c>
      <c r="R104" s="37">
        <v>3689</v>
      </c>
      <c r="S104" s="38">
        <v>312</v>
      </c>
    </row>
    <row r="105" spans="15:19" x14ac:dyDescent="0.25">
      <c r="O105" s="31" t="s">
        <v>23</v>
      </c>
      <c r="P105" s="32" t="s">
        <v>14</v>
      </c>
      <c r="Q105" s="32" t="s">
        <v>36</v>
      </c>
      <c r="R105" s="33">
        <v>2870</v>
      </c>
      <c r="S105" s="34">
        <v>300</v>
      </c>
    </row>
    <row r="106" spans="15:19" x14ac:dyDescent="0.25">
      <c r="O106" s="35" t="s">
        <v>26</v>
      </c>
      <c r="P106" s="36" t="s">
        <v>14</v>
      </c>
      <c r="Q106" s="36" t="s">
        <v>39</v>
      </c>
      <c r="R106" s="37">
        <v>798</v>
      </c>
      <c r="S106" s="38">
        <v>519</v>
      </c>
    </row>
    <row r="107" spans="15:19" x14ac:dyDescent="0.25">
      <c r="O107" s="31" t="s">
        <v>13</v>
      </c>
      <c r="P107" s="32" t="s">
        <v>6</v>
      </c>
      <c r="Q107" s="32" t="s">
        <v>41</v>
      </c>
      <c r="R107" s="33">
        <v>2933</v>
      </c>
      <c r="S107" s="34">
        <v>9</v>
      </c>
    </row>
    <row r="108" spans="15:19" x14ac:dyDescent="0.25">
      <c r="O108" s="35" t="s">
        <v>25</v>
      </c>
      <c r="P108" s="36" t="s">
        <v>9</v>
      </c>
      <c r="Q108" s="36" t="s">
        <v>12</v>
      </c>
      <c r="R108" s="37">
        <v>2744</v>
      </c>
      <c r="S108" s="38">
        <v>9</v>
      </c>
    </row>
    <row r="109" spans="15:19" x14ac:dyDescent="0.25">
      <c r="O109" s="31" t="s">
        <v>5</v>
      </c>
      <c r="P109" s="32" t="s">
        <v>14</v>
      </c>
      <c r="Q109" s="32" t="s">
        <v>19</v>
      </c>
      <c r="R109" s="33">
        <v>9772</v>
      </c>
      <c r="S109" s="34">
        <v>90</v>
      </c>
    </row>
    <row r="110" spans="15:19" x14ac:dyDescent="0.25">
      <c r="O110" s="35" t="s">
        <v>23</v>
      </c>
      <c r="P110" s="36" t="s">
        <v>30</v>
      </c>
      <c r="Q110" s="36" t="s">
        <v>18</v>
      </c>
      <c r="R110" s="37">
        <v>1568</v>
      </c>
      <c r="S110" s="38">
        <v>96</v>
      </c>
    </row>
    <row r="111" spans="15:19" x14ac:dyDescent="0.25">
      <c r="O111" s="31" t="s">
        <v>26</v>
      </c>
      <c r="P111" s="32" t="s">
        <v>14</v>
      </c>
      <c r="Q111" s="32" t="s">
        <v>29</v>
      </c>
      <c r="R111" s="33">
        <v>11417</v>
      </c>
      <c r="S111" s="34">
        <v>21</v>
      </c>
    </row>
    <row r="112" spans="15:19" x14ac:dyDescent="0.25">
      <c r="O112" s="35" t="s">
        <v>5</v>
      </c>
      <c r="P112" s="36" t="s">
        <v>30</v>
      </c>
      <c r="Q112" s="36" t="s">
        <v>42</v>
      </c>
      <c r="R112" s="37">
        <v>6748</v>
      </c>
      <c r="S112" s="38">
        <v>48</v>
      </c>
    </row>
    <row r="113" spans="15:19" x14ac:dyDescent="0.25">
      <c r="O113" s="31" t="s">
        <v>35</v>
      </c>
      <c r="P113" s="32" t="s">
        <v>14</v>
      </c>
      <c r="Q113" s="32" t="s">
        <v>39</v>
      </c>
      <c r="R113" s="33">
        <v>1407</v>
      </c>
      <c r="S113" s="34">
        <v>72</v>
      </c>
    </row>
    <row r="114" spans="15:19" x14ac:dyDescent="0.25">
      <c r="O114" s="35" t="s">
        <v>8</v>
      </c>
      <c r="P114" s="36" t="s">
        <v>9</v>
      </c>
      <c r="Q114" s="36" t="s">
        <v>32</v>
      </c>
      <c r="R114" s="37">
        <v>2023</v>
      </c>
      <c r="S114" s="38">
        <v>168</v>
      </c>
    </row>
    <row r="115" spans="15:19" x14ac:dyDescent="0.25">
      <c r="O115" s="31" t="s">
        <v>25</v>
      </c>
      <c r="P115" s="32" t="s">
        <v>17</v>
      </c>
      <c r="Q115" s="32" t="s">
        <v>42</v>
      </c>
      <c r="R115" s="33">
        <v>5236</v>
      </c>
      <c r="S115" s="34">
        <v>51</v>
      </c>
    </row>
    <row r="116" spans="15:19" x14ac:dyDescent="0.25">
      <c r="O116" s="35" t="s">
        <v>13</v>
      </c>
      <c r="P116" s="36" t="s">
        <v>14</v>
      </c>
      <c r="Q116" s="36" t="s">
        <v>36</v>
      </c>
      <c r="R116" s="37">
        <v>1925</v>
      </c>
      <c r="S116" s="38">
        <v>192</v>
      </c>
    </row>
    <row r="117" spans="15:19" x14ac:dyDescent="0.25">
      <c r="O117" s="31" t="s">
        <v>23</v>
      </c>
      <c r="P117" s="32" t="s">
        <v>6</v>
      </c>
      <c r="Q117" s="32" t="s">
        <v>24</v>
      </c>
      <c r="R117" s="33">
        <v>6608</v>
      </c>
      <c r="S117" s="34">
        <v>225</v>
      </c>
    </row>
    <row r="118" spans="15:19" x14ac:dyDescent="0.25">
      <c r="O118" s="35" t="s">
        <v>16</v>
      </c>
      <c r="P118" s="36" t="s">
        <v>30</v>
      </c>
      <c r="Q118" s="36" t="s">
        <v>42</v>
      </c>
      <c r="R118" s="37">
        <v>8008</v>
      </c>
      <c r="S118" s="38">
        <v>456</v>
      </c>
    </row>
    <row r="119" spans="15:19" x14ac:dyDescent="0.25">
      <c r="O119" s="31" t="s">
        <v>35</v>
      </c>
      <c r="P119" s="32" t="s">
        <v>30</v>
      </c>
      <c r="Q119" s="32" t="s">
        <v>18</v>
      </c>
      <c r="R119" s="33">
        <v>1428</v>
      </c>
      <c r="S119" s="34">
        <v>93</v>
      </c>
    </row>
    <row r="120" spans="15:19" x14ac:dyDescent="0.25">
      <c r="O120" s="35" t="s">
        <v>16</v>
      </c>
      <c r="P120" s="36" t="s">
        <v>30</v>
      </c>
      <c r="Q120" s="36" t="s">
        <v>12</v>
      </c>
      <c r="R120" s="37">
        <v>525</v>
      </c>
      <c r="S120" s="38">
        <v>48</v>
      </c>
    </row>
    <row r="121" spans="15:19" x14ac:dyDescent="0.25">
      <c r="O121" s="31" t="s">
        <v>16</v>
      </c>
      <c r="P121" s="32" t="s">
        <v>6</v>
      </c>
      <c r="Q121" s="32" t="s">
        <v>15</v>
      </c>
      <c r="R121" s="33">
        <v>1505</v>
      </c>
      <c r="S121" s="34">
        <v>102</v>
      </c>
    </row>
    <row r="122" spans="15:19" x14ac:dyDescent="0.25">
      <c r="O122" s="35" t="s">
        <v>23</v>
      </c>
      <c r="P122" s="36" t="s">
        <v>9</v>
      </c>
      <c r="Q122" s="36" t="s">
        <v>7</v>
      </c>
      <c r="R122" s="37">
        <v>6755</v>
      </c>
      <c r="S122" s="38">
        <v>252</v>
      </c>
    </row>
    <row r="123" spans="15:19" x14ac:dyDescent="0.25">
      <c r="O123" s="31" t="s">
        <v>26</v>
      </c>
      <c r="P123" s="32" t="s">
        <v>6</v>
      </c>
      <c r="Q123" s="32" t="s">
        <v>15</v>
      </c>
      <c r="R123" s="33">
        <v>11571</v>
      </c>
      <c r="S123" s="34">
        <v>138</v>
      </c>
    </row>
    <row r="124" spans="15:19" x14ac:dyDescent="0.25">
      <c r="O124" s="35" t="s">
        <v>5</v>
      </c>
      <c r="P124" s="36" t="s">
        <v>20</v>
      </c>
      <c r="Q124" s="36" t="s">
        <v>18</v>
      </c>
      <c r="R124" s="37">
        <v>2541</v>
      </c>
      <c r="S124" s="38">
        <v>90</v>
      </c>
    </row>
    <row r="125" spans="15:19" x14ac:dyDescent="0.25">
      <c r="O125" s="31" t="s">
        <v>13</v>
      </c>
      <c r="P125" s="32" t="s">
        <v>6</v>
      </c>
      <c r="Q125" s="32" t="s">
        <v>7</v>
      </c>
      <c r="R125" s="33">
        <v>1526</v>
      </c>
      <c r="S125" s="34">
        <v>240</v>
      </c>
    </row>
    <row r="126" spans="15:19" x14ac:dyDescent="0.25">
      <c r="O126" s="35" t="s">
        <v>5</v>
      </c>
      <c r="P126" s="36" t="s">
        <v>20</v>
      </c>
      <c r="Q126" s="36" t="s">
        <v>12</v>
      </c>
      <c r="R126" s="37">
        <v>6125</v>
      </c>
      <c r="S126" s="38">
        <v>102</v>
      </c>
    </row>
    <row r="127" spans="15:19" x14ac:dyDescent="0.25">
      <c r="O127" s="31" t="s">
        <v>13</v>
      </c>
      <c r="P127" s="32" t="s">
        <v>9</v>
      </c>
      <c r="Q127" s="32" t="s">
        <v>39</v>
      </c>
      <c r="R127" s="33">
        <v>847</v>
      </c>
      <c r="S127" s="34">
        <v>129</v>
      </c>
    </row>
    <row r="128" spans="15:19" x14ac:dyDescent="0.25">
      <c r="O128" s="35" t="s">
        <v>8</v>
      </c>
      <c r="P128" s="36" t="s">
        <v>9</v>
      </c>
      <c r="Q128" s="36" t="s">
        <v>39</v>
      </c>
      <c r="R128" s="37">
        <v>4753</v>
      </c>
      <c r="S128" s="38">
        <v>300</v>
      </c>
    </row>
    <row r="129" spans="15:19" x14ac:dyDescent="0.25">
      <c r="O129" s="31" t="s">
        <v>16</v>
      </c>
      <c r="P129" s="32" t="s">
        <v>20</v>
      </c>
      <c r="Q129" s="32" t="s">
        <v>19</v>
      </c>
      <c r="R129" s="33">
        <v>959</v>
      </c>
      <c r="S129" s="34">
        <v>135</v>
      </c>
    </row>
    <row r="130" spans="15:19" x14ac:dyDescent="0.25">
      <c r="O130" s="35" t="s">
        <v>23</v>
      </c>
      <c r="P130" s="36" t="s">
        <v>9</v>
      </c>
      <c r="Q130" s="36" t="s">
        <v>38</v>
      </c>
      <c r="R130" s="37">
        <v>2793</v>
      </c>
      <c r="S130" s="38">
        <v>114</v>
      </c>
    </row>
    <row r="131" spans="15:19" x14ac:dyDescent="0.25">
      <c r="O131" s="31" t="s">
        <v>23</v>
      </c>
      <c r="P131" s="32" t="s">
        <v>9</v>
      </c>
      <c r="Q131" s="32" t="s">
        <v>24</v>
      </c>
      <c r="R131" s="33">
        <v>4606</v>
      </c>
      <c r="S131" s="34">
        <v>63</v>
      </c>
    </row>
    <row r="132" spans="15:19" x14ac:dyDescent="0.25">
      <c r="O132" s="35" t="s">
        <v>23</v>
      </c>
      <c r="P132" s="36" t="s">
        <v>14</v>
      </c>
      <c r="Q132" s="36" t="s">
        <v>32</v>
      </c>
      <c r="R132" s="37">
        <v>5551</v>
      </c>
      <c r="S132" s="38">
        <v>252</v>
      </c>
    </row>
    <row r="133" spans="15:19" x14ac:dyDescent="0.25">
      <c r="O133" s="31" t="s">
        <v>35</v>
      </c>
      <c r="P133" s="32" t="s">
        <v>14</v>
      </c>
      <c r="Q133" s="32" t="s">
        <v>10</v>
      </c>
      <c r="R133" s="33">
        <v>6657</v>
      </c>
      <c r="S133" s="34">
        <v>303</v>
      </c>
    </row>
    <row r="134" spans="15:19" x14ac:dyDescent="0.25">
      <c r="O134" s="35" t="s">
        <v>23</v>
      </c>
      <c r="P134" s="36" t="s">
        <v>17</v>
      </c>
      <c r="Q134" s="36" t="s">
        <v>28</v>
      </c>
      <c r="R134" s="37">
        <v>4438</v>
      </c>
      <c r="S134" s="38">
        <v>246</v>
      </c>
    </row>
    <row r="135" spans="15:19" x14ac:dyDescent="0.25">
      <c r="O135" s="31" t="s">
        <v>8</v>
      </c>
      <c r="P135" s="32" t="s">
        <v>20</v>
      </c>
      <c r="Q135" s="32" t="s">
        <v>22</v>
      </c>
      <c r="R135" s="33">
        <v>168</v>
      </c>
      <c r="S135" s="34">
        <v>84</v>
      </c>
    </row>
    <row r="136" spans="15:19" x14ac:dyDescent="0.25">
      <c r="O136" s="35" t="s">
        <v>23</v>
      </c>
      <c r="P136" s="36" t="s">
        <v>30</v>
      </c>
      <c r="Q136" s="36" t="s">
        <v>28</v>
      </c>
      <c r="R136" s="37">
        <v>7777</v>
      </c>
      <c r="S136" s="38">
        <v>39</v>
      </c>
    </row>
    <row r="137" spans="15:19" x14ac:dyDescent="0.25">
      <c r="O137" s="31" t="s">
        <v>25</v>
      </c>
      <c r="P137" s="32" t="s">
        <v>14</v>
      </c>
      <c r="Q137" s="32" t="s">
        <v>28</v>
      </c>
      <c r="R137" s="33">
        <v>3339</v>
      </c>
      <c r="S137" s="34">
        <v>348</v>
      </c>
    </row>
    <row r="138" spans="15:19" x14ac:dyDescent="0.25">
      <c r="O138" s="35" t="s">
        <v>23</v>
      </c>
      <c r="P138" s="36" t="s">
        <v>6</v>
      </c>
      <c r="Q138" s="36" t="s">
        <v>19</v>
      </c>
      <c r="R138" s="37">
        <v>6391</v>
      </c>
      <c r="S138" s="38">
        <v>48</v>
      </c>
    </row>
    <row r="139" spans="15:19" x14ac:dyDescent="0.25">
      <c r="O139" s="31" t="s">
        <v>25</v>
      </c>
      <c r="P139" s="32" t="s">
        <v>6</v>
      </c>
      <c r="Q139" s="32" t="s">
        <v>22</v>
      </c>
      <c r="R139" s="33">
        <v>518</v>
      </c>
      <c r="S139" s="34">
        <v>75</v>
      </c>
    </row>
    <row r="140" spans="15:19" x14ac:dyDescent="0.25">
      <c r="O140" s="35" t="s">
        <v>23</v>
      </c>
      <c r="P140" s="36" t="s">
        <v>20</v>
      </c>
      <c r="Q140" s="36" t="s">
        <v>40</v>
      </c>
      <c r="R140" s="37">
        <v>5677</v>
      </c>
      <c r="S140" s="38">
        <v>258</v>
      </c>
    </row>
    <row r="141" spans="15:19" x14ac:dyDescent="0.25">
      <c r="O141" s="31" t="s">
        <v>16</v>
      </c>
      <c r="P141" s="32" t="s">
        <v>17</v>
      </c>
      <c r="Q141" s="32" t="s">
        <v>28</v>
      </c>
      <c r="R141" s="33">
        <v>6048</v>
      </c>
      <c r="S141" s="34">
        <v>27</v>
      </c>
    </row>
    <row r="142" spans="15:19" x14ac:dyDescent="0.25">
      <c r="O142" s="35" t="s">
        <v>8</v>
      </c>
      <c r="P142" s="36" t="s">
        <v>20</v>
      </c>
      <c r="Q142" s="36" t="s">
        <v>10</v>
      </c>
      <c r="R142" s="37">
        <v>3752</v>
      </c>
      <c r="S142" s="38">
        <v>213</v>
      </c>
    </row>
    <row r="143" spans="15:19" x14ac:dyDescent="0.25">
      <c r="O143" s="31" t="s">
        <v>25</v>
      </c>
      <c r="P143" s="32" t="s">
        <v>9</v>
      </c>
      <c r="Q143" s="32" t="s">
        <v>32</v>
      </c>
      <c r="R143" s="33">
        <v>4480</v>
      </c>
      <c r="S143" s="34">
        <v>357</v>
      </c>
    </row>
    <row r="144" spans="15:19" x14ac:dyDescent="0.25">
      <c r="O144" s="35" t="s">
        <v>11</v>
      </c>
      <c r="P144" s="36" t="s">
        <v>6</v>
      </c>
      <c r="Q144" s="36" t="s">
        <v>12</v>
      </c>
      <c r="R144" s="37">
        <v>259</v>
      </c>
      <c r="S144" s="38">
        <v>207</v>
      </c>
    </row>
    <row r="145" spans="15:19" x14ac:dyDescent="0.25">
      <c r="O145" s="31" t="s">
        <v>8</v>
      </c>
      <c r="P145" s="32" t="s">
        <v>6</v>
      </c>
      <c r="Q145" s="32" t="s">
        <v>7</v>
      </c>
      <c r="R145" s="33">
        <v>42</v>
      </c>
      <c r="S145" s="34">
        <v>150</v>
      </c>
    </row>
    <row r="146" spans="15:19" x14ac:dyDescent="0.25">
      <c r="O146" s="35" t="s">
        <v>13</v>
      </c>
      <c r="P146" s="36" t="s">
        <v>14</v>
      </c>
      <c r="Q146" s="36" t="s">
        <v>42</v>
      </c>
      <c r="R146" s="37">
        <v>98</v>
      </c>
      <c r="S146" s="38">
        <v>204</v>
      </c>
    </row>
    <row r="147" spans="15:19" x14ac:dyDescent="0.25">
      <c r="O147" s="31" t="s">
        <v>23</v>
      </c>
      <c r="P147" s="32" t="s">
        <v>9</v>
      </c>
      <c r="Q147" s="32" t="s">
        <v>39</v>
      </c>
      <c r="R147" s="33">
        <v>2478</v>
      </c>
      <c r="S147" s="34">
        <v>21</v>
      </c>
    </row>
    <row r="148" spans="15:19" x14ac:dyDescent="0.25">
      <c r="O148" s="35" t="s">
        <v>13</v>
      </c>
      <c r="P148" s="36" t="s">
        <v>30</v>
      </c>
      <c r="Q148" s="36" t="s">
        <v>19</v>
      </c>
      <c r="R148" s="37">
        <v>7847</v>
      </c>
      <c r="S148" s="38">
        <v>174</v>
      </c>
    </row>
    <row r="149" spans="15:19" x14ac:dyDescent="0.25">
      <c r="O149" s="31" t="s">
        <v>26</v>
      </c>
      <c r="P149" s="32" t="s">
        <v>6</v>
      </c>
      <c r="Q149" s="32" t="s">
        <v>28</v>
      </c>
      <c r="R149" s="33">
        <v>9926</v>
      </c>
      <c r="S149" s="34">
        <v>201</v>
      </c>
    </row>
    <row r="150" spans="15:19" x14ac:dyDescent="0.25">
      <c r="O150" s="35" t="s">
        <v>8</v>
      </c>
      <c r="P150" s="36" t="s">
        <v>20</v>
      </c>
      <c r="Q150" s="36" t="s">
        <v>31</v>
      </c>
      <c r="R150" s="37">
        <v>819</v>
      </c>
      <c r="S150" s="38">
        <v>510</v>
      </c>
    </row>
    <row r="151" spans="15:19" x14ac:dyDescent="0.25">
      <c r="O151" s="31" t="s">
        <v>16</v>
      </c>
      <c r="P151" s="32" t="s">
        <v>17</v>
      </c>
      <c r="Q151" s="32" t="s">
        <v>32</v>
      </c>
      <c r="R151" s="33">
        <v>3052</v>
      </c>
      <c r="S151" s="34">
        <v>378</v>
      </c>
    </row>
    <row r="152" spans="15:19" x14ac:dyDescent="0.25">
      <c r="O152" s="35" t="s">
        <v>11</v>
      </c>
      <c r="P152" s="36" t="s">
        <v>30</v>
      </c>
      <c r="Q152" s="36" t="s">
        <v>41</v>
      </c>
      <c r="R152" s="37">
        <v>6832</v>
      </c>
      <c r="S152" s="38">
        <v>27</v>
      </c>
    </row>
    <row r="153" spans="15:19" x14ac:dyDescent="0.25">
      <c r="O153" s="31" t="s">
        <v>26</v>
      </c>
      <c r="P153" s="32" t="s">
        <v>17</v>
      </c>
      <c r="Q153" s="32" t="s">
        <v>29</v>
      </c>
      <c r="R153" s="33">
        <v>2016</v>
      </c>
      <c r="S153" s="34">
        <v>117</v>
      </c>
    </row>
    <row r="154" spans="15:19" x14ac:dyDescent="0.25">
      <c r="O154" s="35" t="s">
        <v>16</v>
      </c>
      <c r="P154" s="36" t="s">
        <v>20</v>
      </c>
      <c r="Q154" s="36" t="s">
        <v>41</v>
      </c>
      <c r="R154" s="37">
        <v>7322</v>
      </c>
      <c r="S154" s="38">
        <v>36</v>
      </c>
    </row>
    <row r="155" spans="15:19" x14ac:dyDescent="0.25">
      <c r="O155" s="31" t="s">
        <v>8</v>
      </c>
      <c r="P155" s="32" t="s">
        <v>9</v>
      </c>
      <c r="Q155" s="32" t="s">
        <v>19</v>
      </c>
      <c r="R155" s="33">
        <v>357</v>
      </c>
      <c r="S155" s="34">
        <v>126</v>
      </c>
    </row>
    <row r="156" spans="15:19" x14ac:dyDescent="0.25">
      <c r="O156" s="35" t="s">
        <v>11</v>
      </c>
      <c r="P156" s="36" t="s">
        <v>17</v>
      </c>
      <c r="Q156" s="36" t="s">
        <v>18</v>
      </c>
      <c r="R156" s="37">
        <v>3192</v>
      </c>
      <c r="S156" s="38">
        <v>72</v>
      </c>
    </row>
    <row r="157" spans="15:19" x14ac:dyDescent="0.25">
      <c r="O157" s="31" t="s">
        <v>23</v>
      </c>
      <c r="P157" s="32" t="s">
        <v>14</v>
      </c>
      <c r="Q157" s="32" t="s">
        <v>22</v>
      </c>
      <c r="R157" s="33">
        <v>8435</v>
      </c>
      <c r="S157" s="34">
        <v>42</v>
      </c>
    </row>
    <row r="158" spans="15:19" x14ac:dyDescent="0.25">
      <c r="O158" s="35" t="s">
        <v>5</v>
      </c>
      <c r="P158" s="36" t="s">
        <v>17</v>
      </c>
      <c r="Q158" s="36" t="s">
        <v>32</v>
      </c>
      <c r="R158" s="37">
        <v>0</v>
      </c>
      <c r="S158" s="38">
        <v>135</v>
      </c>
    </row>
    <row r="159" spans="15:19" x14ac:dyDescent="0.25">
      <c r="O159" s="31" t="s">
        <v>23</v>
      </c>
      <c r="P159" s="32" t="s">
        <v>30</v>
      </c>
      <c r="Q159" s="32" t="s">
        <v>38</v>
      </c>
      <c r="R159" s="33">
        <v>8862</v>
      </c>
      <c r="S159" s="34">
        <v>189</v>
      </c>
    </row>
    <row r="160" spans="15:19" x14ac:dyDescent="0.25">
      <c r="O160" s="35" t="s">
        <v>16</v>
      </c>
      <c r="P160" s="36" t="s">
        <v>6</v>
      </c>
      <c r="Q160" s="36" t="s">
        <v>40</v>
      </c>
      <c r="R160" s="37">
        <v>3556</v>
      </c>
      <c r="S160" s="38">
        <v>459</v>
      </c>
    </row>
    <row r="161" spans="15:19" x14ac:dyDescent="0.25">
      <c r="O161" s="31" t="s">
        <v>25</v>
      </c>
      <c r="P161" s="32" t="s">
        <v>30</v>
      </c>
      <c r="Q161" s="32" t="s">
        <v>37</v>
      </c>
      <c r="R161" s="33">
        <v>7280</v>
      </c>
      <c r="S161" s="34">
        <v>201</v>
      </c>
    </row>
    <row r="162" spans="15:19" x14ac:dyDescent="0.25">
      <c r="O162" s="35" t="s">
        <v>16</v>
      </c>
      <c r="P162" s="36" t="s">
        <v>30</v>
      </c>
      <c r="Q162" s="36" t="s">
        <v>7</v>
      </c>
      <c r="R162" s="37">
        <v>3402</v>
      </c>
      <c r="S162" s="38">
        <v>366</v>
      </c>
    </row>
    <row r="163" spans="15:19" x14ac:dyDescent="0.25">
      <c r="O163" s="31" t="s">
        <v>27</v>
      </c>
      <c r="P163" s="32" t="s">
        <v>6</v>
      </c>
      <c r="Q163" s="32" t="s">
        <v>32</v>
      </c>
      <c r="R163" s="33">
        <v>4592</v>
      </c>
      <c r="S163" s="34">
        <v>324</v>
      </c>
    </row>
    <row r="164" spans="15:19" x14ac:dyDescent="0.25">
      <c r="O164" s="35" t="s">
        <v>11</v>
      </c>
      <c r="P164" s="36" t="s">
        <v>9</v>
      </c>
      <c r="Q164" s="36" t="s">
        <v>37</v>
      </c>
      <c r="R164" s="37">
        <v>7833</v>
      </c>
      <c r="S164" s="38">
        <v>243</v>
      </c>
    </row>
    <row r="165" spans="15:19" x14ac:dyDescent="0.25">
      <c r="O165" s="31" t="s">
        <v>26</v>
      </c>
      <c r="P165" s="32" t="s">
        <v>17</v>
      </c>
      <c r="Q165" s="32" t="s">
        <v>41</v>
      </c>
      <c r="R165" s="33">
        <v>7651</v>
      </c>
      <c r="S165" s="34">
        <v>213</v>
      </c>
    </row>
    <row r="166" spans="15:19" x14ac:dyDescent="0.25">
      <c r="O166" s="35" t="s">
        <v>5</v>
      </c>
      <c r="P166" s="36" t="s">
        <v>9</v>
      </c>
      <c r="Q166" s="36" t="s">
        <v>7</v>
      </c>
      <c r="R166" s="37">
        <v>2275</v>
      </c>
      <c r="S166" s="38">
        <v>447</v>
      </c>
    </row>
    <row r="167" spans="15:19" x14ac:dyDescent="0.25">
      <c r="O167" s="31" t="s">
        <v>5</v>
      </c>
      <c r="P167" s="32" t="s">
        <v>20</v>
      </c>
      <c r="Q167" s="32" t="s">
        <v>31</v>
      </c>
      <c r="R167" s="33">
        <v>5670</v>
      </c>
      <c r="S167" s="34">
        <v>297</v>
      </c>
    </row>
    <row r="168" spans="15:19" x14ac:dyDescent="0.25">
      <c r="O168" s="35" t="s">
        <v>23</v>
      </c>
      <c r="P168" s="36" t="s">
        <v>9</v>
      </c>
      <c r="Q168" s="36" t="s">
        <v>29</v>
      </c>
      <c r="R168" s="37">
        <v>2135</v>
      </c>
      <c r="S168" s="38">
        <v>27</v>
      </c>
    </row>
    <row r="169" spans="15:19" x14ac:dyDescent="0.25">
      <c r="O169" s="31" t="s">
        <v>5</v>
      </c>
      <c r="P169" s="32" t="s">
        <v>30</v>
      </c>
      <c r="Q169" s="32" t="s">
        <v>34</v>
      </c>
      <c r="R169" s="33">
        <v>2779</v>
      </c>
      <c r="S169" s="34">
        <v>75</v>
      </c>
    </row>
    <row r="170" spans="15:19" x14ac:dyDescent="0.25">
      <c r="O170" s="35" t="s">
        <v>35</v>
      </c>
      <c r="P170" s="36" t="s">
        <v>17</v>
      </c>
      <c r="Q170" s="36" t="s">
        <v>19</v>
      </c>
      <c r="R170" s="37">
        <v>12950</v>
      </c>
      <c r="S170" s="38">
        <v>30</v>
      </c>
    </row>
    <row r="171" spans="15:19" x14ac:dyDescent="0.25">
      <c r="O171" s="31" t="s">
        <v>23</v>
      </c>
      <c r="P171" s="32" t="s">
        <v>14</v>
      </c>
      <c r="Q171" s="32" t="s">
        <v>15</v>
      </c>
      <c r="R171" s="33">
        <v>2646</v>
      </c>
      <c r="S171" s="34">
        <v>177</v>
      </c>
    </row>
    <row r="172" spans="15:19" x14ac:dyDescent="0.25">
      <c r="O172" s="35" t="s">
        <v>5</v>
      </c>
      <c r="P172" s="36" t="s">
        <v>30</v>
      </c>
      <c r="Q172" s="36" t="s">
        <v>19</v>
      </c>
      <c r="R172" s="37">
        <v>3794</v>
      </c>
      <c r="S172" s="38">
        <v>159</v>
      </c>
    </row>
    <row r="173" spans="15:19" x14ac:dyDescent="0.25">
      <c r="O173" s="31" t="s">
        <v>27</v>
      </c>
      <c r="P173" s="32" t="s">
        <v>9</v>
      </c>
      <c r="Q173" s="32" t="s">
        <v>19</v>
      </c>
      <c r="R173" s="33">
        <v>819</v>
      </c>
      <c r="S173" s="34">
        <v>306</v>
      </c>
    </row>
    <row r="174" spans="15:19" x14ac:dyDescent="0.25">
      <c r="O174" s="35" t="s">
        <v>27</v>
      </c>
      <c r="P174" s="36" t="s">
        <v>30</v>
      </c>
      <c r="Q174" s="36" t="s">
        <v>33</v>
      </c>
      <c r="R174" s="37">
        <v>2583</v>
      </c>
      <c r="S174" s="38">
        <v>18</v>
      </c>
    </row>
    <row r="175" spans="15:19" x14ac:dyDescent="0.25">
      <c r="O175" s="31" t="s">
        <v>23</v>
      </c>
      <c r="P175" s="32" t="s">
        <v>9</v>
      </c>
      <c r="Q175" s="32" t="s">
        <v>36</v>
      </c>
      <c r="R175" s="33">
        <v>4585</v>
      </c>
      <c r="S175" s="34">
        <v>240</v>
      </c>
    </row>
    <row r="176" spans="15:19" x14ac:dyDescent="0.25">
      <c r="O176" s="35" t="s">
        <v>25</v>
      </c>
      <c r="P176" s="36" t="s">
        <v>30</v>
      </c>
      <c r="Q176" s="36" t="s">
        <v>19</v>
      </c>
      <c r="R176" s="37">
        <v>1652</v>
      </c>
      <c r="S176" s="38">
        <v>93</v>
      </c>
    </row>
    <row r="177" spans="15:19" x14ac:dyDescent="0.25">
      <c r="O177" s="31" t="s">
        <v>35</v>
      </c>
      <c r="P177" s="32" t="s">
        <v>30</v>
      </c>
      <c r="Q177" s="32" t="s">
        <v>42</v>
      </c>
      <c r="R177" s="33">
        <v>4991</v>
      </c>
      <c r="S177" s="34">
        <v>9</v>
      </c>
    </row>
    <row r="178" spans="15:19" x14ac:dyDescent="0.25">
      <c r="O178" s="35" t="s">
        <v>8</v>
      </c>
      <c r="P178" s="36" t="s">
        <v>30</v>
      </c>
      <c r="Q178" s="36" t="s">
        <v>29</v>
      </c>
      <c r="R178" s="37">
        <v>2009</v>
      </c>
      <c r="S178" s="38">
        <v>219</v>
      </c>
    </row>
    <row r="179" spans="15:19" x14ac:dyDescent="0.25">
      <c r="O179" s="31" t="s">
        <v>26</v>
      </c>
      <c r="P179" s="32" t="s">
        <v>17</v>
      </c>
      <c r="Q179" s="32" t="s">
        <v>22</v>
      </c>
      <c r="R179" s="33">
        <v>1568</v>
      </c>
      <c r="S179" s="34">
        <v>141</v>
      </c>
    </row>
    <row r="180" spans="15:19" x14ac:dyDescent="0.25">
      <c r="O180" s="35" t="s">
        <v>13</v>
      </c>
      <c r="P180" s="36" t="s">
        <v>6</v>
      </c>
      <c r="Q180" s="36" t="s">
        <v>33</v>
      </c>
      <c r="R180" s="37">
        <v>3388</v>
      </c>
      <c r="S180" s="38">
        <v>123</v>
      </c>
    </row>
    <row r="181" spans="15:19" x14ac:dyDescent="0.25">
      <c r="O181" s="31" t="s">
        <v>5</v>
      </c>
      <c r="P181" s="32" t="s">
        <v>20</v>
      </c>
      <c r="Q181" s="32" t="s">
        <v>38</v>
      </c>
      <c r="R181" s="33">
        <v>623</v>
      </c>
      <c r="S181" s="34">
        <v>51</v>
      </c>
    </row>
    <row r="182" spans="15:19" x14ac:dyDescent="0.25">
      <c r="O182" s="35" t="s">
        <v>16</v>
      </c>
      <c r="P182" s="36" t="s">
        <v>14</v>
      </c>
      <c r="Q182" s="36" t="s">
        <v>12</v>
      </c>
      <c r="R182" s="37">
        <v>10073</v>
      </c>
      <c r="S182" s="38">
        <v>120</v>
      </c>
    </row>
    <row r="183" spans="15:19" x14ac:dyDescent="0.25">
      <c r="O183" s="31" t="s">
        <v>8</v>
      </c>
      <c r="P183" s="32" t="s">
        <v>17</v>
      </c>
      <c r="Q183" s="32" t="s">
        <v>42</v>
      </c>
      <c r="R183" s="33">
        <v>1561</v>
      </c>
      <c r="S183" s="34">
        <v>27</v>
      </c>
    </row>
    <row r="184" spans="15:19" x14ac:dyDescent="0.25">
      <c r="O184" s="35" t="s">
        <v>11</v>
      </c>
      <c r="P184" s="36" t="s">
        <v>14</v>
      </c>
      <c r="Q184" s="36" t="s">
        <v>39</v>
      </c>
      <c r="R184" s="37">
        <v>11522</v>
      </c>
      <c r="S184" s="38">
        <v>204</v>
      </c>
    </row>
    <row r="185" spans="15:19" x14ac:dyDescent="0.25">
      <c r="O185" s="31" t="s">
        <v>16</v>
      </c>
      <c r="P185" s="32" t="s">
        <v>20</v>
      </c>
      <c r="Q185" s="32" t="s">
        <v>31</v>
      </c>
      <c r="R185" s="33">
        <v>2317</v>
      </c>
      <c r="S185" s="34">
        <v>123</v>
      </c>
    </row>
    <row r="186" spans="15:19" x14ac:dyDescent="0.25">
      <c r="O186" s="35" t="s">
        <v>35</v>
      </c>
      <c r="P186" s="36" t="s">
        <v>6</v>
      </c>
      <c r="Q186" s="36" t="s">
        <v>40</v>
      </c>
      <c r="R186" s="37">
        <v>3059</v>
      </c>
      <c r="S186" s="38">
        <v>27</v>
      </c>
    </row>
    <row r="187" spans="15:19" x14ac:dyDescent="0.25">
      <c r="O187" s="31" t="s">
        <v>13</v>
      </c>
      <c r="P187" s="32" t="s">
        <v>6</v>
      </c>
      <c r="Q187" s="32" t="s">
        <v>42</v>
      </c>
      <c r="R187" s="33">
        <v>2324</v>
      </c>
      <c r="S187" s="34">
        <v>177</v>
      </c>
    </row>
    <row r="188" spans="15:19" x14ac:dyDescent="0.25">
      <c r="O188" s="35" t="s">
        <v>27</v>
      </c>
      <c r="P188" s="36" t="s">
        <v>17</v>
      </c>
      <c r="Q188" s="36" t="s">
        <v>42</v>
      </c>
      <c r="R188" s="37">
        <v>4956</v>
      </c>
      <c r="S188" s="38">
        <v>171</v>
      </c>
    </row>
    <row r="189" spans="15:19" x14ac:dyDescent="0.25">
      <c r="O189" s="31" t="s">
        <v>35</v>
      </c>
      <c r="P189" s="32" t="s">
        <v>30</v>
      </c>
      <c r="Q189" s="32" t="s">
        <v>36</v>
      </c>
      <c r="R189" s="33">
        <v>5355</v>
      </c>
      <c r="S189" s="34">
        <v>204</v>
      </c>
    </row>
    <row r="190" spans="15:19" x14ac:dyDescent="0.25">
      <c r="O190" s="35" t="s">
        <v>27</v>
      </c>
      <c r="P190" s="36" t="s">
        <v>30</v>
      </c>
      <c r="Q190" s="36" t="s">
        <v>24</v>
      </c>
      <c r="R190" s="37">
        <v>7259</v>
      </c>
      <c r="S190" s="38">
        <v>276</v>
      </c>
    </row>
    <row r="191" spans="15:19" x14ac:dyDescent="0.25">
      <c r="O191" s="31" t="s">
        <v>8</v>
      </c>
      <c r="P191" s="32" t="s">
        <v>6</v>
      </c>
      <c r="Q191" s="32" t="s">
        <v>42</v>
      </c>
      <c r="R191" s="33">
        <v>6279</v>
      </c>
      <c r="S191" s="34">
        <v>45</v>
      </c>
    </row>
    <row r="192" spans="15:19" x14ac:dyDescent="0.25">
      <c r="O192" s="35" t="s">
        <v>5</v>
      </c>
      <c r="P192" s="36" t="s">
        <v>20</v>
      </c>
      <c r="Q192" s="36" t="s">
        <v>32</v>
      </c>
      <c r="R192" s="37">
        <v>2541</v>
      </c>
      <c r="S192" s="38">
        <v>45</v>
      </c>
    </row>
    <row r="193" spans="15:19" x14ac:dyDescent="0.25">
      <c r="O193" s="31" t="s">
        <v>16</v>
      </c>
      <c r="P193" s="32" t="s">
        <v>9</v>
      </c>
      <c r="Q193" s="32" t="s">
        <v>39</v>
      </c>
      <c r="R193" s="33">
        <v>3864</v>
      </c>
      <c r="S193" s="34">
        <v>177</v>
      </c>
    </row>
    <row r="194" spans="15:19" x14ac:dyDescent="0.25">
      <c r="O194" s="35" t="s">
        <v>25</v>
      </c>
      <c r="P194" s="36" t="s">
        <v>14</v>
      </c>
      <c r="Q194" s="36" t="s">
        <v>31</v>
      </c>
      <c r="R194" s="37">
        <v>6146</v>
      </c>
      <c r="S194" s="38">
        <v>63</v>
      </c>
    </row>
    <row r="195" spans="15:19" x14ac:dyDescent="0.25">
      <c r="O195" s="31" t="s">
        <v>11</v>
      </c>
      <c r="P195" s="32" t="s">
        <v>17</v>
      </c>
      <c r="Q195" s="32" t="s">
        <v>15</v>
      </c>
      <c r="R195" s="33">
        <v>2639</v>
      </c>
      <c r="S195" s="34">
        <v>204</v>
      </c>
    </row>
    <row r="196" spans="15:19" x14ac:dyDescent="0.25">
      <c r="O196" s="35" t="s">
        <v>8</v>
      </c>
      <c r="P196" s="36" t="s">
        <v>6</v>
      </c>
      <c r="Q196" s="36" t="s">
        <v>22</v>
      </c>
      <c r="R196" s="37">
        <v>1890</v>
      </c>
      <c r="S196" s="38">
        <v>195</v>
      </c>
    </row>
    <row r="197" spans="15:19" x14ac:dyDescent="0.25">
      <c r="O197" s="31" t="s">
        <v>23</v>
      </c>
      <c r="P197" s="32" t="s">
        <v>30</v>
      </c>
      <c r="Q197" s="32" t="s">
        <v>24</v>
      </c>
      <c r="R197" s="33">
        <v>1932</v>
      </c>
      <c r="S197" s="34">
        <v>369</v>
      </c>
    </row>
    <row r="198" spans="15:19" x14ac:dyDescent="0.25">
      <c r="O198" s="35" t="s">
        <v>27</v>
      </c>
      <c r="P198" s="36" t="s">
        <v>30</v>
      </c>
      <c r="Q198" s="36" t="s">
        <v>18</v>
      </c>
      <c r="R198" s="37">
        <v>6300</v>
      </c>
      <c r="S198" s="38">
        <v>42</v>
      </c>
    </row>
    <row r="199" spans="15:19" x14ac:dyDescent="0.25">
      <c r="O199" s="31" t="s">
        <v>16</v>
      </c>
      <c r="P199" s="32" t="s">
        <v>6</v>
      </c>
      <c r="Q199" s="32" t="s">
        <v>7</v>
      </c>
      <c r="R199" s="33">
        <v>560</v>
      </c>
      <c r="S199" s="34">
        <v>81</v>
      </c>
    </row>
    <row r="200" spans="15:19" x14ac:dyDescent="0.25">
      <c r="O200" s="35" t="s">
        <v>11</v>
      </c>
      <c r="P200" s="36" t="s">
        <v>6</v>
      </c>
      <c r="Q200" s="36" t="s">
        <v>42</v>
      </c>
      <c r="R200" s="37">
        <v>2856</v>
      </c>
      <c r="S200" s="38">
        <v>246</v>
      </c>
    </row>
    <row r="201" spans="15:19" x14ac:dyDescent="0.25">
      <c r="O201" s="31" t="s">
        <v>11</v>
      </c>
      <c r="P201" s="32" t="s">
        <v>30</v>
      </c>
      <c r="Q201" s="32" t="s">
        <v>28</v>
      </c>
      <c r="R201" s="33">
        <v>707</v>
      </c>
      <c r="S201" s="34">
        <v>174</v>
      </c>
    </row>
    <row r="202" spans="15:19" x14ac:dyDescent="0.25">
      <c r="O202" s="35" t="s">
        <v>8</v>
      </c>
      <c r="P202" s="36" t="s">
        <v>9</v>
      </c>
      <c r="Q202" s="36" t="s">
        <v>7</v>
      </c>
      <c r="R202" s="37">
        <v>3598</v>
      </c>
      <c r="S202" s="38">
        <v>81</v>
      </c>
    </row>
    <row r="203" spans="15:19" x14ac:dyDescent="0.25">
      <c r="O203" s="31" t="s">
        <v>5</v>
      </c>
      <c r="P203" s="32" t="s">
        <v>9</v>
      </c>
      <c r="Q203" s="32" t="s">
        <v>22</v>
      </c>
      <c r="R203" s="33">
        <v>6853</v>
      </c>
      <c r="S203" s="34">
        <v>372</v>
      </c>
    </row>
    <row r="204" spans="15:19" x14ac:dyDescent="0.25">
      <c r="O204" s="35" t="s">
        <v>5</v>
      </c>
      <c r="P204" s="36" t="s">
        <v>9</v>
      </c>
      <c r="Q204" s="36" t="s">
        <v>29</v>
      </c>
      <c r="R204" s="37">
        <v>4725</v>
      </c>
      <c r="S204" s="38">
        <v>174</v>
      </c>
    </row>
    <row r="205" spans="15:19" x14ac:dyDescent="0.25">
      <c r="O205" s="31" t="s">
        <v>13</v>
      </c>
      <c r="P205" s="32" t="s">
        <v>14</v>
      </c>
      <c r="Q205" s="32" t="s">
        <v>10</v>
      </c>
      <c r="R205" s="33">
        <v>10304</v>
      </c>
      <c r="S205" s="34">
        <v>84</v>
      </c>
    </row>
    <row r="206" spans="15:19" x14ac:dyDescent="0.25">
      <c r="O206" s="35" t="s">
        <v>13</v>
      </c>
      <c r="P206" s="36" t="s">
        <v>30</v>
      </c>
      <c r="Q206" s="36" t="s">
        <v>29</v>
      </c>
      <c r="R206" s="37">
        <v>1274</v>
      </c>
      <c r="S206" s="38">
        <v>225</v>
      </c>
    </row>
    <row r="207" spans="15:19" x14ac:dyDescent="0.25">
      <c r="O207" s="31" t="s">
        <v>25</v>
      </c>
      <c r="P207" s="32" t="s">
        <v>14</v>
      </c>
      <c r="Q207" s="32" t="s">
        <v>7</v>
      </c>
      <c r="R207" s="33">
        <v>1526</v>
      </c>
      <c r="S207" s="34">
        <v>105</v>
      </c>
    </row>
    <row r="208" spans="15:19" x14ac:dyDescent="0.25">
      <c r="O208" s="35" t="s">
        <v>5</v>
      </c>
      <c r="P208" s="36" t="s">
        <v>17</v>
      </c>
      <c r="Q208" s="36" t="s">
        <v>40</v>
      </c>
      <c r="R208" s="37">
        <v>3101</v>
      </c>
      <c r="S208" s="38">
        <v>225</v>
      </c>
    </row>
    <row r="209" spans="15:19" x14ac:dyDescent="0.25">
      <c r="O209" s="31" t="s">
        <v>26</v>
      </c>
      <c r="P209" s="32" t="s">
        <v>6</v>
      </c>
      <c r="Q209" s="32" t="s">
        <v>24</v>
      </c>
      <c r="R209" s="33">
        <v>1057</v>
      </c>
      <c r="S209" s="34">
        <v>54</v>
      </c>
    </row>
    <row r="210" spans="15:19" x14ac:dyDescent="0.25">
      <c r="O210" s="35" t="s">
        <v>23</v>
      </c>
      <c r="P210" s="36" t="s">
        <v>6</v>
      </c>
      <c r="Q210" s="36" t="s">
        <v>42</v>
      </c>
      <c r="R210" s="37">
        <v>5306</v>
      </c>
      <c r="S210" s="38">
        <v>0</v>
      </c>
    </row>
    <row r="211" spans="15:19" x14ac:dyDescent="0.25">
      <c r="O211" s="31" t="s">
        <v>25</v>
      </c>
      <c r="P211" s="32" t="s">
        <v>17</v>
      </c>
      <c r="Q211" s="32" t="s">
        <v>38</v>
      </c>
      <c r="R211" s="33">
        <v>4018</v>
      </c>
      <c r="S211" s="34">
        <v>171</v>
      </c>
    </row>
    <row r="212" spans="15:19" x14ac:dyDescent="0.25">
      <c r="O212" s="35" t="s">
        <v>11</v>
      </c>
      <c r="P212" s="36" t="s">
        <v>30</v>
      </c>
      <c r="Q212" s="36" t="s">
        <v>29</v>
      </c>
      <c r="R212" s="37">
        <v>938</v>
      </c>
      <c r="S212" s="38">
        <v>189</v>
      </c>
    </row>
    <row r="213" spans="15:19" x14ac:dyDescent="0.25">
      <c r="O213" s="31" t="s">
        <v>23</v>
      </c>
      <c r="P213" s="32" t="s">
        <v>20</v>
      </c>
      <c r="Q213" s="32" t="s">
        <v>15</v>
      </c>
      <c r="R213" s="33">
        <v>1778</v>
      </c>
      <c r="S213" s="34">
        <v>270</v>
      </c>
    </row>
    <row r="214" spans="15:19" x14ac:dyDescent="0.25">
      <c r="O214" s="35" t="s">
        <v>16</v>
      </c>
      <c r="P214" s="36" t="s">
        <v>17</v>
      </c>
      <c r="Q214" s="36" t="s">
        <v>7</v>
      </c>
      <c r="R214" s="37">
        <v>1638</v>
      </c>
      <c r="S214" s="38">
        <v>63</v>
      </c>
    </row>
    <row r="215" spans="15:19" x14ac:dyDescent="0.25">
      <c r="O215" s="31" t="s">
        <v>13</v>
      </c>
      <c r="P215" s="32" t="s">
        <v>20</v>
      </c>
      <c r="Q215" s="32" t="s">
        <v>18</v>
      </c>
      <c r="R215" s="33">
        <v>154</v>
      </c>
      <c r="S215" s="34">
        <v>21</v>
      </c>
    </row>
    <row r="216" spans="15:19" x14ac:dyDescent="0.25">
      <c r="O216" s="35" t="s">
        <v>23</v>
      </c>
      <c r="P216" s="36" t="s">
        <v>6</v>
      </c>
      <c r="Q216" s="36" t="s">
        <v>22</v>
      </c>
      <c r="R216" s="37">
        <v>9835</v>
      </c>
      <c r="S216" s="38">
        <v>207</v>
      </c>
    </row>
    <row r="217" spans="15:19" x14ac:dyDescent="0.25">
      <c r="O217" s="31" t="s">
        <v>11</v>
      </c>
      <c r="P217" s="32" t="s">
        <v>6</v>
      </c>
      <c r="Q217" s="32" t="s">
        <v>33</v>
      </c>
      <c r="R217" s="33">
        <v>7273</v>
      </c>
      <c r="S217" s="34">
        <v>96</v>
      </c>
    </row>
    <row r="218" spans="15:19" x14ac:dyDescent="0.25">
      <c r="O218" s="35" t="s">
        <v>25</v>
      </c>
      <c r="P218" s="36" t="s">
        <v>17</v>
      </c>
      <c r="Q218" s="36" t="s">
        <v>22</v>
      </c>
      <c r="R218" s="37">
        <v>6909</v>
      </c>
      <c r="S218" s="38">
        <v>81</v>
      </c>
    </row>
    <row r="219" spans="15:19" x14ac:dyDescent="0.25">
      <c r="O219" s="31" t="s">
        <v>11</v>
      </c>
      <c r="P219" s="32" t="s">
        <v>17</v>
      </c>
      <c r="Q219" s="32" t="s">
        <v>38</v>
      </c>
      <c r="R219" s="33">
        <v>3920</v>
      </c>
      <c r="S219" s="34">
        <v>306</v>
      </c>
    </row>
    <row r="220" spans="15:19" x14ac:dyDescent="0.25">
      <c r="O220" s="35" t="s">
        <v>35</v>
      </c>
      <c r="P220" s="36" t="s">
        <v>17</v>
      </c>
      <c r="Q220" s="36" t="s">
        <v>41</v>
      </c>
      <c r="R220" s="37">
        <v>4858</v>
      </c>
      <c r="S220" s="38">
        <v>279</v>
      </c>
    </row>
    <row r="221" spans="15:19" x14ac:dyDescent="0.25">
      <c r="O221" s="31" t="s">
        <v>26</v>
      </c>
      <c r="P221" s="32" t="s">
        <v>20</v>
      </c>
      <c r="Q221" s="32" t="s">
        <v>12</v>
      </c>
      <c r="R221" s="33">
        <v>3549</v>
      </c>
      <c r="S221" s="34">
        <v>3</v>
      </c>
    </row>
    <row r="222" spans="15:19" x14ac:dyDescent="0.25">
      <c r="O222" s="35" t="s">
        <v>23</v>
      </c>
      <c r="P222" s="36" t="s">
        <v>17</v>
      </c>
      <c r="Q222" s="36" t="s">
        <v>39</v>
      </c>
      <c r="R222" s="37">
        <v>966</v>
      </c>
      <c r="S222" s="38">
        <v>198</v>
      </c>
    </row>
    <row r="223" spans="15:19" x14ac:dyDescent="0.25">
      <c r="O223" s="31" t="s">
        <v>25</v>
      </c>
      <c r="P223" s="32" t="s">
        <v>17</v>
      </c>
      <c r="Q223" s="32" t="s">
        <v>15</v>
      </c>
      <c r="R223" s="33">
        <v>385</v>
      </c>
      <c r="S223" s="34">
        <v>249</v>
      </c>
    </row>
    <row r="224" spans="15:19" x14ac:dyDescent="0.25">
      <c r="O224" s="35" t="s">
        <v>16</v>
      </c>
      <c r="P224" s="36" t="s">
        <v>30</v>
      </c>
      <c r="Q224" s="36" t="s">
        <v>29</v>
      </c>
      <c r="R224" s="37">
        <v>2219</v>
      </c>
      <c r="S224" s="38">
        <v>75</v>
      </c>
    </row>
    <row r="225" spans="15:19" x14ac:dyDescent="0.25">
      <c r="O225" s="31" t="s">
        <v>11</v>
      </c>
      <c r="P225" s="32" t="s">
        <v>14</v>
      </c>
      <c r="Q225" s="32" t="s">
        <v>10</v>
      </c>
      <c r="R225" s="33">
        <v>2954</v>
      </c>
      <c r="S225" s="34">
        <v>189</v>
      </c>
    </row>
    <row r="226" spans="15:19" x14ac:dyDescent="0.25">
      <c r="O226" s="35" t="s">
        <v>23</v>
      </c>
      <c r="P226" s="36" t="s">
        <v>14</v>
      </c>
      <c r="Q226" s="36" t="s">
        <v>10</v>
      </c>
      <c r="R226" s="37">
        <v>280</v>
      </c>
      <c r="S226" s="38">
        <v>87</v>
      </c>
    </row>
    <row r="227" spans="15:19" x14ac:dyDescent="0.25">
      <c r="O227" s="31" t="s">
        <v>13</v>
      </c>
      <c r="P227" s="32" t="s">
        <v>14</v>
      </c>
      <c r="Q227" s="32" t="s">
        <v>7</v>
      </c>
      <c r="R227" s="33">
        <v>6118</v>
      </c>
      <c r="S227" s="34">
        <v>174</v>
      </c>
    </row>
    <row r="228" spans="15:19" x14ac:dyDescent="0.25">
      <c r="O228" s="35" t="s">
        <v>26</v>
      </c>
      <c r="P228" s="36" t="s">
        <v>17</v>
      </c>
      <c r="Q228" s="36" t="s">
        <v>37</v>
      </c>
      <c r="R228" s="37">
        <v>4802</v>
      </c>
      <c r="S228" s="38">
        <v>36</v>
      </c>
    </row>
    <row r="229" spans="15:19" x14ac:dyDescent="0.25">
      <c r="O229" s="31" t="s">
        <v>11</v>
      </c>
      <c r="P229" s="32" t="s">
        <v>20</v>
      </c>
      <c r="Q229" s="32" t="s">
        <v>38</v>
      </c>
      <c r="R229" s="33">
        <v>4137</v>
      </c>
      <c r="S229" s="34">
        <v>60</v>
      </c>
    </row>
    <row r="230" spans="15:19" x14ac:dyDescent="0.25">
      <c r="O230" s="35" t="s">
        <v>27</v>
      </c>
      <c r="P230" s="36" t="s">
        <v>9</v>
      </c>
      <c r="Q230" s="36" t="s">
        <v>34</v>
      </c>
      <c r="R230" s="37">
        <v>2023</v>
      </c>
      <c r="S230" s="38">
        <v>78</v>
      </c>
    </row>
    <row r="231" spans="15:19" x14ac:dyDescent="0.25">
      <c r="O231" s="31" t="s">
        <v>11</v>
      </c>
      <c r="P231" s="32" t="s">
        <v>14</v>
      </c>
      <c r="Q231" s="32" t="s">
        <v>7</v>
      </c>
      <c r="R231" s="33">
        <v>9051</v>
      </c>
      <c r="S231" s="34">
        <v>57</v>
      </c>
    </row>
    <row r="232" spans="15:19" x14ac:dyDescent="0.25">
      <c r="O232" s="35" t="s">
        <v>11</v>
      </c>
      <c r="P232" s="36" t="s">
        <v>6</v>
      </c>
      <c r="Q232" s="36" t="s">
        <v>40</v>
      </c>
      <c r="R232" s="37">
        <v>2919</v>
      </c>
      <c r="S232" s="38">
        <v>45</v>
      </c>
    </row>
    <row r="233" spans="15:19" x14ac:dyDescent="0.25">
      <c r="O233" s="31" t="s">
        <v>13</v>
      </c>
      <c r="P233" s="32" t="s">
        <v>20</v>
      </c>
      <c r="Q233" s="32" t="s">
        <v>22</v>
      </c>
      <c r="R233" s="33">
        <v>5915</v>
      </c>
      <c r="S233" s="34">
        <v>3</v>
      </c>
    </row>
    <row r="234" spans="15:19" x14ac:dyDescent="0.25">
      <c r="O234" s="35" t="s">
        <v>35</v>
      </c>
      <c r="P234" s="36" t="s">
        <v>9</v>
      </c>
      <c r="Q234" s="36" t="s">
        <v>37</v>
      </c>
      <c r="R234" s="37">
        <v>2562</v>
      </c>
      <c r="S234" s="38">
        <v>6</v>
      </c>
    </row>
    <row r="235" spans="15:19" x14ac:dyDescent="0.25">
      <c r="O235" s="31" t="s">
        <v>25</v>
      </c>
      <c r="P235" s="32" t="s">
        <v>6</v>
      </c>
      <c r="Q235" s="32" t="s">
        <v>18</v>
      </c>
      <c r="R235" s="33">
        <v>8813</v>
      </c>
      <c r="S235" s="34">
        <v>21</v>
      </c>
    </row>
    <row r="236" spans="15:19" x14ac:dyDescent="0.25">
      <c r="O236" s="35" t="s">
        <v>25</v>
      </c>
      <c r="P236" s="36" t="s">
        <v>14</v>
      </c>
      <c r="Q236" s="36" t="s">
        <v>15</v>
      </c>
      <c r="R236" s="37">
        <v>6111</v>
      </c>
      <c r="S236" s="38">
        <v>3</v>
      </c>
    </row>
    <row r="237" spans="15:19" x14ac:dyDescent="0.25">
      <c r="O237" s="31" t="s">
        <v>8</v>
      </c>
      <c r="P237" s="32" t="s">
        <v>30</v>
      </c>
      <c r="Q237" s="32" t="s">
        <v>21</v>
      </c>
      <c r="R237" s="33">
        <v>3507</v>
      </c>
      <c r="S237" s="34">
        <v>288</v>
      </c>
    </row>
    <row r="238" spans="15:19" x14ac:dyDescent="0.25">
      <c r="O238" s="35" t="s">
        <v>16</v>
      </c>
      <c r="P238" s="36" t="s">
        <v>14</v>
      </c>
      <c r="Q238" s="36" t="s">
        <v>31</v>
      </c>
      <c r="R238" s="37">
        <v>4319</v>
      </c>
      <c r="S238" s="38">
        <v>30</v>
      </c>
    </row>
    <row r="239" spans="15:19" x14ac:dyDescent="0.25">
      <c r="O239" s="31" t="s">
        <v>5</v>
      </c>
      <c r="P239" s="32" t="s">
        <v>20</v>
      </c>
      <c r="Q239" s="32" t="s">
        <v>42</v>
      </c>
      <c r="R239" s="33">
        <v>609</v>
      </c>
      <c r="S239" s="34">
        <v>87</v>
      </c>
    </row>
    <row r="240" spans="15:19" x14ac:dyDescent="0.25">
      <c r="O240" s="35" t="s">
        <v>5</v>
      </c>
      <c r="P240" s="36" t="s">
        <v>17</v>
      </c>
      <c r="Q240" s="36" t="s">
        <v>39</v>
      </c>
      <c r="R240" s="37">
        <v>6370</v>
      </c>
      <c r="S240" s="38">
        <v>30</v>
      </c>
    </row>
    <row r="241" spans="15:19" x14ac:dyDescent="0.25">
      <c r="O241" s="31" t="s">
        <v>25</v>
      </c>
      <c r="P241" s="32" t="s">
        <v>20</v>
      </c>
      <c r="Q241" s="32" t="s">
        <v>36</v>
      </c>
      <c r="R241" s="33">
        <v>5474</v>
      </c>
      <c r="S241" s="34">
        <v>168</v>
      </c>
    </row>
    <row r="242" spans="15:19" x14ac:dyDescent="0.25">
      <c r="O242" s="35" t="s">
        <v>5</v>
      </c>
      <c r="P242" s="36" t="s">
        <v>14</v>
      </c>
      <c r="Q242" s="36" t="s">
        <v>39</v>
      </c>
      <c r="R242" s="37">
        <v>3164</v>
      </c>
      <c r="S242" s="38">
        <v>306</v>
      </c>
    </row>
    <row r="243" spans="15:19" x14ac:dyDescent="0.25">
      <c r="O243" s="31" t="s">
        <v>16</v>
      </c>
      <c r="P243" s="32" t="s">
        <v>9</v>
      </c>
      <c r="Q243" s="32" t="s">
        <v>12</v>
      </c>
      <c r="R243" s="33">
        <v>1302</v>
      </c>
      <c r="S243" s="34">
        <v>402</v>
      </c>
    </row>
    <row r="244" spans="15:19" x14ac:dyDescent="0.25">
      <c r="O244" s="35" t="s">
        <v>27</v>
      </c>
      <c r="P244" s="36" t="s">
        <v>6</v>
      </c>
      <c r="Q244" s="36" t="s">
        <v>40</v>
      </c>
      <c r="R244" s="37">
        <v>7308</v>
      </c>
      <c r="S244" s="38">
        <v>327</v>
      </c>
    </row>
    <row r="245" spans="15:19" x14ac:dyDescent="0.25">
      <c r="O245" s="31" t="s">
        <v>5</v>
      </c>
      <c r="P245" s="32" t="s">
        <v>6</v>
      </c>
      <c r="Q245" s="32" t="s">
        <v>39</v>
      </c>
      <c r="R245" s="33">
        <v>6132</v>
      </c>
      <c r="S245" s="34">
        <v>93</v>
      </c>
    </row>
    <row r="246" spans="15:19" x14ac:dyDescent="0.25">
      <c r="O246" s="35" t="s">
        <v>35</v>
      </c>
      <c r="P246" s="36" t="s">
        <v>9</v>
      </c>
      <c r="Q246" s="36" t="s">
        <v>24</v>
      </c>
      <c r="R246" s="37">
        <v>3472</v>
      </c>
      <c r="S246" s="38">
        <v>96</v>
      </c>
    </row>
    <row r="247" spans="15:19" x14ac:dyDescent="0.25">
      <c r="O247" s="31" t="s">
        <v>8</v>
      </c>
      <c r="P247" s="32" t="s">
        <v>17</v>
      </c>
      <c r="Q247" s="32" t="s">
        <v>15</v>
      </c>
      <c r="R247" s="33">
        <v>9660</v>
      </c>
      <c r="S247" s="34">
        <v>27</v>
      </c>
    </row>
    <row r="248" spans="15:19" x14ac:dyDescent="0.25">
      <c r="O248" s="35" t="s">
        <v>11</v>
      </c>
      <c r="P248" s="36" t="s">
        <v>20</v>
      </c>
      <c r="Q248" s="36" t="s">
        <v>42</v>
      </c>
      <c r="R248" s="37">
        <v>2436</v>
      </c>
      <c r="S248" s="38">
        <v>99</v>
      </c>
    </row>
    <row r="249" spans="15:19" x14ac:dyDescent="0.25">
      <c r="O249" s="31" t="s">
        <v>11</v>
      </c>
      <c r="P249" s="32" t="s">
        <v>20</v>
      </c>
      <c r="Q249" s="32" t="s">
        <v>19</v>
      </c>
      <c r="R249" s="33">
        <v>9506</v>
      </c>
      <c r="S249" s="34">
        <v>87</v>
      </c>
    </row>
    <row r="250" spans="15:19" x14ac:dyDescent="0.25">
      <c r="O250" s="35" t="s">
        <v>35</v>
      </c>
      <c r="P250" s="36" t="s">
        <v>6</v>
      </c>
      <c r="Q250" s="36" t="s">
        <v>41</v>
      </c>
      <c r="R250" s="37">
        <v>245</v>
      </c>
      <c r="S250" s="38">
        <v>288</v>
      </c>
    </row>
    <row r="251" spans="15:19" x14ac:dyDescent="0.25">
      <c r="O251" s="31" t="s">
        <v>8</v>
      </c>
      <c r="P251" s="32" t="s">
        <v>9</v>
      </c>
      <c r="Q251" s="32" t="s">
        <v>33</v>
      </c>
      <c r="R251" s="33">
        <v>2702</v>
      </c>
      <c r="S251" s="34">
        <v>363</v>
      </c>
    </row>
    <row r="252" spans="15:19" x14ac:dyDescent="0.25">
      <c r="O252" s="35" t="s">
        <v>35</v>
      </c>
      <c r="P252" s="36" t="s">
        <v>30</v>
      </c>
      <c r="Q252" s="36" t="s">
        <v>28</v>
      </c>
      <c r="R252" s="37">
        <v>700</v>
      </c>
      <c r="S252" s="38">
        <v>87</v>
      </c>
    </row>
    <row r="253" spans="15:19" x14ac:dyDescent="0.25">
      <c r="O253" s="31" t="s">
        <v>16</v>
      </c>
      <c r="P253" s="32" t="s">
        <v>30</v>
      </c>
      <c r="Q253" s="32" t="s">
        <v>28</v>
      </c>
      <c r="R253" s="33">
        <v>3759</v>
      </c>
      <c r="S253" s="34">
        <v>150</v>
      </c>
    </row>
    <row r="254" spans="15:19" x14ac:dyDescent="0.25">
      <c r="O254" s="35" t="s">
        <v>26</v>
      </c>
      <c r="P254" s="36" t="s">
        <v>9</v>
      </c>
      <c r="Q254" s="36" t="s">
        <v>28</v>
      </c>
      <c r="R254" s="37">
        <v>1589</v>
      </c>
      <c r="S254" s="38">
        <v>303</v>
      </c>
    </row>
    <row r="255" spans="15:19" x14ac:dyDescent="0.25">
      <c r="O255" s="31" t="s">
        <v>23</v>
      </c>
      <c r="P255" s="32" t="s">
        <v>9</v>
      </c>
      <c r="Q255" s="32" t="s">
        <v>40</v>
      </c>
      <c r="R255" s="33">
        <v>5194</v>
      </c>
      <c r="S255" s="34">
        <v>288</v>
      </c>
    </row>
    <row r="256" spans="15:19" x14ac:dyDescent="0.25">
      <c r="O256" s="35" t="s">
        <v>35</v>
      </c>
      <c r="P256" s="36" t="s">
        <v>14</v>
      </c>
      <c r="Q256" s="36" t="s">
        <v>31</v>
      </c>
      <c r="R256" s="37">
        <v>945</v>
      </c>
      <c r="S256" s="38">
        <v>75</v>
      </c>
    </row>
    <row r="257" spans="15:19" x14ac:dyDescent="0.25">
      <c r="O257" s="31" t="s">
        <v>5</v>
      </c>
      <c r="P257" s="32" t="s">
        <v>20</v>
      </c>
      <c r="Q257" s="32" t="s">
        <v>21</v>
      </c>
      <c r="R257" s="33">
        <v>1988</v>
      </c>
      <c r="S257" s="34">
        <v>39</v>
      </c>
    </row>
    <row r="258" spans="15:19" x14ac:dyDescent="0.25">
      <c r="O258" s="35" t="s">
        <v>16</v>
      </c>
      <c r="P258" s="36" t="s">
        <v>30</v>
      </c>
      <c r="Q258" s="36" t="s">
        <v>10</v>
      </c>
      <c r="R258" s="37">
        <v>6734</v>
      </c>
      <c r="S258" s="38">
        <v>123</v>
      </c>
    </row>
    <row r="259" spans="15:19" x14ac:dyDescent="0.25">
      <c r="O259" s="31" t="s">
        <v>5</v>
      </c>
      <c r="P259" s="32" t="s">
        <v>14</v>
      </c>
      <c r="Q259" s="32" t="s">
        <v>12</v>
      </c>
      <c r="R259" s="33">
        <v>217</v>
      </c>
      <c r="S259" s="34">
        <v>36</v>
      </c>
    </row>
    <row r="260" spans="15:19" x14ac:dyDescent="0.25">
      <c r="O260" s="35" t="s">
        <v>25</v>
      </c>
      <c r="P260" s="36" t="s">
        <v>30</v>
      </c>
      <c r="Q260" s="36" t="s">
        <v>22</v>
      </c>
      <c r="R260" s="37">
        <v>6279</v>
      </c>
      <c r="S260" s="38">
        <v>237</v>
      </c>
    </row>
    <row r="261" spans="15:19" x14ac:dyDescent="0.25">
      <c r="O261" s="31" t="s">
        <v>5</v>
      </c>
      <c r="P261" s="32" t="s">
        <v>14</v>
      </c>
      <c r="Q261" s="32" t="s">
        <v>31</v>
      </c>
      <c r="R261" s="33">
        <v>4424</v>
      </c>
      <c r="S261" s="34">
        <v>201</v>
      </c>
    </row>
    <row r="262" spans="15:19" x14ac:dyDescent="0.25">
      <c r="O262" s="35" t="s">
        <v>26</v>
      </c>
      <c r="P262" s="36" t="s">
        <v>14</v>
      </c>
      <c r="Q262" s="36" t="s">
        <v>28</v>
      </c>
      <c r="R262" s="37">
        <v>189</v>
      </c>
      <c r="S262" s="38">
        <v>48</v>
      </c>
    </row>
    <row r="263" spans="15:19" x14ac:dyDescent="0.25">
      <c r="O263" s="31" t="s">
        <v>25</v>
      </c>
      <c r="P263" s="32" t="s">
        <v>9</v>
      </c>
      <c r="Q263" s="32" t="s">
        <v>22</v>
      </c>
      <c r="R263" s="33">
        <v>490</v>
      </c>
      <c r="S263" s="34">
        <v>84</v>
      </c>
    </row>
    <row r="264" spans="15:19" x14ac:dyDescent="0.25">
      <c r="O264" s="35" t="s">
        <v>8</v>
      </c>
      <c r="P264" s="36" t="s">
        <v>6</v>
      </c>
      <c r="Q264" s="36" t="s">
        <v>41</v>
      </c>
      <c r="R264" s="37">
        <v>434</v>
      </c>
      <c r="S264" s="38">
        <v>87</v>
      </c>
    </row>
    <row r="265" spans="15:19" x14ac:dyDescent="0.25">
      <c r="O265" s="31" t="s">
        <v>23</v>
      </c>
      <c r="P265" s="32" t="s">
        <v>20</v>
      </c>
      <c r="Q265" s="32" t="s">
        <v>7</v>
      </c>
      <c r="R265" s="33">
        <v>10129</v>
      </c>
      <c r="S265" s="34">
        <v>312</v>
      </c>
    </row>
    <row r="266" spans="15:19" x14ac:dyDescent="0.25">
      <c r="O266" s="35" t="s">
        <v>27</v>
      </c>
      <c r="P266" s="36" t="s">
        <v>17</v>
      </c>
      <c r="Q266" s="36" t="s">
        <v>40</v>
      </c>
      <c r="R266" s="37">
        <v>1652</v>
      </c>
      <c r="S266" s="38">
        <v>102</v>
      </c>
    </row>
    <row r="267" spans="15:19" x14ac:dyDescent="0.25">
      <c r="O267" s="31" t="s">
        <v>8</v>
      </c>
      <c r="P267" s="32" t="s">
        <v>20</v>
      </c>
      <c r="Q267" s="32" t="s">
        <v>41</v>
      </c>
      <c r="R267" s="33">
        <v>6433</v>
      </c>
      <c r="S267" s="34">
        <v>78</v>
      </c>
    </row>
    <row r="268" spans="15:19" x14ac:dyDescent="0.25">
      <c r="O268" s="35" t="s">
        <v>27</v>
      </c>
      <c r="P268" s="36" t="s">
        <v>30</v>
      </c>
      <c r="Q268" s="36" t="s">
        <v>34</v>
      </c>
      <c r="R268" s="37">
        <v>2212</v>
      </c>
      <c r="S268" s="38">
        <v>117</v>
      </c>
    </row>
    <row r="269" spans="15:19" x14ac:dyDescent="0.25">
      <c r="O269" s="31" t="s">
        <v>13</v>
      </c>
      <c r="P269" s="32" t="s">
        <v>9</v>
      </c>
      <c r="Q269" s="32" t="s">
        <v>36</v>
      </c>
      <c r="R269" s="33">
        <v>609</v>
      </c>
      <c r="S269" s="34">
        <v>99</v>
      </c>
    </row>
    <row r="270" spans="15:19" x14ac:dyDescent="0.25">
      <c r="O270" s="35" t="s">
        <v>5</v>
      </c>
      <c r="P270" s="36" t="s">
        <v>9</v>
      </c>
      <c r="Q270" s="36" t="s">
        <v>38</v>
      </c>
      <c r="R270" s="37">
        <v>1638</v>
      </c>
      <c r="S270" s="38">
        <v>48</v>
      </c>
    </row>
    <row r="271" spans="15:19" x14ac:dyDescent="0.25">
      <c r="O271" s="31" t="s">
        <v>23</v>
      </c>
      <c r="P271" s="32" t="s">
        <v>30</v>
      </c>
      <c r="Q271" s="32" t="s">
        <v>37</v>
      </c>
      <c r="R271" s="33">
        <v>3829</v>
      </c>
      <c r="S271" s="34">
        <v>24</v>
      </c>
    </row>
    <row r="272" spans="15:19" x14ac:dyDescent="0.25">
      <c r="O272" s="35" t="s">
        <v>5</v>
      </c>
      <c r="P272" s="36" t="s">
        <v>17</v>
      </c>
      <c r="Q272" s="36" t="s">
        <v>37</v>
      </c>
      <c r="R272" s="37">
        <v>5775</v>
      </c>
      <c r="S272" s="38">
        <v>42</v>
      </c>
    </row>
    <row r="273" spans="15:19" x14ac:dyDescent="0.25">
      <c r="O273" s="31" t="s">
        <v>16</v>
      </c>
      <c r="P273" s="32" t="s">
        <v>9</v>
      </c>
      <c r="Q273" s="32" t="s">
        <v>33</v>
      </c>
      <c r="R273" s="33">
        <v>1071</v>
      </c>
      <c r="S273" s="34">
        <v>270</v>
      </c>
    </row>
    <row r="274" spans="15:19" x14ac:dyDescent="0.25">
      <c r="O274" s="35" t="s">
        <v>8</v>
      </c>
      <c r="P274" s="36" t="s">
        <v>14</v>
      </c>
      <c r="Q274" s="36" t="s">
        <v>34</v>
      </c>
      <c r="R274" s="37">
        <v>5019</v>
      </c>
      <c r="S274" s="38">
        <v>150</v>
      </c>
    </row>
    <row r="275" spans="15:19" x14ac:dyDescent="0.25">
      <c r="O275" s="31" t="s">
        <v>26</v>
      </c>
      <c r="P275" s="32" t="s">
        <v>6</v>
      </c>
      <c r="Q275" s="32" t="s">
        <v>37</v>
      </c>
      <c r="R275" s="33">
        <v>2863</v>
      </c>
      <c r="S275" s="34">
        <v>42</v>
      </c>
    </row>
    <row r="276" spans="15:19" x14ac:dyDescent="0.25">
      <c r="O276" s="35" t="s">
        <v>5</v>
      </c>
      <c r="P276" s="36" t="s">
        <v>9</v>
      </c>
      <c r="Q276" s="36" t="s">
        <v>32</v>
      </c>
      <c r="R276" s="37">
        <v>1617</v>
      </c>
      <c r="S276" s="38">
        <v>126</v>
      </c>
    </row>
    <row r="277" spans="15:19" x14ac:dyDescent="0.25">
      <c r="O277" s="31" t="s">
        <v>16</v>
      </c>
      <c r="P277" s="32" t="s">
        <v>6</v>
      </c>
      <c r="Q277" s="32" t="s">
        <v>42</v>
      </c>
      <c r="R277" s="33">
        <v>6818</v>
      </c>
      <c r="S277" s="34">
        <v>6</v>
      </c>
    </row>
    <row r="278" spans="15:19" x14ac:dyDescent="0.25">
      <c r="O278" s="35" t="s">
        <v>27</v>
      </c>
      <c r="P278" s="36" t="s">
        <v>9</v>
      </c>
      <c r="Q278" s="36" t="s">
        <v>37</v>
      </c>
      <c r="R278" s="37">
        <v>6657</v>
      </c>
      <c r="S278" s="38">
        <v>276</v>
      </c>
    </row>
    <row r="279" spans="15:19" x14ac:dyDescent="0.25">
      <c r="O279" s="31" t="s">
        <v>27</v>
      </c>
      <c r="P279" s="32" t="s">
        <v>30</v>
      </c>
      <c r="Q279" s="32" t="s">
        <v>28</v>
      </c>
      <c r="R279" s="33">
        <v>2919</v>
      </c>
      <c r="S279" s="34">
        <v>93</v>
      </c>
    </row>
    <row r="280" spans="15:19" x14ac:dyDescent="0.25">
      <c r="O280" s="35" t="s">
        <v>26</v>
      </c>
      <c r="P280" s="36" t="s">
        <v>14</v>
      </c>
      <c r="Q280" s="36" t="s">
        <v>21</v>
      </c>
      <c r="R280" s="37">
        <v>3094</v>
      </c>
      <c r="S280" s="38">
        <v>246</v>
      </c>
    </row>
    <row r="281" spans="15:19" x14ac:dyDescent="0.25">
      <c r="O281" s="31" t="s">
        <v>16</v>
      </c>
      <c r="P281" s="32" t="s">
        <v>17</v>
      </c>
      <c r="Q281" s="32" t="s">
        <v>38</v>
      </c>
      <c r="R281" s="33">
        <v>2989</v>
      </c>
      <c r="S281" s="34">
        <v>3</v>
      </c>
    </row>
    <row r="282" spans="15:19" x14ac:dyDescent="0.25">
      <c r="O282" s="35" t="s">
        <v>8</v>
      </c>
      <c r="P282" s="36" t="s">
        <v>20</v>
      </c>
      <c r="Q282" s="36" t="s">
        <v>39</v>
      </c>
      <c r="R282" s="37">
        <v>2268</v>
      </c>
      <c r="S282" s="38">
        <v>63</v>
      </c>
    </row>
    <row r="283" spans="15:19" x14ac:dyDescent="0.25">
      <c r="O283" s="31" t="s">
        <v>25</v>
      </c>
      <c r="P283" s="32" t="s">
        <v>9</v>
      </c>
      <c r="Q283" s="32" t="s">
        <v>21</v>
      </c>
      <c r="R283" s="33">
        <v>4753</v>
      </c>
      <c r="S283" s="34">
        <v>246</v>
      </c>
    </row>
    <row r="284" spans="15:19" x14ac:dyDescent="0.25">
      <c r="O284" s="35" t="s">
        <v>26</v>
      </c>
      <c r="P284" s="36" t="s">
        <v>30</v>
      </c>
      <c r="Q284" s="36" t="s">
        <v>36</v>
      </c>
      <c r="R284" s="37">
        <v>7511</v>
      </c>
      <c r="S284" s="38">
        <v>120</v>
      </c>
    </row>
    <row r="285" spans="15:19" x14ac:dyDescent="0.25">
      <c r="O285" s="31" t="s">
        <v>26</v>
      </c>
      <c r="P285" s="32" t="s">
        <v>20</v>
      </c>
      <c r="Q285" s="32" t="s">
        <v>21</v>
      </c>
      <c r="R285" s="33">
        <v>4326</v>
      </c>
      <c r="S285" s="34">
        <v>348</v>
      </c>
    </row>
    <row r="286" spans="15:19" x14ac:dyDescent="0.25">
      <c r="O286" s="35" t="s">
        <v>13</v>
      </c>
      <c r="P286" s="36" t="s">
        <v>30</v>
      </c>
      <c r="Q286" s="36" t="s">
        <v>34</v>
      </c>
      <c r="R286" s="37">
        <v>4935</v>
      </c>
      <c r="S286" s="38">
        <v>126</v>
      </c>
    </row>
    <row r="287" spans="15:19" x14ac:dyDescent="0.25">
      <c r="O287" s="31" t="s">
        <v>16</v>
      </c>
      <c r="P287" s="32" t="s">
        <v>9</v>
      </c>
      <c r="Q287" s="32" t="s">
        <v>7</v>
      </c>
      <c r="R287" s="33">
        <v>4781</v>
      </c>
      <c r="S287" s="34">
        <v>123</v>
      </c>
    </row>
    <row r="288" spans="15:19" x14ac:dyDescent="0.25">
      <c r="O288" s="35" t="s">
        <v>25</v>
      </c>
      <c r="P288" s="36" t="s">
        <v>20</v>
      </c>
      <c r="Q288" s="36" t="s">
        <v>18</v>
      </c>
      <c r="R288" s="37">
        <v>7483</v>
      </c>
      <c r="S288" s="38">
        <v>45</v>
      </c>
    </row>
    <row r="289" spans="15:19" x14ac:dyDescent="0.25">
      <c r="O289" s="31" t="s">
        <v>35</v>
      </c>
      <c r="P289" s="32" t="s">
        <v>20</v>
      </c>
      <c r="Q289" s="32" t="s">
        <v>12</v>
      </c>
      <c r="R289" s="33">
        <v>6860</v>
      </c>
      <c r="S289" s="34">
        <v>126</v>
      </c>
    </row>
    <row r="290" spans="15:19" x14ac:dyDescent="0.25">
      <c r="O290" s="35" t="s">
        <v>5</v>
      </c>
      <c r="P290" s="36" t="s">
        <v>6</v>
      </c>
      <c r="Q290" s="36" t="s">
        <v>32</v>
      </c>
      <c r="R290" s="37">
        <v>9002</v>
      </c>
      <c r="S290" s="38">
        <v>72</v>
      </c>
    </row>
    <row r="291" spans="15:19" x14ac:dyDescent="0.25">
      <c r="O291" s="31" t="s">
        <v>16</v>
      </c>
      <c r="P291" s="32" t="s">
        <v>14</v>
      </c>
      <c r="Q291" s="32" t="s">
        <v>32</v>
      </c>
      <c r="R291" s="33">
        <v>1400</v>
      </c>
      <c r="S291" s="34">
        <v>135</v>
      </c>
    </row>
    <row r="292" spans="15:19" x14ac:dyDescent="0.25">
      <c r="O292" s="35" t="s">
        <v>35</v>
      </c>
      <c r="P292" s="36" t="s">
        <v>30</v>
      </c>
      <c r="Q292" s="36" t="s">
        <v>22</v>
      </c>
      <c r="R292" s="37">
        <v>4053</v>
      </c>
      <c r="S292" s="38">
        <v>24</v>
      </c>
    </row>
    <row r="293" spans="15:19" x14ac:dyDescent="0.25">
      <c r="O293" s="31" t="s">
        <v>23</v>
      </c>
      <c r="P293" s="32" t="s">
        <v>14</v>
      </c>
      <c r="Q293" s="32" t="s">
        <v>21</v>
      </c>
      <c r="R293" s="33">
        <v>2149</v>
      </c>
      <c r="S293" s="34">
        <v>117</v>
      </c>
    </row>
    <row r="294" spans="15:19" x14ac:dyDescent="0.25">
      <c r="O294" s="35" t="s">
        <v>27</v>
      </c>
      <c r="P294" s="36" t="s">
        <v>17</v>
      </c>
      <c r="Q294" s="36" t="s">
        <v>32</v>
      </c>
      <c r="R294" s="37">
        <v>3640</v>
      </c>
      <c r="S294" s="38">
        <v>51</v>
      </c>
    </row>
    <row r="295" spans="15:19" x14ac:dyDescent="0.25">
      <c r="O295" s="31" t="s">
        <v>26</v>
      </c>
      <c r="P295" s="32" t="s">
        <v>17</v>
      </c>
      <c r="Q295" s="32" t="s">
        <v>34</v>
      </c>
      <c r="R295" s="33">
        <v>630</v>
      </c>
      <c r="S295" s="34">
        <v>36</v>
      </c>
    </row>
    <row r="296" spans="15:19" x14ac:dyDescent="0.25">
      <c r="O296" s="35" t="s">
        <v>11</v>
      </c>
      <c r="P296" s="36" t="s">
        <v>9</v>
      </c>
      <c r="Q296" s="36" t="s">
        <v>39</v>
      </c>
      <c r="R296" s="37">
        <v>2429</v>
      </c>
      <c r="S296" s="38">
        <v>144</v>
      </c>
    </row>
    <row r="297" spans="15:19" x14ac:dyDescent="0.25">
      <c r="O297" s="31" t="s">
        <v>11</v>
      </c>
      <c r="P297" s="32" t="s">
        <v>14</v>
      </c>
      <c r="Q297" s="32" t="s">
        <v>18</v>
      </c>
      <c r="R297" s="33">
        <v>2142</v>
      </c>
      <c r="S297" s="34">
        <v>114</v>
      </c>
    </row>
    <row r="298" spans="15:19" x14ac:dyDescent="0.25">
      <c r="O298" s="35" t="s">
        <v>23</v>
      </c>
      <c r="P298" s="36" t="s">
        <v>6</v>
      </c>
      <c r="Q298" s="36" t="s">
        <v>7</v>
      </c>
      <c r="R298" s="37">
        <v>6454</v>
      </c>
      <c r="S298" s="38">
        <v>54</v>
      </c>
    </row>
    <row r="299" spans="15:19" x14ac:dyDescent="0.25">
      <c r="O299" s="31" t="s">
        <v>23</v>
      </c>
      <c r="P299" s="32" t="s">
        <v>6</v>
      </c>
      <c r="Q299" s="32" t="s">
        <v>29</v>
      </c>
      <c r="R299" s="33">
        <v>4487</v>
      </c>
      <c r="S299" s="34">
        <v>333</v>
      </c>
    </row>
    <row r="300" spans="15:19" x14ac:dyDescent="0.25">
      <c r="O300" s="35" t="s">
        <v>27</v>
      </c>
      <c r="P300" s="36" t="s">
        <v>6</v>
      </c>
      <c r="Q300" s="36" t="s">
        <v>12</v>
      </c>
      <c r="R300" s="37">
        <v>938</v>
      </c>
      <c r="S300" s="38">
        <v>366</v>
      </c>
    </row>
    <row r="301" spans="15:19" x14ac:dyDescent="0.25">
      <c r="O301" s="31" t="s">
        <v>27</v>
      </c>
      <c r="P301" s="32" t="s">
        <v>20</v>
      </c>
      <c r="Q301" s="32" t="s">
        <v>42</v>
      </c>
      <c r="R301" s="33">
        <v>8841</v>
      </c>
      <c r="S301" s="34">
        <v>303</v>
      </c>
    </row>
    <row r="302" spans="15:19" x14ac:dyDescent="0.25">
      <c r="O302" s="35" t="s">
        <v>26</v>
      </c>
      <c r="P302" s="36" t="s">
        <v>17</v>
      </c>
      <c r="Q302" s="36" t="s">
        <v>19</v>
      </c>
      <c r="R302" s="37">
        <v>4018</v>
      </c>
      <c r="S302" s="38">
        <v>126</v>
      </c>
    </row>
    <row r="303" spans="15:19" x14ac:dyDescent="0.25">
      <c r="O303" s="31" t="s">
        <v>13</v>
      </c>
      <c r="P303" s="32" t="s">
        <v>6</v>
      </c>
      <c r="Q303" s="32" t="s">
        <v>37</v>
      </c>
      <c r="R303" s="33">
        <v>714</v>
      </c>
      <c r="S303" s="34">
        <v>231</v>
      </c>
    </row>
    <row r="304" spans="15:19" x14ac:dyDescent="0.25">
      <c r="O304" s="35" t="s">
        <v>11</v>
      </c>
      <c r="P304" s="36" t="s">
        <v>20</v>
      </c>
      <c r="Q304" s="36" t="s">
        <v>18</v>
      </c>
      <c r="R304" s="37">
        <v>3850</v>
      </c>
      <c r="S304" s="38">
        <v>102</v>
      </c>
    </row>
  </sheetData>
  <autoFilter ref="O4:S304"/>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Z17"/>
  <sheetViews>
    <sheetView showGridLines="0" zoomScale="130" zoomScaleNormal="130" workbookViewId="0"/>
  </sheetViews>
  <sheetFormatPr defaultRowHeight="15" x14ac:dyDescent="0.25"/>
  <cols>
    <col min="1" max="1" width="1.7109375" customWidth="1"/>
    <col min="3" max="3" width="16.42578125" customWidth="1"/>
    <col min="4" max="4" width="14.85546875" bestFit="1" customWidth="1"/>
    <col min="5" max="5" width="15.140625" bestFit="1" customWidth="1"/>
    <col min="8" max="8" width="16.28515625" customWidth="1"/>
    <col min="9" max="9" width="14.85546875" bestFit="1" customWidth="1"/>
    <col min="10" max="10" width="15.140625" bestFit="1" customWidth="1"/>
  </cols>
  <sheetData>
    <row r="1" spans="1:26" ht="52.5" customHeight="1" x14ac:dyDescent="0.25">
      <c r="A1" s="59"/>
      <c r="B1" s="60">
        <v>7</v>
      </c>
      <c r="C1" s="61" t="str">
        <f>Data!M18</f>
        <v>Best and least sales person by country</v>
      </c>
      <c r="D1" s="19"/>
      <c r="E1" s="19"/>
      <c r="F1" s="19"/>
      <c r="G1" s="19"/>
      <c r="H1" s="19"/>
      <c r="I1" s="19"/>
      <c r="J1" s="19"/>
      <c r="K1" s="19"/>
      <c r="L1" s="19"/>
      <c r="M1" s="19"/>
      <c r="N1" s="19"/>
      <c r="O1" s="19"/>
      <c r="P1" s="19"/>
      <c r="Q1" s="19"/>
      <c r="R1" s="19"/>
      <c r="S1" s="19"/>
      <c r="T1" s="19"/>
      <c r="U1" s="19"/>
      <c r="V1" s="19"/>
      <c r="W1" s="19"/>
      <c r="X1" s="19"/>
      <c r="Y1" s="19"/>
      <c r="Z1" s="19"/>
    </row>
    <row r="4" spans="1:26" x14ac:dyDescent="0.25">
      <c r="D4" s="22" t="s">
        <v>62</v>
      </c>
      <c r="E4" t="s">
        <v>64</v>
      </c>
      <c r="I4" s="22" t="s">
        <v>62</v>
      </c>
      <c r="J4" t="s">
        <v>64</v>
      </c>
    </row>
    <row r="5" spans="1:26" x14ac:dyDescent="0.25">
      <c r="D5" s="23" t="s">
        <v>20</v>
      </c>
      <c r="E5" s="6">
        <v>25221</v>
      </c>
      <c r="I5" s="23" t="s">
        <v>20</v>
      </c>
      <c r="J5" s="6">
        <v>6069</v>
      </c>
    </row>
    <row r="6" spans="1:26" x14ac:dyDescent="0.25">
      <c r="D6" s="39" t="s">
        <v>25</v>
      </c>
      <c r="E6" s="6">
        <v>25221</v>
      </c>
      <c r="I6" s="39" t="s">
        <v>13</v>
      </c>
      <c r="J6" s="6">
        <v>6069</v>
      </c>
    </row>
    <row r="7" spans="1:26" x14ac:dyDescent="0.25">
      <c r="D7" s="23" t="s">
        <v>14</v>
      </c>
      <c r="E7" s="6">
        <v>39620</v>
      </c>
      <c r="I7" s="23" t="s">
        <v>14</v>
      </c>
      <c r="J7" s="6">
        <v>5019</v>
      </c>
    </row>
    <row r="8" spans="1:26" x14ac:dyDescent="0.25">
      <c r="D8" s="39" t="s">
        <v>25</v>
      </c>
      <c r="E8" s="6">
        <v>39620</v>
      </c>
      <c r="I8" s="39" t="s">
        <v>8</v>
      </c>
      <c r="J8" s="6">
        <v>5019</v>
      </c>
    </row>
    <row r="9" spans="1:26" x14ac:dyDescent="0.25">
      <c r="D9" s="23" t="s">
        <v>30</v>
      </c>
      <c r="E9" s="6">
        <v>41559</v>
      </c>
      <c r="I9" s="23" t="s">
        <v>30</v>
      </c>
      <c r="J9" s="6">
        <v>5516</v>
      </c>
    </row>
    <row r="10" spans="1:26" x14ac:dyDescent="0.25">
      <c r="D10" s="39" t="s">
        <v>25</v>
      </c>
      <c r="E10" s="6">
        <v>41559</v>
      </c>
      <c r="I10" s="39" t="s">
        <v>8</v>
      </c>
      <c r="J10" s="6">
        <v>5516</v>
      </c>
    </row>
    <row r="11" spans="1:26" x14ac:dyDescent="0.25">
      <c r="D11" s="23" t="s">
        <v>6</v>
      </c>
      <c r="E11" s="6">
        <v>43568</v>
      </c>
      <c r="I11" s="23" t="s">
        <v>6</v>
      </c>
      <c r="J11" s="6">
        <v>7987</v>
      </c>
    </row>
    <row r="12" spans="1:26" x14ac:dyDescent="0.25">
      <c r="D12" s="39" t="s">
        <v>23</v>
      </c>
      <c r="E12" s="6">
        <v>43568</v>
      </c>
      <c r="I12" s="39" t="s">
        <v>35</v>
      </c>
      <c r="J12" s="6">
        <v>7987</v>
      </c>
    </row>
    <row r="13" spans="1:26" x14ac:dyDescent="0.25">
      <c r="D13" s="23" t="s">
        <v>17</v>
      </c>
      <c r="E13" s="6">
        <v>45752</v>
      </c>
      <c r="I13" s="23" t="s">
        <v>17</v>
      </c>
      <c r="J13" s="6">
        <v>3976</v>
      </c>
    </row>
    <row r="14" spans="1:26" x14ac:dyDescent="0.25">
      <c r="D14" s="39" t="s">
        <v>26</v>
      </c>
      <c r="E14" s="6">
        <v>45752</v>
      </c>
      <c r="I14" s="39" t="s">
        <v>13</v>
      </c>
      <c r="J14" s="6">
        <v>3976</v>
      </c>
    </row>
    <row r="15" spans="1:26" x14ac:dyDescent="0.25">
      <c r="D15" s="23" t="s">
        <v>9</v>
      </c>
      <c r="E15" s="6">
        <v>38325</v>
      </c>
      <c r="I15" s="23" t="s">
        <v>9</v>
      </c>
      <c r="J15" s="6">
        <v>2142</v>
      </c>
    </row>
    <row r="16" spans="1:26" x14ac:dyDescent="0.25">
      <c r="D16" s="39" t="s">
        <v>5</v>
      </c>
      <c r="E16" s="6">
        <v>38325</v>
      </c>
      <c r="I16" s="39" t="s">
        <v>26</v>
      </c>
      <c r="J16" s="6">
        <v>2142</v>
      </c>
    </row>
    <row r="17" spans="4:10" x14ac:dyDescent="0.25">
      <c r="D17" s="23" t="s">
        <v>63</v>
      </c>
      <c r="E17" s="6">
        <v>234045</v>
      </c>
      <c r="I17" s="23" t="s">
        <v>63</v>
      </c>
      <c r="J17" s="6">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Z26"/>
  <sheetViews>
    <sheetView showGridLines="0" zoomScale="120" zoomScaleNormal="120" workbookViewId="0"/>
  </sheetViews>
  <sheetFormatPr defaultRowHeight="15" x14ac:dyDescent="0.25"/>
  <cols>
    <col min="1" max="1" width="1.7109375" customWidth="1"/>
    <col min="3" max="3" width="21.85546875" customWidth="1"/>
    <col min="4" max="4" width="10.85546875" bestFit="1" customWidth="1"/>
    <col min="5" max="5" width="21.85546875" bestFit="1" customWidth="1"/>
    <col min="6" max="6" width="11.140625" bestFit="1" customWidth="1"/>
  </cols>
  <sheetData>
    <row r="1" spans="1:26" ht="52.5" customHeight="1" x14ac:dyDescent="0.25">
      <c r="A1" s="59"/>
      <c r="B1" s="60">
        <v>8</v>
      </c>
      <c r="C1" s="61" t="str">
        <f>Data!M19</f>
        <v>Profits by product (using products table)</v>
      </c>
      <c r="D1" s="19"/>
      <c r="E1" s="19"/>
      <c r="F1" s="19"/>
      <c r="G1" s="19"/>
      <c r="H1" s="19"/>
      <c r="I1" s="19"/>
      <c r="J1" s="19"/>
      <c r="K1" s="19"/>
      <c r="L1" s="19"/>
      <c r="M1" s="19"/>
      <c r="N1" s="19"/>
      <c r="O1" s="19"/>
      <c r="P1" s="19"/>
      <c r="Q1" s="19"/>
      <c r="R1" s="19"/>
      <c r="S1" s="19"/>
      <c r="T1" s="19"/>
      <c r="U1" s="19"/>
      <c r="V1" s="19"/>
      <c r="W1" s="19"/>
      <c r="X1" s="19"/>
      <c r="Y1" s="19"/>
      <c r="Z1" s="19"/>
    </row>
    <row r="3" spans="1:26" x14ac:dyDescent="0.25">
      <c r="E3" s="22" t="s">
        <v>62</v>
      </c>
      <c r="F3" t="s">
        <v>70</v>
      </c>
    </row>
    <row r="4" spans="1:26" x14ac:dyDescent="0.25">
      <c r="E4" s="23" t="s">
        <v>42</v>
      </c>
      <c r="F4" s="26">
        <v>58277.8</v>
      </c>
    </row>
    <row r="5" spans="1:26" x14ac:dyDescent="0.25">
      <c r="E5" s="23" t="s">
        <v>28</v>
      </c>
      <c r="F5" s="26">
        <v>56471.590000000004</v>
      </c>
    </row>
    <row r="6" spans="1:26" x14ac:dyDescent="0.25">
      <c r="E6" s="23" t="s">
        <v>10</v>
      </c>
      <c r="F6" s="26">
        <v>52063.35</v>
      </c>
    </row>
    <row r="7" spans="1:26" x14ac:dyDescent="0.25">
      <c r="E7" s="23" t="s">
        <v>37</v>
      </c>
      <c r="F7" s="26">
        <v>50988.91</v>
      </c>
    </row>
    <row r="8" spans="1:26" x14ac:dyDescent="0.25">
      <c r="E8" s="23" t="s">
        <v>22</v>
      </c>
      <c r="F8" s="26">
        <v>46234.960000000006</v>
      </c>
    </row>
    <row r="9" spans="1:26" x14ac:dyDescent="0.25">
      <c r="E9" s="23" t="s">
        <v>19</v>
      </c>
      <c r="F9" s="26">
        <v>46226.020000000004</v>
      </c>
    </row>
    <row r="10" spans="1:26" x14ac:dyDescent="0.25">
      <c r="E10" s="23" t="s">
        <v>34</v>
      </c>
      <c r="F10" s="26">
        <v>44884.12</v>
      </c>
    </row>
    <row r="11" spans="1:26" x14ac:dyDescent="0.25">
      <c r="E11" s="23" t="s">
        <v>29</v>
      </c>
      <c r="F11" s="26">
        <v>43177.340000000004</v>
      </c>
    </row>
    <row r="12" spans="1:26" x14ac:dyDescent="0.25">
      <c r="E12" s="23" t="s">
        <v>15</v>
      </c>
      <c r="F12" s="26">
        <v>40814.559999999998</v>
      </c>
    </row>
    <row r="13" spans="1:26" x14ac:dyDescent="0.25">
      <c r="E13" s="23" t="s">
        <v>40</v>
      </c>
      <c r="F13" s="26">
        <v>39084.340000000004</v>
      </c>
    </row>
    <row r="14" spans="1:26" x14ac:dyDescent="0.25">
      <c r="E14" s="23" t="s">
        <v>32</v>
      </c>
      <c r="F14" s="26">
        <v>36700.840000000004</v>
      </c>
    </row>
    <row r="15" spans="1:26" x14ac:dyDescent="0.25">
      <c r="E15" s="23" t="s">
        <v>33</v>
      </c>
      <c r="F15" s="26">
        <v>31390.480000000003</v>
      </c>
    </row>
    <row r="16" spans="1:26" x14ac:dyDescent="0.25">
      <c r="E16" s="23" t="s">
        <v>38</v>
      </c>
      <c r="F16" s="26">
        <v>30189.32</v>
      </c>
    </row>
    <row r="17" spans="5:6" x14ac:dyDescent="0.25">
      <c r="E17" s="23" t="s">
        <v>36</v>
      </c>
      <c r="F17" s="26">
        <v>29800.160000000003</v>
      </c>
    </row>
    <row r="18" spans="5:6" x14ac:dyDescent="0.25">
      <c r="E18" s="23" t="s">
        <v>31</v>
      </c>
      <c r="F18" s="26">
        <v>29721.27</v>
      </c>
    </row>
    <row r="19" spans="5:6" x14ac:dyDescent="0.25">
      <c r="E19" s="23" t="s">
        <v>18</v>
      </c>
      <c r="F19" s="26">
        <v>29678.099999999995</v>
      </c>
    </row>
    <row r="20" spans="5:6" x14ac:dyDescent="0.25">
      <c r="E20" s="23" t="s">
        <v>21</v>
      </c>
      <c r="F20" s="26">
        <v>29518.43</v>
      </c>
    </row>
    <row r="21" spans="5:6" x14ac:dyDescent="0.25">
      <c r="E21" s="23" t="s">
        <v>41</v>
      </c>
      <c r="F21" s="26">
        <v>26000</v>
      </c>
    </row>
    <row r="22" spans="5:6" x14ac:dyDescent="0.25">
      <c r="E22" s="23" t="s">
        <v>7</v>
      </c>
      <c r="F22" s="26">
        <v>25899.020000000011</v>
      </c>
    </row>
    <row r="23" spans="5:6" x14ac:dyDescent="0.25">
      <c r="E23" s="23" t="s">
        <v>39</v>
      </c>
      <c r="F23" s="26">
        <v>19572.14</v>
      </c>
    </row>
    <row r="24" spans="5:6" x14ac:dyDescent="0.25">
      <c r="E24" s="23" t="s">
        <v>24</v>
      </c>
      <c r="F24" s="26">
        <v>19525.600000000002</v>
      </c>
    </row>
    <row r="25" spans="5:6" x14ac:dyDescent="0.25">
      <c r="E25" s="23" t="s">
        <v>12</v>
      </c>
      <c r="F25" s="26">
        <v>14946.919999999998</v>
      </c>
    </row>
    <row r="26" spans="5:6" x14ac:dyDescent="0.25">
      <c r="E26" s="23" t="s">
        <v>63</v>
      </c>
      <c r="F26" s="26">
        <v>801165.2699999999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G e m i n i   x m l n s = " h t t p : / / g e m i n i / p i v o t c u s t o m i z a t i o n / 1 0 7 e 0 1 6 a - e 4 d a - 4 e 5 2 - 9 5 7 5 - 3 c 8 d e 6 e 6 3 d 7 c " > < C u s t o m C o n t e n t > < ! [ C D A T A [ < ? x m l   v e r s i o n = " 1 . 0 "   e n c o d i n g = " u t f - 1 6 " ? > < S e t t i n g s > < C a l c u l a t e d F i e l d s > < i t e m > < M e a s u r e N a m e > S a l e s   P e r   U n i t < / M e a s u r e N a m e > < D i s p l a y N a m e > S a l e s   P e r   U n i t < / D i s p l a y N a m e > < V i s i b l e > F a l s e < / V i s i b l e > < / i t e m > < i t e m > < M e a s u r e N a m e > T o t a l   P r o f i t < / M e a s u r e N a m e > < D i s p l a y N a m e > T o t a l   P r o f i t < / D i s p l a y N a m e > < V i s i b l e > T r u e < / V i s i b l e > < / i t e m > < / C a l c u l a t e d F i e l d s > < H S l i c e r s S h a p e > 0 ; 0 ; 0 ; 0 < / H S l i c e r s S h a p e > < V S l i c e r s S h a p e > 0 ; 0 ; 0 ; 0 < / V S l i c e r s S h a p e > < S l i c e r S h e e t N a m e > 8 < / S l i c e r S h e e t N a m e > < S A H o s t H a s h > 3 5 1 2 1 4 8 0 8 < / S A H o s t H a s h > < G e m i n i F i e l d L i s t V i s i b l e > T r u e < / G e m i n i F i e l d L i s t V i s i b l e > < / S e t t i n g s > ] ] > < / C u s t o m C o n t e n t > < / G e m i n i > 
</file>

<file path=customXml/item2.xml>��< ? x m l   v e r s i o n = " 1 . 0 "   e n c o d i n g = " U T F - 1 6 " ? > < G e m i n i   x m l n s = " h t t p : / / g e m i n i / p i v o t c u s t o m i z a t i o n / 5 5 f 6 a 5 6 8 - 4 7 4 5 - 4 a e e - b f e 4 - b f 1 b 3 0 5 a 6 c e 2 " > < C u s t o m C o n t e n t > < ! [ C D A T A [ < ? x m l   v e r s i o n = " 1 . 0 "   e n c o d i n g = " u t f - 1 6 " ? > < S e t t i n g s > < C a l c u l a t e d F i e l d s > < i t e m > < M e a s u r e N a m e > S a l e s   P e r   U n i t < / M e a s u r e N a m e > < D i s p l a y N a m e > S a l e s   P e r   U n i t < / D i s p l a y N a m e > < V i s i b l e > F a l s e < / V i s i b l e > < / i t e m > < i t e m > < M e a s u r e N a m e > T o t a l   P r o f i t < / M e a s u r e N a m e > < D i s p l a y N a m e > T o t a l   P r o f i t < / D i s p l a y N a m e > < V i s i b l e > F a l s e < / V i s i b l e > < / i t e m > < i t e m > < M e a s u r e N a m e > P r o f i t   % g e < / M e a s u r e N a m e > < D i s p l a y N a m e > P r o f i t   % g e < / D i s p l a y N a m e > < V i s i b l e > T r u e < / V i s i b l e > < / i t e m > < / C a l c u l a t e d F i e l d s > < H S l i c e r s S h a p e > 0 ; 0 ; 0 ; 0 < / H S l i c e r s S h a p e > < V S l i c e r s S h a p e > 0 ; 0 ; 0 ; 0 < / V S l i c e r s S h a p e > < S l i c e r S h e e t N a m e > 1 0 < / S l i c e r S h e e t N a m e > < S A H o s t H a s h > 4 7 1 6 3 9 6 2 1 < / S A H o s t H a s h > < G e m i n i F i e l d L i s t V i s i b l e > T r u e < / G e m i n i F i e l d L i s t V i s i b l e > < / S e t t i n g s > ] ] > < / C u s t o m C o n t e n t > < / G e m i n i > 
</file>

<file path=customXml/item3.xml>��< ? x m l   v e r s i o n = " 1 . 0 "   e n c o d i n g = " U T F - 1 6 " ? > < G e m i n i   x m l n s = " h t t p : / / g e m i n i / p i v o t c u s t o m i z a t i o n / I s S a n d b o x E m b e d d e d " > < C u s t o m C o n t e n t > < ! [ C D A T A [ y e 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 2 0 2 1 - 0 9 - 2 7 T 2 2 : 4 0 : 5 4 . 3 5 3 1 1 6 5 + 0 5 : 3 0 < / L a s t P r o c e s s e d T i m e > < / D a t a M o d e l i n g S a n d b o x . S e r i a l i z e d S a n d b o x E r r o r C a c h e > ] ] > < / C u s t o m C o n t e n t > < / G e m i n i > 
</file>

<file path=customXml/item5.xml>��< ? x m l   v e r s i o n = " 1 . 0 "   e n c o d i n g = " U T F - 1 6 " ? > < G e m i n i   x m l n s = " h t t p : / / g e m i n i / p i v o t c u s t o m i z a t i o n / P o w e r P i v o t V e r s i o n " > < C u s t o m C o n t e n t > < ! [ C D A T A [ 2 0 1 1 . 1 1 0 . 2 8 0 9 . 2 7 ] ] > < / C u s t o m C o n t e n t > < / G e m i n i > 
</file>

<file path=customXml/item6.xml>��< ? x m l   v e r s i o n = " 1 . 0 "   e n c o d i n g = " U T F - 1 6 " ? > < G e m i n i   x m l n s = " h t t p : / / g e m i n i / p i v o t c u s t o m i z a t i o n / S a n d b o x N o n E m p t y " > < C u s t o m C o n t e n t > < ! [ C D A T A [ 1 ] ] > < / C u s t o m C o n t e n t > < / G e m i n i > 
</file>

<file path=customXml/item7.xml>��< ? x m l   v e r s i o n = " 1 . 0 "   e n c o d i n g = " U T F - 1 6 " ? > < G e m i n i   x m l n s = " h t t p : / / g e m i n i / p i v o t c u s t o m i z a t i o n / 1 2 0 e 3 1 7 9 - c 1 1 9 - 4 3 2 9 - a f 8 8 - 9 a c 3 a 0 e 3 9 c 3 1 " > < C u s t o m C o n t e n t > < ! [ C D A T A [ < ? x m l   v e r s i o n = " 1 . 0 "   e n c o d i n g = " u t f - 1 6 " ? > < S e t t i n g s > < C a l c u l a t e d F i e l d s > < i t e m > < M e a s u r e N a m e > S a l e s   P e r   U n i t < / M e a s u r e N a m e > < D i s p l a y N a m e > S a l e s   P e r   U n i t < / D i s p l a y N a m e > < V i s i b l e > T r u e < / V i s i b l e > < / i t e m > < i t e m > < M e a s u r e N a m e > T o t a l   P r o f i t < / M e a s u r e N a m e > < D i s p l a y N a m e > T o t a l   P r o f i t < / D i s p l a y N a m e > < V i s i b l e > F a l s e < / V i s i b l e > < / i t e m > < / C a l c u l a t e d F i e l d s > < H S l i c e r s S h a p e > 0 ; 0 ; 0 ; 0 < / H S l i c e r s S h a p e > < V S l i c e r s S h a p e > 0 ; 0 ; 0 ; 0 < / V S l i c e r s S h a p e > < S l i c e r S h e e t N a m e > 5 < / S l i c e r S h e e t N a m e > < S A H o s t H a s h > 1 8 8 2 6 4 2 8 6 6 < / 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BAD6332-BF1F-4CE8-9CE9-2D9AEF009D12}">
  <ds:schemaRefs/>
</ds:datastoreItem>
</file>

<file path=customXml/itemProps2.xml><?xml version="1.0" encoding="utf-8"?>
<ds:datastoreItem xmlns:ds="http://schemas.openxmlformats.org/officeDocument/2006/customXml" ds:itemID="{0AE73A2C-A101-4F0C-BE29-5C55231EFA3A}">
  <ds:schemaRefs/>
</ds:datastoreItem>
</file>

<file path=customXml/itemProps3.xml><?xml version="1.0" encoding="utf-8"?>
<ds:datastoreItem xmlns:ds="http://schemas.openxmlformats.org/officeDocument/2006/customXml" ds:itemID="{7E36F4B3-D7AE-48AC-BDD2-2D184F92DF08}">
  <ds:schemaRefs/>
</ds:datastoreItem>
</file>

<file path=customXml/itemProps4.xml><?xml version="1.0" encoding="utf-8"?>
<ds:datastoreItem xmlns:ds="http://schemas.openxmlformats.org/officeDocument/2006/customXml" ds:itemID="{8011846C-9EB9-4B94-B6B0-5946DEA22467}">
  <ds:schemaRefs/>
</ds:datastoreItem>
</file>

<file path=customXml/itemProps5.xml><?xml version="1.0" encoding="utf-8"?>
<ds:datastoreItem xmlns:ds="http://schemas.openxmlformats.org/officeDocument/2006/customXml" ds:itemID="{70E1C183-93A3-43BA-AAC8-EA0D244B3FC4}">
  <ds:schemaRefs/>
</ds:datastoreItem>
</file>

<file path=customXml/itemProps6.xml><?xml version="1.0" encoding="utf-8"?>
<ds:datastoreItem xmlns:ds="http://schemas.openxmlformats.org/officeDocument/2006/customXml" ds:itemID="{B8A3CB7B-69A1-4099-BB54-60964EAFACAD}">
  <ds:schemaRefs/>
</ds:datastoreItem>
</file>

<file path=customXml/itemProps7.xml><?xml version="1.0" encoding="utf-8"?>
<ds:datastoreItem xmlns:ds="http://schemas.openxmlformats.org/officeDocument/2006/customXml" ds:itemID="{197C5943-09D4-4130-A656-0A752021C8E9}">
  <ds:schemaRefs/>
</ds:datastoreItem>
</file>

<file path=customXml/itemProps8.xml><?xml version="1.0" encoding="utf-8"?>
<ds:datastoreItem xmlns:ds="http://schemas.openxmlformats.org/officeDocument/2006/customXml" ds:itemID="{983F8554-7E17-41E6-8A75-73CC085378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Data</vt:lpstr>
      <vt:lpstr>1</vt:lpstr>
      <vt:lpstr>2</vt:lpstr>
      <vt:lpstr>3</vt:lpstr>
      <vt:lpstr>4</vt:lpstr>
      <vt:lpstr>5</vt:lpstr>
      <vt:lpstr>6</vt:lpstr>
      <vt:lpstr>7</vt:lpstr>
      <vt:lpstr>8</vt:lpstr>
      <vt:lpstr>9</vt:lpstr>
      <vt:lpstr>10</vt:lpstr>
      <vt:lpstr>temp</vt:lpstr>
      <vt:lpstr>all_products</vt:lpstr>
      <vt:lpstr>temp!products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2021-09-26T14:18:37Z</dcterms:created>
  <dcterms:modified xsi:type="dcterms:W3CDTF">2021-10-09T01:51:46Z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