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codeName="ThisWorkbook"/>
  <mc:AlternateContent xmlns:mc="http://schemas.openxmlformats.org/markup-compatibility/2006">
    <mc:Choice Requires="x15">
      <x15ac:absPath xmlns:x15ac="http://schemas.microsoft.com/office/spreadsheetml/2010/11/ac" url="V:\Safal Niveshak\FLAME Value Investing Course\Lectures\Lecture Slides\Lecture 6\"/>
    </mc:Choice>
  </mc:AlternateContent>
  <bookViews>
    <workbookView xWindow="0" yWindow="0" windowWidth="19200" windowHeight="6940" xr2:uid="{00000000-000D-0000-FFFF-FFFF00000000}"/>
  </bookViews>
  <sheets>
    <sheet name="Instructions" sheetId="16" r:id="rId1"/>
    <sheet name="Summary" sheetId="15" r:id="rId2"/>
    <sheet name="Checklist" sheetId="14" r:id="rId3"/>
    <sheet name="Balance Sheet" sheetId="2" r:id="rId4"/>
    <sheet name="Profit &amp; Loss" sheetId="1" r:id="rId5"/>
    <sheet name="Common Size Analysis" sheetId="13" r:id="rId6"/>
    <sheet name="Cash Flow" sheetId="4" r:id="rId7"/>
    <sheet name="EPV Valuation" sheetId="7" r:id="rId8"/>
    <sheet name="Dhandho IV" sheetId="9" r:id="rId9"/>
    <sheet name="Ben Graham Formula" sheetId="8" r:id="rId10"/>
    <sheet name="DCF" sheetId="11" r:id="rId11"/>
    <sheet name="Expected Returns" sheetId="12" r:id="rId12"/>
    <sheet name="Intrinsic Values" sheetId="10" r:id="rId13"/>
    <sheet name="Quarters" sheetId="3" r:id="rId14"/>
    <sheet name="Data Sheet" sheetId="6" r:id="rId15"/>
    <sheet name="Customization" sheetId="5" r:id="rId16"/>
  </sheets>
  <definedNames>
    <definedName name="UPDATE">'Data Sheet'!$E$1</definedName>
  </definedNames>
  <calcPr calcId="171027"/>
  <fileRecoveryPr autoRecover="0"/>
</workbook>
</file>

<file path=xl/calcChain.xml><?xml version="1.0" encoding="utf-8"?>
<calcChain xmlns="http://schemas.openxmlformats.org/spreadsheetml/2006/main">
  <c r="A2" i="2" l="1"/>
  <c r="B12" i="15" l="1"/>
  <c r="B11" i="15"/>
  <c r="B10" i="15"/>
  <c r="B9" i="15"/>
  <c r="B19" i="15"/>
  <c r="B13" i="15" l="1"/>
  <c r="F4" i="13"/>
  <c r="K11" i="13" l="1"/>
  <c r="J11" i="13"/>
  <c r="I11" i="13"/>
  <c r="H11" i="13"/>
  <c r="G11" i="13"/>
  <c r="F11" i="13"/>
  <c r="E11" i="13"/>
  <c r="D11" i="13"/>
  <c r="C11" i="13"/>
  <c r="B11"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E5" i="11" l="1"/>
  <c r="B30" i="11"/>
  <c r="B14" i="12"/>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2"/>
  <c r="A2" i="11"/>
  <c r="C23" i="11"/>
  <c r="C22" i="11"/>
  <c r="C21" i="11"/>
  <c r="C20" i="11"/>
  <c r="C19" i="11"/>
  <c r="C18" i="11"/>
  <c r="C17" i="11"/>
  <c r="C16" i="11"/>
  <c r="C15" i="11"/>
  <c r="C14" i="11"/>
  <c r="K5" i="12" l="1"/>
  <c r="B15" i="12"/>
  <c r="B8" i="10" s="1"/>
  <c r="M4" i="12"/>
  <c r="L4" i="12"/>
  <c r="E7" i="8" l="1"/>
  <c r="A2" i="10"/>
  <c r="B9" i="10"/>
  <c r="F11" i="7" l="1"/>
  <c r="G19" i="2"/>
  <c r="H19" i="2"/>
  <c r="I19" i="2"/>
  <c r="J19" i="2"/>
  <c r="K19" i="2"/>
  <c r="D7" i="9" s="1"/>
  <c r="K7" i="9" s="1"/>
  <c r="E19" i="2"/>
  <c r="F19" i="2"/>
  <c r="F38" i="7"/>
  <c r="E38" i="7"/>
  <c r="D38" i="7"/>
  <c r="C38" i="7"/>
  <c r="B38" i="7"/>
  <c r="A4" i="9"/>
  <c r="H4" i="9" s="1"/>
  <c r="D20" i="9"/>
  <c r="K20" i="9" s="1"/>
  <c r="F18" i="7" l="1"/>
  <c r="E18" i="7"/>
  <c r="D18" i="7"/>
  <c r="C18" i="7"/>
  <c r="B18" i="7"/>
  <c r="B11" i="8" l="1"/>
  <c r="E11" i="8" s="1"/>
  <c r="K14" i="7"/>
  <c r="F21" i="7"/>
  <c r="E21" i="7"/>
  <c r="D21" i="7"/>
  <c r="C21" i="7"/>
  <c r="B21" i="7"/>
  <c r="F16" i="7"/>
  <c r="E16" i="7"/>
  <c r="D16" i="7"/>
  <c r="C16" i="7"/>
  <c r="B16" i="7"/>
  <c r="E11" i="7" l="1"/>
  <c r="D11" i="7"/>
  <c r="C11" i="7"/>
  <c r="B11" i="7"/>
  <c r="B37" i="7" s="1"/>
  <c r="F12" i="7"/>
  <c r="E12" i="7"/>
  <c r="D12" i="7"/>
  <c r="C12" i="7"/>
  <c r="B12" i="7"/>
  <c r="B33" i="7"/>
  <c r="C33" i="7"/>
  <c r="D33" i="7"/>
  <c r="E33" i="7"/>
  <c r="F33" i="7"/>
  <c r="F35" i="7"/>
  <c r="E35" i="7"/>
  <c r="D35" i="7"/>
  <c r="C35" i="7"/>
  <c r="B35" i="7"/>
  <c r="F34" i="7"/>
  <c r="E34" i="7"/>
  <c r="D34" i="7"/>
  <c r="C34" i="7"/>
  <c r="B34" i="7"/>
  <c r="C37" i="7" l="1"/>
  <c r="D37" i="7"/>
  <c r="E37" i="7"/>
  <c r="F37" i="7"/>
  <c r="E13" i="7"/>
  <c r="E14" i="7" s="1"/>
  <c r="D13" i="7"/>
  <c r="D14" i="7" s="1"/>
  <c r="B13" i="7"/>
  <c r="B14" i="7" s="1"/>
  <c r="F13" i="7"/>
  <c r="F14" i="7" s="1"/>
  <c r="C13" i="7"/>
  <c r="C14" i="7" s="1"/>
  <c r="B36" i="7"/>
  <c r="F36" i="7"/>
  <c r="E36" i="7"/>
  <c r="D36" i="7"/>
  <c r="C36" i="7"/>
  <c r="B39" i="7" l="1"/>
  <c r="D39" i="7"/>
  <c r="E39" i="7"/>
  <c r="E40" i="7" s="1"/>
  <c r="F39" i="7"/>
  <c r="F40" i="7" s="1"/>
  <c r="C39" i="7"/>
  <c r="C40" i="7" s="1"/>
  <c r="C19" i="7" s="1"/>
  <c r="F15" i="7"/>
  <c r="F17" i="7"/>
  <c r="B15" i="7"/>
  <c r="B17" i="7"/>
  <c r="D15" i="7"/>
  <c r="D17" i="7"/>
  <c r="C15" i="7"/>
  <c r="C17" i="7"/>
  <c r="E15" i="7"/>
  <c r="E17" i="7"/>
  <c r="D40" i="7"/>
  <c r="K11" i="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C20" i="7" l="1"/>
  <c r="D19" i="7"/>
  <c r="D20" i="7" s="1"/>
  <c r="F19" i="7"/>
  <c r="F20" i="7" s="1"/>
  <c r="E19" i="7"/>
  <c r="E20" i="7" s="1"/>
  <c r="B14" i="3"/>
  <c r="C14" i="3"/>
  <c r="D14" i="3"/>
  <c r="E14" i="3"/>
  <c r="F14" i="3"/>
  <c r="G14" i="3"/>
  <c r="H14" i="3"/>
  <c r="I14" i="3"/>
  <c r="J14" i="3"/>
  <c r="K14" i="3"/>
  <c r="I11" i="7" l="1"/>
  <c r="I13" i="7"/>
  <c r="I12" i="7"/>
  <c r="C7" i="3"/>
  <c r="D7" i="3"/>
  <c r="E7" i="3"/>
  <c r="F7" i="3"/>
  <c r="G7" i="3"/>
  <c r="H7" i="3"/>
  <c r="I7" i="3"/>
  <c r="J7" i="3"/>
  <c r="K7" i="3"/>
  <c r="B7" i="3"/>
  <c r="C6" i="1"/>
  <c r="D6" i="1"/>
  <c r="E6" i="1"/>
  <c r="F6" i="1"/>
  <c r="G6" i="1"/>
  <c r="H6" i="1"/>
  <c r="I6" i="1"/>
  <c r="J6" i="1"/>
  <c r="K6" i="1"/>
  <c r="B6" i="1"/>
  <c r="K93" i="6"/>
  <c r="C93" i="6"/>
  <c r="D93" i="6"/>
  <c r="E93" i="6"/>
  <c r="F93" i="6"/>
  <c r="G93" i="6"/>
  <c r="H93" i="6"/>
  <c r="I93" i="6"/>
  <c r="J93" i="6"/>
  <c r="B93" i="6"/>
  <c r="B6" i="6" l="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D6" i="2"/>
  <c r="E6" i="2"/>
  <c r="F6" i="2"/>
  <c r="G6" i="2"/>
  <c r="H6" i="2"/>
  <c r="I6" i="2"/>
  <c r="J6" i="2"/>
  <c r="K6" i="2"/>
  <c r="J11" i="7" s="1"/>
  <c r="J12" i="7" s="1"/>
  <c r="J13" i="7" s="1"/>
  <c r="K13" i="7" s="1"/>
  <c r="L13" i="7" s="1"/>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B5" i="2"/>
  <c r="B4" i="2"/>
  <c r="C4" i="4"/>
  <c r="C11" i="4" s="1"/>
  <c r="D4" i="4"/>
  <c r="D11" i="4" s="1"/>
  <c r="E4" i="4"/>
  <c r="E11" i="4" s="1"/>
  <c r="F4" i="4"/>
  <c r="F11" i="4" s="1"/>
  <c r="G4" i="4"/>
  <c r="H4" i="4"/>
  <c r="H11" i="4" s="1"/>
  <c r="I4" i="4"/>
  <c r="I11" i="4" s="1"/>
  <c r="J4" i="4"/>
  <c r="J11" i="4" s="1"/>
  <c r="K4" i="4"/>
  <c r="C5" i="4"/>
  <c r="D5" i="4"/>
  <c r="E5" i="4"/>
  <c r="F5" i="4"/>
  <c r="G5" i="4"/>
  <c r="H5" i="4"/>
  <c r="I5" i="4"/>
  <c r="J5" i="4"/>
  <c r="K5" i="4"/>
  <c r="C6" i="4"/>
  <c r="D6" i="4"/>
  <c r="E6" i="4"/>
  <c r="F6" i="4"/>
  <c r="G6" i="4"/>
  <c r="H6" i="4"/>
  <c r="I6" i="4"/>
  <c r="J6" i="4"/>
  <c r="K6" i="4"/>
  <c r="C7" i="4"/>
  <c r="D7" i="4"/>
  <c r="E7" i="4"/>
  <c r="F7" i="4"/>
  <c r="G7" i="4"/>
  <c r="H7" i="4"/>
  <c r="I7" i="4"/>
  <c r="J7" i="4"/>
  <c r="K7" i="4"/>
  <c r="C4" i="3"/>
  <c r="D4" i="3"/>
  <c r="E4" i="3"/>
  <c r="F4" i="3"/>
  <c r="G4" i="3"/>
  <c r="G5" i="3" s="1"/>
  <c r="H4" i="3"/>
  <c r="H5" i="3" s="1"/>
  <c r="I4" i="3"/>
  <c r="I5" i="3" s="1"/>
  <c r="J4" i="3"/>
  <c r="J5" i="3" s="1"/>
  <c r="K4" i="3"/>
  <c r="K5" i="3" s="1"/>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C12" i="3" s="1"/>
  <c r="D11" i="3"/>
  <c r="D12" i="3" s="1"/>
  <c r="E11" i="3"/>
  <c r="F11" i="3"/>
  <c r="F12" i="3" s="1"/>
  <c r="G11" i="3"/>
  <c r="G12" i="3" s="1"/>
  <c r="H11" i="3"/>
  <c r="I11" i="3"/>
  <c r="J11" i="3"/>
  <c r="K11" i="3"/>
  <c r="C15" i="3"/>
  <c r="D15" i="3"/>
  <c r="E15" i="3"/>
  <c r="F15" i="3"/>
  <c r="G15" i="3"/>
  <c r="G16" i="3" s="1"/>
  <c r="H15" i="3"/>
  <c r="H16" i="3" s="1"/>
  <c r="I15" i="3"/>
  <c r="I16" i="3" s="1"/>
  <c r="J15" i="3"/>
  <c r="J16" i="3" s="1"/>
  <c r="K15" i="3"/>
  <c r="K16" i="3" s="1"/>
  <c r="B6" i="3"/>
  <c r="C30" i="1"/>
  <c r="D30" i="1"/>
  <c r="E30" i="1"/>
  <c r="F30" i="1"/>
  <c r="G30" i="1"/>
  <c r="H30" i="1"/>
  <c r="I30" i="1"/>
  <c r="J30" i="1"/>
  <c r="K30" i="1"/>
  <c r="B30" i="1"/>
  <c r="C4" i="1"/>
  <c r="C12" i="1" s="1"/>
  <c r="D4" i="1"/>
  <c r="D12" i="1" s="1"/>
  <c r="E4" i="1"/>
  <c r="E12" i="1" s="1"/>
  <c r="F4" i="1"/>
  <c r="F12" i="1" s="1"/>
  <c r="G4" i="1"/>
  <c r="G12" i="1" s="1"/>
  <c r="H4" i="1"/>
  <c r="H12" i="1" s="1"/>
  <c r="I4" i="1"/>
  <c r="I12" i="1" s="1"/>
  <c r="J4" i="1"/>
  <c r="J12" i="1" s="1"/>
  <c r="K4" i="1"/>
  <c r="K12" i="1" s="1"/>
  <c r="C14" i="1"/>
  <c r="D14" i="1"/>
  <c r="D15" i="1" s="1"/>
  <c r="E14" i="1"/>
  <c r="F14" i="1"/>
  <c r="F15" i="1" s="1"/>
  <c r="G14" i="1"/>
  <c r="H14" i="1"/>
  <c r="H15" i="1" s="1"/>
  <c r="I14" i="1"/>
  <c r="J14" i="1"/>
  <c r="J15" i="1" s="1"/>
  <c r="K14" i="1"/>
  <c r="C16" i="1"/>
  <c r="D16" i="1"/>
  <c r="E16" i="1"/>
  <c r="F16" i="1"/>
  <c r="G16" i="1"/>
  <c r="H16" i="1"/>
  <c r="I16" i="1"/>
  <c r="J16" i="1"/>
  <c r="K16" i="1"/>
  <c r="C17" i="1"/>
  <c r="D17" i="1"/>
  <c r="E17" i="1"/>
  <c r="F17" i="1"/>
  <c r="G17" i="1"/>
  <c r="H17" i="1"/>
  <c r="I17" i="1"/>
  <c r="J17" i="1"/>
  <c r="K17" i="1"/>
  <c r="C22" i="1"/>
  <c r="D22" i="1"/>
  <c r="E22" i="1"/>
  <c r="F22" i="1"/>
  <c r="G22" i="1"/>
  <c r="H22" i="1"/>
  <c r="I22" i="1"/>
  <c r="J22" i="1"/>
  <c r="K22" i="1"/>
  <c r="C29" i="1"/>
  <c r="C31" i="1" s="1"/>
  <c r="D29" i="1"/>
  <c r="D31" i="1" s="1"/>
  <c r="E29" i="1"/>
  <c r="E31" i="1" s="1"/>
  <c r="F29" i="1"/>
  <c r="F31" i="1" s="1"/>
  <c r="G29" i="1"/>
  <c r="G31" i="1" s="1"/>
  <c r="H29" i="1"/>
  <c r="H31" i="1" s="1"/>
  <c r="I29" i="1"/>
  <c r="I31" i="1" s="1"/>
  <c r="J29" i="1"/>
  <c r="J31" i="1" s="1"/>
  <c r="K29" i="1"/>
  <c r="K31" i="1" s="1"/>
  <c r="B29" i="1"/>
  <c r="B31" i="1" s="1"/>
  <c r="B14" i="1"/>
  <c r="B4" i="1"/>
  <c r="B12" i="1" s="1"/>
  <c r="A2" i="1"/>
  <c r="E1" i="6"/>
  <c r="E13" i="4" l="1"/>
  <c r="E14" i="4"/>
  <c r="D13" i="4"/>
  <c r="D14" i="4"/>
  <c r="C14" i="4"/>
  <c r="C13" i="4"/>
  <c r="I13" i="4"/>
  <c r="I14" i="4"/>
  <c r="H13" i="4"/>
  <c r="H14" i="4"/>
  <c r="J13" i="4"/>
  <c r="J14" i="4"/>
  <c r="F14" i="4"/>
  <c r="F13" i="4"/>
  <c r="I19" i="1"/>
  <c r="E19" i="1"/>
  <c r="K15" i="1"/>
  <c r="G15" i="1"/>
  <c r="C15" i="1"/>
  <c r="K11" i="7"/>
  <c r="L11" i="7" s="1"/>
  <c r="K12" i="7"/>
  <c r="I23" i="1"/>
  <c r="I32" i="1" s="1"/>
  <c r="E23" i="1"/>
  <c r="H25" i="2"/>
  <c r="D25" i="2"/>
  <c r="K25" i="2"/>
  <c r="B11" i="11"/>
  <c r="G25" i="2"/>
  <c r="C25" i="2"/>
  <c r="H19" i="1"/>
  <c r="H23" i="1" s="1"/>
  <c r="H32" i="1" s="1"/>
  <c r="D19" i="1"/>
  <c r="D23" i="1" s="1"/>
  <c r="D32" i="1" s="1"/>
  <c r="B15" i="1"/>
  <c r="I18" i="1"/>
  <c r="K19" i="1"/>
  <c r="K23" i="1" s="1"/>
  <c r="K25" i="1" s="1"/>
  <c r="G19" i="1"/>
  <c r="G23" i="1" s="1"/>
  <c r="G32" i="1" s="1"/>
  <c r="C19" i="1"/>
  <c r="C23" i="1" s="1"/>
  <c r="C25" i="1" s="1"/>
  <c r="I15" i="1"/>
  <c r="E15" i="1"/>
  <c r="J19" i="1"/>
  <c r="J23" i="1" s="1"/>
  <c r="J32" i="1" s="1"/>
  <c r="F19" i="1"/>
  <c r="F23" i="1" s="1"/>
  <c r="F32" i="1" s="1"/>
  <c r="I9" i="4"/>
  <c r="E9" i="4"/>
  <c r="E32" i="1"/>
  <c r="C18" i="1"/>
  <c r="K18" i="1"/>
  <c r="C37" i="1"/>
  <c r="D37" i="1"/>
  <c r="E37" i="1"/>
  <c r="B37" i="1"/>
  <c r="B17" i="15" s="1"/>
  <c r="F13" i="9"/>
  <c r="K11" i="4"/>
  <c r="K13" i="3"/>
  <c r="K12" i="3"/>
  <c r="H13" i="3"/>
  <c r="H12" i="3"/>
  <c r="E18" i="1"/>
  <c r="J13" i="3"/>
  <c r="J12" i="3"/>
  <c r="J25" i="2"/>
  <c r="F25" i="2"/>
  <c r="I13" i="3"/>
  <c r="I12" i="3"/>
  <c r="E12" i="3"/>
  <c r="I25" i="2"/>
  <c r="E25" i="2"/>
  <c r="J18" i="1"/>
  <c r="D18" i="1"/>
  <c r="G13" i="3"/>
  <c r="D9" i="4"/>
  <c r="F5" i="1"/>
  <c r="F8" i="4"/>
  <c r="F24" i="2"/>
  <c r="I24" i="2"/>
  <c r="I8" i="4"/>
  <c r="E24" i="2"/>
  <c r="E8" i="4"/>
  <c r="J9" i="4"/>
  <c r="H24" i="2"/>
  <c r="H8" i="4"/>
  <c r="D5" i="1"/>
  <c r="D24" i="2"/>
  <c r="D8" i="4"/>
  <c r="J24" i="2"/>
  <c r="J8" i="4"/>
  <c r="K24" i="2"/>
  <c r="K8" i="4"/>
  <c r="G24" i="2"/>
  <c r="G8" i="4"/>
  <c r="C24" i="2"/>
  <c r="C8" i="4"/>
  <c r="E5" i="1"/>
  <c r="I24" i="1"/>
  <c r="E24" i="1"/>
  <c r="E21" i="1"/>
  <c r="K20" i="1"/>
  <c r="I5" i="1"/>
  <c r="H5" i="1"/>
  <c r="J5" i="1"/>
  <c r="K5" i="1"/>
  <c r="G5" i="1"/>
  <c r="C5" i="1"/>
  <c r="H25" i="1"/>
  <c r="G25" i="1"/>
  <c r="C26" i="1"/>
  <c r="D25" i="1"/>
  <c r="K26" i="1"/>
  <c r="J25" i="1"/>
  <c r="E26" i="1"/>
  <c r="E25" i="1"/>
  <c r="I21" i="1"/>
  <c r="B6" i="7"/>
  <c r="B3" i="8"/>
  <c r="E3" i="8" s="1"/>
  <c r="E26" i="2"/>
  <c r="E6" i="12" s="1"/>
  <c r="E1" i="3"/>
  <c r="H16" i="2"/>
  <c r="D16" i="2"/>
  <c r="D27" i="2" s="1"/>
  <c r="K26" i="2"/>
  <c r="K6" i="12" s="1"/>
  <c r="G16" i="2"/>
  <c r="I16" i="2"/>
  <c r="E16" i="2"/>
  <c r="E27" i="2" s="1"/>
  <c r="K16" i="2"/>
  <c r="C16" i="2"/>
  <c r="G26" i="2"/>
  <c r="J16" i="2"/>
  <c r="F16" i="2"/>
  <c r="D26" i="2"/>
  <c r="D6" i="12" s="1"/>
  <c r="F15" i="9" l="1"/>
  <c r="K14" i="4"/>
  <c r="K13" i="4"/>
  <c r="B12" i="4"/>
  <c r="B4" i="11" s="1"/>
  <c r="B14" i="11" s="1"/>
  <c r="I26" i="2"/>
  <c r="I6" i="12" s="1"/>
  <c r="K21" i="1"/>
  <c r="E39" i="1" s="1"/>
  <c r="H26" i="1"/>
  <c r="H18" i="1"/>
  <c r="K9" i="4"/>
  <c r="K32" i="1"/>
  <c r="H26" i="2"/>
  <c r="H6" i="12" s="1"/>
  <c r="H21" i="1"/>
  <c r="I25" i="1"/>
  <c r="I20" i="1"/>
  <c r="J24" i="1"/>
  <c r="I26" i="1"/>
  <c r="I28" i="1" s="1"/>
  <c r="C38" i="1"/>
  <c r="H9" i="4"/>
  <c r="E38" i="1"/>
  <c r="B4" i="10"/>
  <c r="K15" i="7"/>
  <c r="L12" i="7"/>
  <c r="C26" i="2"/>
  <c r="C6" i="12" s="1"/>
  <c r="D20" i="1"/>
  <c r="C32" i="1"/>
  <c r="G21" i="1"/>
  <c r="C39" i="1" s="1"/>
  <c r="J21" i="1"/>
  <c r="J26" i="1"/>
  <c r="K27" i="1" s="1"/>
  <c r="D26" i="1"/>
  <c r="E27" i="1" s="1"/>
  <c r="G26" i="1"/>
  <c r="G28" i="1" s="1"/>
  <c r="D21" i="1"/>
  <c r="J20" i="1"/>
  <c r="H24" i="1"/>
  <c r="D24" i="1"/>
  <c r="H20" i="1"/>
  <c r="B6" i="8"/>
  <c r="E6" i="8" s="1"/>
  <c r="D38" i="1"/>
  <c r="C9" i="4"/>
  <c r="F20" i="1"/>
  <c r="J26" i="2"/>
  <c r="J6" i="12" s="1"/>
  <c r="C21" i="1"/>
  <c r="E20" i="1"/>
  <c r="K24" i="1"/>
  <c r="G9" i="4"/>
  <c r="B20" i="15"/>
  <c r="G6" i="12"/>
  <c r="F26" i="2"/>
  <c r="F6" i="12" s="1"/>
  <c r="F25" i="1"/>
  <c r="F21" i="1"/>
  <c r="F9" i="4"/>
  <c r="F14" i="9"/>
  <c r="B8" i="8"/>
  <c r="F26" i="1"/>
  <c r="G20" i="1"/>
  <c r="F24" i="1"/>
  <c r="E8" i="8"/>
  <c r="G24" i="1"/>
  <c r="F18" i="1"/>
  <c r="G18" i="1"/>
  <c r="I27" i="2"/>
  <c r="F27" i="2"/>
  <c r="K27" i="2"/>
  <c r="H27" i="2"/>
  <c r="J27" i="2"/>
  <c r="G27" i="2"/>
  <c r="D39" i="1"/>
  <c r="B13" i="1"/>
  <c r="J28" i="1"/>
  <c r="E28" i="1"/>
  <c r="F28" i="1"/>
  <c r="F27" i="1"/>
  <c r="K28" i="1"/>
  <c r="C28" i="1"/>
  <c r="H28" i="1"/>
  <c r="I27" i="1"/>
  <c r="H13" i="1"/>
  <c r="C13" i="1"/>
  <c r="E13" i="1"/>
  <c r="I13" i="1"/>
  <c r="F13" i="1"/>
  <c r="J13" i="1"/>
  <c r="G13" i="1"/>
  <c r="D13" i="1"/>
  <c r="K13" i="1"/>
  <c r="C27" i="2"/>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B10" i="7" s="1"/>
  <c r="H3" i="1"/>
  <c r="C10" i="7" s="1"/>
  <c r="I3" i="1"/>
  <c r="D10" i="7" s="1"/>
  <c r="J3" i="1"/>
  <c r="E10" i="7" s="1"/>
  <c r="K3" i="1"/>
  <c r="F10" i="7" s="1"/>
  <c r="D14" i="11" l="1"/>
  <c r="B15" i="11"/>
  <c r="E10" i="8"/>
  <c r="H27" i="1"/>
  <c r="G27" i="1"/>
  <c r="J27" i="1"/>
  <c r="B10" i="8"/>
  <c r="B6" i="10" s="1"/>
  <c r="D27" i="1"/>
  <c r="B21" i="15"/>
  <c r="D28" i="1"/>
  <c r="B22" i="15"/>
  <c r="C6" i="10"/>
  <c r="E40" i="1"/>
  <c r="D40" i="1"/>
  <c r="C40" i="1"/>
  <c r="J8" i="9"/>
  <c r="C8" i="9"/>
  <c r="B7" i="7"/>
  <c r="B4" i="8"/>
  <c r="E4" i="8" s="1"/>
  <c r="B7" i="4"/>
  <c r="L7" i="4" s="1"/>
  <c r="B6" i="4"/>
  <c r="L6" i="4" s="1"/>
  <c r="B5" i="4"/>
  <c r="L5" i="4" s="1"/>
  <c r="B4" i="4"/>
  <c r="B3" i="4"/>
  <c r="K23" i="2"/>
  <c r="J23" i="2"/>
  <c r="I23" i="2"/>
  <c r="H23" i="2"/>
  <c r="G23" i="2"/>
  <c r="F23" i="2"/>
  <c r="E23" i="2"/>
  <c r="D23" i="2"/>
  <c r="C23" i="2"/>
  <c r="B18" i="2"/>
  <c r="B23" i="2" s="1"/>
  <c r="B13" i="2"/>
  <c r="B12" i="2"/>
  <c r="B11" i="2"/>
  <c r="B10" i="2"/>
  <c r="B24" i="2" s="1"/>
  <c r="B8" i="2"/>
  <c r="B7" i="2"/>
  <c r="B6" i="2"/>
  <c r="B25" i="2" s="1"/>
  <c r="B3" i="2"/>
  <c r="J17" i="3"/>
  <c r="H17" i="3"/>
  <c r="F17" i="3"/>
  <c r="D17" i="3"/>
  <c r="B15" i="3"/>
  <c r="F16" i="3" s="1"/>
  <c r="B11" i="3"/>
  <c r="B10" i="3"/>
  <c r="B9" i="3"/>
  <c r="B8" i="3"/>
  <c r="B4" i="3"/>
  <c r="F5" i="3" s="1"/>
  <c r="B3" i="3"/>
  <c r="L29" i="1"/>
  <c r="B22" i="1"/>
  <c r="B17" i="1"/>
  <c r="B16" i="1"/>
  <c r="B19" i="1" s="1"/>
  <c r="B22" i="2"/>
  <c r="B3" i="1"/>
  <c r="B8" i="4" l="1"/>
  <c r="L4" i="4"/>
  <c r="B11" i="4"/>
  <c r="D15" i="11"/>
  <c r="B16" i="11"/>
  <c r="B23" i="1"/>
  <c r="B38" i="1"/>
  <c r="B18" i="15" s="1"/>
  <c r="B9" i="4"/>
  <c r="B32" i="1"/>
  <c r="B33" i="1" s="1"/>
  <c r="C9" i="9"/>
  <c r="D9" i="9" s="1"/>
  <c r="D8" i="9"/>
  <c r="J9" i="9"/>
  <c r="K9" i="9" s="1"/>
  <c r="K8" i="9"/>
  <c r="F13" i="3"/>
  <c r="B12" i="3"/>
  <c r="B18" i="1"/>
  <c r="B25" i="1"/>
  <c r="C24" i="1"/>
  <c r="B21" i="1"/>
  <c r="B39" i="1" s="1"/>
  <c r="C20" i="1"/>
  <c r="B26" i="1"/>
  <c r="B26" i="2"/>
  <c r="B6" i="12" s="1"/>
  <c r="B16" i="2"/>
  <c r="B27" i="2" s="1"/>
  <c r="B17" i="3"/>
  <c r="E17" i="3"/>
  <c r="I17" i="3"/>
  <c r="C17" i="3"/>
  <c r="G17" i="3"/>
  <c r="K17" i="3"/>
  <c r="G22" i="2"/>
  <c r="I22" i="2"/>
  <c r="K22" i="2"/>
  <c r="D22" i="2"/>
  <c r="F22" i="2"/>
  <c r="H22" i="2"/>
  <c r="J22" i="2"/>
  <c r="C22" i="2"/>
  <c r="E22" i="2"/>
  <c r="L22" i="1"/>
  <c r="L17" i="1"/>
  <c r="L16" i="1"/>
  <c r="L14" i="1"/>
  <c r="L4" i="1"/>
  <c r="A1" i="3"/>
  <c r="A2" i="4"/>
  <c r="B14" i="4" l="1"/>
  <c r="B13" i="4"/>
  <c r="D16" i="11"/>
  <c r="B17" i="11"/>
  <c r="L15" i="1"/>
  <c r="J10" i="9"/>
  <c r="K10" i="9" s="1"/>
  <c r="C10" i="9"/>
  <c r="D10" i="9" s="1"/>
  <c r="B28" i="1"/>
  <c r="B40" i="1" s="1"/>
  <c r="C27" i="1"/>
  <c r="L6" i="1"/>
  <c r="L12" i="1" s="1"/>
  <c r="D17" i="11" l="1"/>
  <c r="B18" i="11"/>
  <c r="L19" i="1"/>
  <c r="L13" i="1"/>
  <c r="C11" i="9"/>
  <c r="D11" i="9" s="1"/>
  <c r="J11" i="9"/>
  <c r="K11" i="9" s="1"/>
  <c r="B19" i="11" l="1"/>
  <c r="D18" i="11"/>
  <c r="L23" i="1"/>
  <c r="B23" i="15" s="1"/>
  <c r="L18" i="1"/>
  <c r="L21" i="1"/>
  <c r="J12" i="9"/>
  <c r="K12" i="9" s="1"/>
  <c r="C12" i="9"/>
  <c r="D12" i="9" s="1"/>
  <c r="D19" i="11" l="1"/>
  <c r="B20" i="11"/>
  <c r="L25" i="1"/>
  <c r="L26" i="1"/>
  <c r="L28" i="1" s="1"/>
  <c r="C13" i="9"/>
  <c r="D13" i="9" s="1"/>
  <c r="J13" i="9"/>
  <c r="K13" i="9" s="1"/>
  <c r="B21" i="11" l="1"/>
  <c r="D20" i="11"/>
  <c r="J14" i="9"/>
  <c r="K14" i="9" s="1"/>
  <c r="C14" i="9"/>
  <c r="D14" i="9" s="1"/>
  <c r="D21" i="11" l="1"/>
  <c r="B22" i="11"/>
  <c r="C15" i="9"/>
  <c r="D15" i="9" s="1"/>
  <c r="J15" i="9"/>
  <c r="K15" i="9" s="1"/>
  <c r="B23" i="11" l="1"/>
  <c r="D22" i="11"/>
  <c r="J16" i="9"/>
  <c r="K16" i="9" s="1"/>
  <c r="C16" i="9"/>
  <c r="D16" i="9" s="1"/>
  <c r="G11" i="4"/>
  <c r="B40" i="7"/>
  <c r="B19" i="7" s="1"/>
  <c r="B20" i="7" s="1"/>
  <c r="G14" i="4" l="1"/>
  <c r="G13" i="4"/>
  <c r="L11" i="4"/>
  <c r="D23" i="11"/>
  <c r="B27" i="11" s="1"/>
  <c r="B29" i="11" s="1"/>
  <c r="B26" i="11"/>
  <c r="B28" i="11" s="1"/>
  <c r="C17" i="9"/>
  <c r="D17" i="9" s="1"/>
  <c r="J17" i="9"/>
  <c r="K17" i="9" s="1"/>
  <c r="B7" i="10" l="1"/>
  <c r="E4" i="11"/>
  <c r="E6" i="11" s="1"/>
  <c r="J18" i="9"/>
  <c r="K18" i="9" s="1"/>
  <c r="C18" i="9"/>
  <c r="D18" i="9" s="1"/>
  <c r="K19" i="9" l="1"/>
  <c r="D19" i="9"/>
  <c r="K21" i="9" l="1"/>
  <c r="C5" i="10"/>
  <c r="D21" i="9"/>
  <c r="B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5" authorId="0" shapeId="0" xr:uid="{2B86F004-D2E7-414D-AEAA-B43CB8BF2DF0}">
      <text>
        <r>
          <rPr>
            <b/>
            <sz val="9"/>
            <color indexed="81"/>
            <rFont val="Tahoma"/>
            <family val="2"/>
          </rPr>
          <t xml:space="preserve">Vishal: </t>
        </r>
        <r>
          <rPr>
            <sz val="9"/>
            <color indexed="81"/>
            <rFont val="Tahoma"/>
            <family val="2"/>
          </rPr>
          <t>Check for sales growth. If a business is not growing for a few years, or growing slower than the industry and peers, you may give it a pass.</t>
        </r>
      </text>
    </comment>
    <comment ref="A18" authorId="0" shapeId="0" xr:uid="{01A3225E-3E5A-43FF-B83F-84DD88670B4A}">
      <text>
        <r>
          <rPr>
            <b/>
            <sz val="9"/>
            <color indexed="81"/>
            <rFont val="Tahoma"/>
            <family val="2"/>
          </rPr>
          <t xml:space="preserve">Vishal: </t>
        </r>
        <r>
          <rPr>
            <sz val="9"/>
            <color indexed="81"/>
            <rFont val="Tahoma"/>
            <family val="2"/>
          </rPr>
          <t>Check this number especially for firms with debt. It shows the safety of interest payments, and whether the firm has enough profits to pay the same.</t>
        </r>
      </text>
    </comment>
    <comment ref="A21" authorId="0" shapeId="0" xr:uid="{CD4C2DF3-DDFD-4E40-85A1-AA2D4EA191EF}">
      <text>
        <r>
          <rPr>
            <b/>
            <sz val="9"/>
            <color indexed="81"/>
            <rFont val="Tahoma"/>
            <family val="2"/>
          </rPr>
          <t xml:space="preserve">Vishal: </t>
        </r>
        <r>
          <rPr>
            <sz val="9"/>
            <color indexed="81"/>
            <rFont val="Tahoma"/>
            <family val="2"/>
          </rPr>
          <t xml:space="preserve">Important profitability number. Better than Operating Margin. Check out changes in the same over years, and explore reasons for the same. Falling/rising PBT margin may indicate narrowing/expanding moat.
</t>
        </r>
      </text>
    </comment>
    <comment ref="A27" authorId="0" shapeId="0" xr:uid="{326EFA96-0A48-41A1-9BB5-FC5F20E47636}">
      <text>
        <r>
          <rPr>
            <b/>
            <sz val="9"/>
            <color indexed="81"/>
            <rFont val="Tahoma"/>
            <family val="2"/>
          </rPr>
          <t xml:space="preserve">Vishal: </t>
        </r>
        <r>
          <rPr>
            <sz val="9"/>
            <color indexed="81"/>
            <rFont val="Tahoma"/>
            <family val="2"/>
          </rPr>
          <t xml:space="preserve">Better growth number than Net profit growth, because EPS is adjusted for any dilution etc. Seek gradual growth in this number, and be careful of a declining number.
</t>
        </r>
      </text>
    </comment>
    <comment ref="A28" authorId="0" shapeId="0" xr:uid="{052726BD-CDAC-4AA8-838E-BF0BC24D9344}">
      <text>
        <r>
          <rPr>
            <b/>
            <sz val="9"/>
            <color indexed="81"/>
            <rFont val="Tahoma"/>
            <family val="2"/>
          </rPr>
          <t xml:space="preserve">Vishal: </t>
        </r>
        <r>
          <rPr>
            <sz val="9"/>
            <color indexed="81"/>
            <rFont val="Tahoma"/>
            <family val="2"/>
          </rPr>
          <t>Suggests the attractiveness of a firm in the eyes of Mr. Market. Lower P/Es reflect lower attractivenss, and higher reflect higher attractiveness. However, P/Es in isolation tell nothing about the quality of the business, especially when you are looking at short term numbers.</t>
        </r>
      </text>
    </comment>
    <comment ref="A33" authorId="0" shapeId="0" xr:uid="{16417B2D-B9A9-44A5-AF86-1E209B196DB5}">
      <text>
        <r>
          <rPr>
            <b/>
            <sz val="9"/>
            <color indexed="81"/>
            <rFont val="Tahoma"/>
            <charset val="1"/>
          </rPr>
          <t xml:space="preserve">Vishal: </t>
        </r>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K15" authorId="0" shapeId="0" xr:uid="{3011C64E-92B7-4656-9226-E92E4B597799}">
      <text>
        <r>
          <rPr>
            <b/>
            <sz val="9"/>
            <color indexed="81"/>
            <rFont val="Tahoma"/>
            <family val="2"/>
          </rPr>
          <t xml:space="preserve">Vishal: </t>
        </r>
        <r>
          <rPr>
            <sz val="9"/>
            <color indexed="81"/>
            <rFont val="Tahoma"/>
            <family val="2"/>
          </rPr>
          <t xml:space="preserve">A number less/more than 100% means that the Intrinsic Value as per EPV calculation is less/more than the current market cap, which makes the stock overpriced/underpriced to that extent.
</t>
        </r>
      </text>
    </comment>
    <comment ref="A19" authorId="0" shapeId="0" xr:uid="{A709B9AA-4E03-43B7-94C1-0E04BB0A7F74}">
      <text>
        <r>
          <rPr>
            <b/>
            <sz val="9"/>
            <color indexed="81"/>
            <rFont val="Tahoma"/>
            <family val="2"/>
          </rPr>
          <t xml:space="preserve">Vishal: </t>
        </r>
        <r>
          <rPr>
            <sz val="9"/>
            <color indexed="81"/>
            <rFont val="Tahoma"/>
            <family val="2"/>
          </rPr>
          <t>If the Maintenance Capex number is negative, given that the formula based Growth capex number (as calculated in the table below) may be bigger than Total Capex, use Total Capex as Maintenance Capex in this row.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7"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8" authorId="0" shapeId="0" xr:uid="{BD7EEABA-B977-44F3-A105-46F130EA0896}">
      <text>
        <r>
          <rPr>
            <b/>
            <sz val="9"/>
            <color indexed="81"/>
            <rFont val="Tahoma"/>
            <family val="2"/>
          </rPr>
          <t xml:space="preserve">Vishal: </t>
        </r>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b/>
            <sz val="9"/>
            <color indexed="81"/>
            <rFont val="Tahoma"/>
            <family val="2"/>
          </rPr>
          <t xml:space="preserve">Vishal: </t>
        </r>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b/>
            <sz val="9"/>
            <color indexed="81"/>
            <rFont val="Tahoma"/>
            <family val="2"/>
          </rPr>
          <t xml:space="preserve">Vishal: </t>
        </r>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b/>
            <sz val="9"/>
            <color indexed="81"/>
            <rFont val="Tahoma"/>
            <family val="2"/>
          </rPr>
          <t xml:space="preserve">Vishal: </t>
        </r>
        <r>
          <rPr>
            <sz val="9"/>
            <color indexed="81"/>
            <rFont val="Tahoma"/>
            <family val="2"/>
          </rPr>
          <t xml:space="preserve">Instead of assumed EPS growth rate of next 7-10 years as Graham proposed, I have assumed 100% of last five years CAGR in net profit (to arrive at the upper level of the Intrinsic Value range)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below.</t>
        </r>
      </text>
    </comment>
    <comment ref="A7" authorId="0" shapeId="0" xr:uid="{153D9C84-FF23-4046-82BB-D5D1F521FB3D}">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Safal Niveshak: </t>
        </r>
        <r>
          <rPr>
            <sz val="9"/>
            <color indexed="81"/>
            <rFont val="Tahoma"/>
            <family val="2"/>
          </rPr>
          <t xml:space="preserve">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b/>
            <sz val="9"/>
            <color indexed="81"/>
            <rFont val="Tahoma"/>
            <family val="2"/>
          </rPr>
          <t>Vishal:</t>
        </r>
        <r>
          <rPr>
            <sz val="9"/>
            <color indexed="81"/>
            <rFont val="Tahoma"/>
            <family val="2"/>
          </rPr>
          <t xml:space="preserve"> Highest EPS growth you should accord to a high quality business is 15% p.a.
</t>
        </r>
      </text>
    </comment>
    <comment ref="A12" authorId="0" shapeId="0" xr:uid="{14CB2B46-B17F-4448-80D1-0A7E0813F05D}">
      <text>
        <r>
          <rPr>
            <b/>
            <sz val="9"/>
            <color indexed="81"/>
            <rFont val="Tahoma"/>
            <family val="2"/>
          </rPr>
          <t xml:space="preserve">Vishal: </t>
        </r>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<sst xmlns="http://schemas.openxmlformats.org/spreadsheetml/2006/main" count="455" uniqueCount="324">
  <si>
    <t>COMPANY NAME</t>
  </si>
  <si>
    <t>SCREENER.IN</t>
  </si>
  <si>
    <t>Narration</t>
  </si>
  <si>
    <t>Trailing</t>
  </si>
  <si>
    <t>Sales</t>
  </si>
  <si>
    <t>Expenses</t>
  </si>
  <si>
    <t>Operating Profit</t>
  </si>
  <si>
    <t>Other Income</t>
  </si>
  <si>
    <t>Depreciation</t>
  </si>
  <si>
    <t>Interest</t>
  </si>
  <si>
    <t>Profit before tax</t>
  </si>
  <si>
    <t>Tax</t>
  </si>
  <si>
    <t>Net profit</t>
  </si>
  <si>
    <t>Price to earning</t>
  </si>
  <si>
    <t>Dividend Payout</t>
  </si>
  <si>
    <t>OPM</t>
  </si>
  <si>
    <t>TRENDS:</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</si>
  <si>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</si>
  <si>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</si>
  <si>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</si>
  <si>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</si>
  <si>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</si>
  <si>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</si>
  <si>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</si>
  <si>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</si>
  <si>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</si>
  <si>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</si>
  <si>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</si>
  <si>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</si>
  <si>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</si>
  <si>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</si>
  <si>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</si>
  <si>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</si>
  <si>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</si>
  <si>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</si>
  <si>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</si>
  <si>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</si>
  <si>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</si>
  <si>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</si>
  <si>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</si>
  <si>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</si>
  <si>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</si>
  <si>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</si>
  <si>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</si>
  <si>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</si>
  <si>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</si>
  <si>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</si>
  <si>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</si>
  <si>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</si>
  <si>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</si>
  <si>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</si>
  <si>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You can report any formula errors on the worksheet at:</t>
  </si>
  <si>
    <t>How to use it?</t>
  </si>
  <si>
    <t>EPS</t>
  </si>
  <si>
    <t>Price</t>
  </si>
  <si>
    <t>Return on Equity</t>
  </si>
  <si>
    <t>LATEST VERSION</t>
  </si>
  <si>
    <t>CURRENT VERSION</t>
  </si>
  <si>
    <t>HERO MOTOCORP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</si>
  <si>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</si>
  <si>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</si>
  <si>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</si>
  <si>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</si>
  <si>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</si>
  <si>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</si>
  <si>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</si>
  <si>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</si>
  <si>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</si>
  <si>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</si>
  <si>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</si>
  <si>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</si>
  <si>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</si>
  <si>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</si>
  <si>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</si>
  <si>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</si>
  <si>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</si>
  <si>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</si>
  <si>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</si>
  <si>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</si>
  <si>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</si>
  <si>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</si>
  <si>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</si>
  <si>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</si>
  <si>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</si>
  <si>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</si>
  <si>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</si>
  <si>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t xml:space="preserve"> screener.feedback@dalal-street.in</t>
  </si>
  <si>
    <t>EBIT</t>
  </si>
  <si>
    <t>Growth Capex</t>
  </si>
  <si>
    <t>Maintenance Capex</t>
  </si>
  <si>
    <t>EPV</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</si>
  <si>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</si>
  <si>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</si>
  <si>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</si>
  <si>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</si>
  <si>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</si>
  <si>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</si>
  <si>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</si>
  <si>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</si>
  <si>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</si>
  <si>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</si>
  <si>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</si>
  <si>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</si>
  <si>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</si>
  <si>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</si>
  <si>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</si>
  <si>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</si>
  <si>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</si>
  <si>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Check for wide fluctuations in key expense items. For manufacturing firms, check their material costs etc. For services firms, look at employee costs.</t>
  </si>
  <si>
    <t>Earnings Power Value (Bruce Greenwald)</t>
  </si>
  <si>
    <t>Net Sales</t>
  </si>
  <si>
    <t>Total Capex</t>
  </si>
  <si>
    <t>Less - Adjustment</t>
  </si>
  <si>
    <t>Tax Rate</t>
  </si>
  <si>
    <t>Per Share</t>
  </si>
  <si>
    <t>Total EPV</t>
  </si>
  <si>
    <t>EPV with Different Cost of Capital</t>
  </si>
  <si>
    <t>Calculation of Maintenance Capex</t>
  </si>
  <si>
    <t>EPV as % of Market Cap</t>
  </si>
  <si>
    <t>Latest Year Ended</t>
  </si>
  <si>
    <t>Long-Term Growth Rate</t>
  </si>
  <si>
    <t>Current Market Cap (Rs Crore)</t>
  </si>
  <si>
    <t>Ben Graham Value (Rs Crore)</t>
  </si>
  <si>
    <t>Avg 5-Yr Net Profit (Rs Crore)</t>
  </si>
  <si>
    <t>(Rs Crore)</t>
  </si>
  <si>
    <t>Year</t>
  </si>
  <si>
    <t>FCF (Rs Cr)</t>
  </si>
  <si>
    <t>PV of FCF (Rs Cr)</t>
  </si>
  <si>
    <t>Assumed FCF Growth</t>
  </si>
  <si>
    <t>Year 1-3</t>
  </si>
  <si>
    <t>FY18</t>
  </si>
  <si>
    <t>Year 4-6</t>
  </si>
  <si>
    <t>FY19</t>
  </si>
  <si>
    <t>Year 7-10</t>
  </si>
  <si>
    <t>FY20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</si>
  <si>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</si>
  <si>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</si>
  <si>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</si>
  <si>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</si>
  <si>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</si>
  <si>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</si>
  <si>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</si>
  <si>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</si>
  <si>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</si>
  <si>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</si>
  <si>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</si>
  <si>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</si>
  <si>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</si>
  <si>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</si>
  <si>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</si>
  <si>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</si>
  <si>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</si>
  <si>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</si>
  <si>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</si>
  <si>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</si>
  <si>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</si>
  <si>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</si>
  <si>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</si>
  <si>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</si>
  <si>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</si>
  <si>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</si>
  <si>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</si>
  <si>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</si>
  <si>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</si>
  <si>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</si>
  <si>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</si>
  <si>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</si>
  <si>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</si>
  <si>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</si>
  <si>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</si>
  <si>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</si>
  <si>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</si>
  <si>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</si>
  <si>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</si>
  <si>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</si>
  <si>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r>
      <t>Calculations</t>
    </r>
    <r>
      <rPr>
        <sz val="10"/>
        <color rgb="FFC00000"/>
        <rFont val="Arial"/>
        <family val="2"/>
      </rPr>
      <t xml:space="preserve"> </t>
    </r>
    <r>
      <rPr>
        <i/>
        <sz val="10"/>
        <color theme="1"/>
        <rFont val="Arial"/>
        <family val="2"/>
      </rPr>
      <t>(Enter values only in black cells)</t>
    </r>
  </si>
  <si>
    <t>Current Market Cap</t>
  </si>
  <si>
    <t>Dicounted Cash Flow Valuation</t>
  </si>
  <si>
    <t>Initial Cash Flow (Rs Cr)</t>
  </si>
  <si>
    <t>Net Debt Level (Rs Cr)</t>
  </si>
  <si>
    <t>DCF</t>
  </si>
  <si>
    <r>
      <t xml:space="preserve">DCF Value </t>
    </r>
    <r>
      <rPr>
        <b/>
        <i/>
        <sz val="10"/>
        <color theme="1"/>
        <rFont val="Arial"/>
        <family val="2"/>
      </rPr>
      <t>(As calculated in cell B29)</t>
    </r>
  </si>
  <si>
    <t>Expected Returns Model</t>
  </si>
  <si>
    <t>Expected Return</t>
  </si>
  <si>
    <t>Common Size P&amp;L</t>
  </si>
  <si>
    <t>Common Size Balance Sheet</t>
  </si>
  <si>
    <t>Total Liabilities</t>
  </si>
  <si>
    <t>Total Assets</t>
  </si>
  <si>
    <t>Profit Before Tax</t>
  </si>
  <si>
    <t>Net Profit</t>
  </si>
  <si>
    <t>FCF/Sales</t>
  </si>
  <si>
    <t>FCF/Net Profit</t>
  </si>
  <si>
    <t>EBIT (Adjusted)</t>
  </si>
  <si>
    <t>EBIT Margin'(Adjusted)</t>
  </si>
  <si>
    <t>Reported Profit After Tax (B)</t>
  </si>
  <si>
    <t>Lower</t>
  </si>
  <si>
    <t>Higher</t>
  </si>
  <si>
    <t>Cost of Capital/Discount Rate</t>
  </si>
  <si>
    <t>Rs Cr</t>
  </si>
  <si>
    <t>PBT Growth</t>
  </si>
  <si>
    <t>Market Cap</t>
  </si>
  <si>
    <t>Retained Earnings</t>
  </si>
  <si>
    <t>Buffett's $1 Test</t>
  </si>
  <si>
    <t>Other Income as % of Sales</t>
  </si>
  <si>
    <t>Note: See explanation of this model here</t>
  </si>
  <si>
    <t>Buffett Checklist - Read, Remember, Follow!</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</si>
  <si>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</si>
  <si>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</si>
  <si>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</si>
  <si>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</si>
  <si>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</si>
  <si>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</si>
  <si>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</si>
  <si>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</si>
  <si>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</si>
  <si>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</si>
  <si>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</si>
  <si>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</si>
  <si>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</si>
  <si>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</si>
  <si>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</si>
  <si>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</si>
  <si>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</si>
  <si>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</si>
  <si>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</si>
  <si>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</si>
  <si>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</si>
  <si>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</si>
  <si>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</si>
  <si>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</si>
  <si>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</si>
  <si>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www.safalniveshak.com</t>
  </si>
  <si>
    <t>Basic Company Details</t>
  </si>
  <si>
    <t>Parameters</t>
  </si>
  <si>
    <t>Details</t>
  </si>
  <si>
    <t>Company</t>
  </si>
  <si>
    <t>Current Stock Price (Rs)</t>
  </si>
  <si>
    <t>Face Value (Rs)</t>
  </si>
  <si>
    <t>No. of Shares (Crore)</t>
  </si>
  <si>
    <t>Market Capitalization (Rs Crore)</t>
  </si>
  <si>
    <t>Net Profit Growth (8-Year CAGR)</t>
  </si>
  <si>
    <t>Average Debt/Equity (5-Years, x)</t>
  </si>
  <si>
    <t>Average Return on Equity (5-Years)</t>
  </si>
  <si>
    <t>Key Financials - Trend</t>
  </si>
  <si>
    <t>Sales Growth (9-Year CAGR)</t>
  </si>
  <si>
    <t>Profit Before Tax Growth (9-Year CAGR)</t>
  </si>
  <si>
    <t>Latest P/E (x)</t>
  </si>
  <si>
    <t>Average P/E (5-Years, x)</t>
  </si>
  <si>
    <t>Cash &amp; Bank**</t>
  </si>
  <si>
    <t>** Change the "Cash &amp; Bank" number in "Balance Sheet" sheet (Row #19) so that the correct number automatically reflects here</t>
  </si>
  <si>
    <t>Net Cash**</t>
  </si>
  <si>
    <t>2. Calculate current year’s increase in sales</t>
  </si>
  <si>
    <t>Fixed Assets (PPE)</t>
  </si>
  <si>
    <t>Change in Sales</t>
  </si>
  <si>
    <t>PPE/Sales</t>
  </si>
  <si>
    <t>Capex**</t>
  </si>
  <si>
    <t>Earnings After Tax (Adjusted)</t>
  </si>
  <si>
    <t>Calculation of Normalized Earnings</t>
  </si>
  <si>
    <t>1. Start with operating earnings, i.e. EBIT. Adjust any one-time charges. I deduct 0.5% of reported EBIT as this adjustment</t>
  </si>
  <si>
    <t>4. Subtract Maintenance Capex</t>
  </si>
  <si>
    <t>3. Add back Depreciation</t>
  </si>
  <si>
    <t>Earnings After Tax (Normalized, A)</t>
  </si>
  <si>
    <t>5. After these four steps, you arrive at Normalized Earnings</t>
  </si>
  <si>
    <t xml:space="preserve">EPV Process (as per Greenwald's book, slightly modified) - </t>
  </si>
  <si>
    <t xml:space="preserve">Calculating Maintenance Capex, as per Greenwald's book - </t>
  </si>
  <si>
    <t>Maintenance Capex (See Table Below)</t>
  </si>
  <si>
    <t>Ben Graham's Original Formula: Value = EPS x (8.5 + 2G)</t>
  </si>
  <si>
    <t>Here, EPS is the trailing 12 month EPS, 8.5 is the P/E ratio of a stock with 0% growth and g is the growth rate for the next 7-10 years</t>
  </si>
  <si>
    <t>Ben Graham's Revised Formula: Value = [EPS x (8.5 + 2G) x 4.4] / Y</t>
  </si>
  <si>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</si>
  <si>
    <t>Note: I have used Graham's original formula in the above calculations</t>
  </si>
  <si>
    <r>
      <rPr>
        <b/>
        <i/>
        <u/>
        <sz val="10"/>
        <color rgb="FF0000FF"/>
        <rFont val="Arial"/>
        <family val="2"/>
      </rPr>
      <t>Note:</t>
    </r>
    <r>
      <rPr>
        <i/>
        <u/>
        <sz val="10"/>
        <color rgb="FF0000FF"/>
        <rFont val="Arial"/>
        <family val="2"/>
      </rPr>
      <t xml:space="preserve"> See explanation of DCF here</t>
    </r>
  </si>
  <si>
    <r>
      <rPr>
        <i/>
        <sz val="10"/>
        <color rgb="FF0000FF"/>
        <rFont val="Arial"/>
        <family val="2"/>
      </rPr>
      <t xml:space="preserve">Note: </t>
    </r>
    <r>
      <rPr>
        <i/>
        <u/>
        <sz val="10"/>
        <color rgb="FF0000FF"/>
        <rFont val="Arial"/>
        <family val="2"/>
      </rPr>
      <t>See explanation of this model here</t>
    </r>
  </si>
  <si>
    <t>Intrinsic Value Range</t>
  </si>
  <si>
    <t>Safal Niveshak Stock Analysis Excel (Ver. 3.0)</t>
  </si>
  <si>
    <t>Profit &amp; Loss Account / Income Statement</t>
  </si>
  <si>
    <t>Check for long term vs short term trends here. Check if the growth over past 3 or 5 years has slowed down / improved compared to long term (7 to 10 years) growth numbers.</t>
  </si>
  <si>
    <t>Dhandho Intrinsic Value Calculation</t>
  </si>
  <si>
    <t>Read the book - The Dhandho Investor by Mohnish Pabrai</t>
  </si>
  <si>
    <t>Dhandho IV - Lower Range</t>
  </si>
  <si>
    <t>Dhandho IV - Higher Range</t>
  </si>
  <si>
    <t>Remember!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</si>
  <si>
    <r>
      <rPr>
        <b/>
        <sz val="10"/>
        <color rgb="FFC00000"/>
        <rFont val="Arial"/>
        <family val="2"/>
      </rPr>
      <t xml:space="preserve">Warning! </t>
    </r>
    <r>
      <rPr>
        <b/>
        <sz val="10"/>
        <color theme="1"/>
        <rFont val="Arial"/>
        <family val="2"/>
      </rPr>
      <t>Excel can be a wonderful tool to analyze the past. But it can be a weapon of mass destruction to predict the future! So be very careful of what you are getting into. Here, garbage in will always equal garbage out.</t>
    </r>
  </si>
  <si>
    <r>
      <rPr>
        <b/>
        <sz val="10"/>
        <color rgb="FFC00000"/>
        <rFont val="Arial"/>
        <family val="2"/>
      </rPr>
      <t xml:space="preserve">Remember! </t>
    </r>
    <r>
      <rPr>
        <b/>
        <sz val="10"/>
        <color theme="1"/>
        <rFont val="Arial"/>
        <family val="2"/>
      </rPr>
      <t>Focus on decisions, not outcomes. Look for disconfirming evidence. Calculate. Pray!</t>
    </r>
  </si>
  <si>
    <r>
      <rPr>
        <b/>
        <sz val="10"/>
        <color rgb="FFC00000"/>
        <rFont val="Arial"/>
        <family val="2"/>
      </rPr>
      <t xml:space="preserve">Please! </t>
    </r>
    <r>
      <rPr>
        <b/>
        <sz val="10"/>
        <color theme="1"/>
        <rFont val="Arial"/>
        <family val="2"/>
      </rPr>
      <t>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r>
  </si>
  <si>
    <t>HOW TO USE THIS SPREADSHEET</t>
  </si>
  <si>
    <t>IMPORTANT INSTRUCTIONS</t>
  </si>
  <si>
    <t>2. All financial data of your chosen company will be automatically updated in the sheet you download, except "Cash and Bank" (Balance Sheet sheet) and Capex (Cash Flow sheet) figures, which you must update manually from the company's annual reports. Don’t forget to make these changes as these numbers are key inputs in a few Intrinsic Value calculations.</t>
  </si>
  <si>
    <t>** Manually enter this number; Convert to Rs Crore if not already done in the Annual Reports; Use Cash+Bank+Current Investments from Consolidated Balance Sheet in Annual Reports</t>
  </si>
  <si>
    <t>** Manually enter this number; Convert to Rs Crore if not already done in the Annual Reports; Use "Capital expenditure" number shown under "Cash Flow from Investing Activities" segment of Consolidated Cash Flow Statement available in the Annual Reports</t>
  </si>
  <si>
    <t>4. I have added Comments and Instructions wherever necessary so as to explain the concepts. Read those carefully before working on the sheet.</t>
  </si>
  <si>
    <t>6. I could not find a bug/errors in this spreadsheet, but if you notice some, please email me at - vishal@safalniveshak.com - and I will try to fix the same and update the sheet</t>
  </si>
  <si>
    <t>7. I will keep on updating the sheet from time to time and will update the same on the website. I invite you to share your feedback and thoughts on the sheet so that we can make it better together.</t>
  </si>
  <si>
    <t>1. Ensure that the company whose data you are downloading has numbers at least starting from FY08 (March 2008). This is because if, for instance, the company has financials starting from, say, FY10, you will see incorrect data for FY08 and FY09 (which will be of Hero Motocorp on whose financials I have created this Analysis sheet format)</t>
  </si>
  <si>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</si>
  <si>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</si>
  <si>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2. Apply a tax rate to the adjusted EBIT. I use the actual tax rate calculated from the Income Statement. After reducing this tax, we arrive at Adjusted Earnings After Tax</t>
  </si>
  <si>
    <t>1. Calculate the Average Gross Property Plant and Equipment (PPE) / Sales ratio over 5-7 years</t>
  </si>
  <si>
    <t>3. Multiply PPE/Sales ratio by increase in sales to arrive at Growth Capex</t>
  </si>
  <si>
    <r>
      <t xml:space="preserve">4. Maintenance Capex = Total Capex figure from the cash flow statement </t>
    </r>
    <r>
      <rPr>
        <i/>
        <sz val="10"/>
        <color theme="1"/>
        <rFont val="Arial"/>
        <family val="2"/>
      </rPr>
      <t xml:space="preserve">minus </t>
    </r>
    <r>
      <rPr>
        <sz val="10"/>
        <color theme="1"/>
        <rFont val="Arial"/>
        <family val="2"/>
      </rPr>
      <t>Growth Capex calculated above</t>
    </r>
  </si>
  <si>
    <t>Read the book - Value Investing: From Graham to Buffett and Beyond by Bruce Greenwald (EPV is explained Page 93 onwards)</t>
  </si>
  <si>
    <t>7. Note that Greenwald's process as per his book is slightly more detailed than what I have used here</t>
  </si>
  <si>
    <t>6. Divide this Normalized Earnings number by the Discount Rate to arrive at EPV. I use 12% discount rate/cost of capital.</t>
  </si>
  <si>
    <t>Explanation - Earnings power value (EPV) is a technique for valuing stocks by making an assumption about the sustainability of current earnings and the cost of capital but assuming no further growth. EPV formula = Adjusted Earnings / Cost of Capital</t>
  </si>
  <si>
    <t>Last 5-Years' CAGR</t>
  </si>
  <si>
    <t>EXPLANATION</t>
  </si>
  <si>
    <t>Ben Graham Formula (Low Range)</t>
  </si>
  <si>
    <t>Ben Graham Formula (High Range)</t>
  </si>
  <si>
    <t>4. DON’T touch any cell except the black ones, where you are required to update the numbers manually from Annual Reports (just Cash and Capex numbers) or where you may change the growth assumptions etc.</t>
  </si>
  <si>
    <t>3. You may update the sheet and add your own analysis, formulae etc. and then upload again to Screener.in site using the Step 2 mentioned above. But DON'T touch the sheet titled "Data Sheet" because this will cause errors in your future downloads.</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</si>
  <si>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</si>
  <si>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</si>
  <si>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</si>
  <si>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</si>
  <si>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</si>
  <si>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</si>
  <si>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r>
      <rPr>
        <b/>
        <sz val="10"/>
        <color theme="1"/>
        <rFont val="Arial"/>
        <family val="2"/>
      </rPr>
      <t>P.S.</t>
    </r>
    <r>
      <rPr>
        <sz val="10"/>
        <color theme="1"/>
        <rFont val="Arial"/>
        <family val="2"/>
      </rPr>
      <t xml:space="preserve">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r>
  </si>
  <si>
    <t>8. This excel won't work for banking and financial services companies.</t>
  </si>
  <si>
    <r>
      <rPr>
        <b/>
        <sz val="11"/>
        <color theme="1"/>
        <rFont val="Calibri"/>
        <family val="2"/>
        <scheme val="minor"/>
      </rPr>
      <t>Step 1 -</t>
    </r>
    <r>
      <rPr>
        <sz val="11"/>
        <color theme="1"/>
        <rFont val="Calibri"/>
        <family val="2"/>
        <scheme val="minor"/>
      </rPr>
      <t xml:space="preserve"> This spreadsheet works </t>
    </r>
    <r>
      <rPr>
        <i/>
        <sz val="11"/>
        <color theme="1"/>
        <rFont val="Calibri"/>
        <family val="2"/>
        <scheme val="minor"/>
      </rPr>
      <t>only</t>
    </r>
    <r>
      <rPr>
        <sz val="11"/>
        <color theme="1"/>
        <rFont val="Calibri"/>
        <family val="2"/>
        <scheme val="minor"/>
      </rPr>
      <t xml:space="preserve"> on Screener.in. The first step is to create a free account here - https://www.screener.in/register/</t>
    </r>
  </si>
  <si>
    <r>
      <rPr>
        <b/>
        <sz val="11"/>
        <color theme="1"/>
        <rFont val="Calibri"/>
        <family val="2"/>
        <scheme val="minor"/>
      </rPr>
      <t xml:space="preserve">Step 2 - </t>
    </r>
    <r>
      <rPr>
        <sz val="11"/>
        <color theme="1"/>
        <rFont val="Calibri"/>
        <family val="2"/>
        <scheme val="minor"/>
      </rPr>
      <t>After creating your account, while you are logged in to Screener.in website, visit this page - https://www.screener.in/excel/ - and upload this excel file.</t>
    </r>
  </si>
  <si>
    <r>
      <rPr>
        <b/>
        <sz val="10"/>
        <color theme="1"/>
        <rFont val="Arial"/>
        <family val="2"/>
      </rPr>
      <t>Step 3 -</t>
    </r>
    <r>
      <rPr>
        <sz val="10"/>
        <color theme="1"/>
        <rFont val="Arial"/>
        <family val="2"/>
      </rPr>
      <t xml:space="preserve">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r>
  </si>
  <si>
    <r>
      <rPr>
        <b/>
        <sz val="10"/>
        <color theme="1"/>
        <rFont val="Arial"/>
        <family val="2"/>
      </rPr>
      <t>Step 4 -</t>
    </r>
    <r>
      <rPr>
        <sz val="10"/>
        <color theme="1"/>
        <rFont val="Arial"/>
        <family val="2"/>
      </rPr>
      <t xml:space="preserve"> Scroll back to the top of the page, and you will see a button "Export to Excel" on the right side. Click the button and the company's financial data will be exported in an excel file in the exact format as "Safal Niveshak's Stock Analysis Excel Ver. 3.0". Now onwards, any excel you export for any company on Screener.in will be downloaded in this very format.</t>
    </r>
  </si>
  <si>
    <r>
      <rPr>
        <b/>
        <sz val="10"/>
        <color theme="1"/>
        <rFont val="Arial"/>
        <family val="2"/>
      </rPr>
      <t>Step 5 -</t>
    </r>
    <r>
      <rPr>
        <sz val="10"/>
        <color theme="1"/>
        <rFont val="Arial"/>
        <family val="2"/>
      </rPr>
      <t xml:space="preserve"> Email me your love and testimonial for helping you with this excel. :-)</t>
    </r>
  </si>
  <si>
    <r>
      <rPr>
        <b/>
        <sz val="10"/>
        <color theme="1"/>
        <rFont val="Arial"/>
        <family val="2"/>
      </rPr>
      <t>Note:</t>
    </r>
    <r>
      <rPr>
        <sz val="10"/>
        <color theme="1"/>
        <rFont val="Arial"/>
        <family val="2"/>
      </rPr>
      <t xml:space="preserve"> All data is sourced from Screener.in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</si>
</sst>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43" formatCode="_(* #,##0.00_);_(* \(#,##0.00\);_(* &quot;-&quot;??_);_(@_)"/>
    <numFmt numFmtId="164" formatCode="_ * #,##0.00_ ;_ * \-#,##0.00_ ;_ * &quot;-&quot;??_ ;_ @_ "/>
    <numFmt numFmtId="165" formatCode="[$-409]mmm\-yy;@"/>
    <numFmt numFmtId="166" formatCode="_(* #,##0_);_(* \(#,##0\);_(* &quot;-&quot;??_);_(@_)"/>
    <numFmt numFmtId="167" formatCode="_(* #,##0.0_);_(* \(#,##0.0\);_(* &quot;-&quot;??_);_(@_)"/>
    <numFmt numFmtId="168" formatCode="[$-409]mmm/yy;@"/>
    <numFmt numFmtId="169" formatCode="_ * #,##0.0_ ;_ * \-#,##0.0_ ;_ * &quot;-&quot;??_ ;_ @_ "/>
    <numFmt numFmtId="170" formatCode="_ * #,##0_ ;_ * \-#,##0_ ;_ * &quot;-&quot;??_ ;_ @_ "/>
    <numFmt numFmtId="171" formatCode="0.0%"/>
    <numFmt numFmtId="172" formatCode="#,##0.000_);[Red]\(#,##0.000\)"/>
    <numFmt numFmtId="173" formatCode="0.0000%"/>
  </numFmts>
  <fonts count="53"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5"/>
      <color theme="1"/>
      <name val="Arial"/>
      <family val="2"/>
    </font>
    <font>
      <b/>
      <sz val="10"/>
      <color theme="1"/>
      <name val="Arial"/>
      <family val="2"/>
    </font>
    <font>
      <sz val="10"/>
      <color theme="1"/>
      <name val="Arial"/>
      <family val="2"/>
    </font>
    <font>
      <b/>
      <sz val="10"/>
      <color theme="0"/>
      <name val="Arial"/>
      <family val="2"/>
    </font>
    <font>
      <i/>
      <sz val="10"/>
      <color theme="1"/>
      <name val="Arial"/>
      <family val="2"/>
    </font>
    <font>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sz val="10"/>
      <color rgb="FFC00000"/>
      <name val="Arial"/>
      <family val="2"/>
    </font>
    <font>
      <b/>
      <sz val="10"/>
      <color theme="1" tint="0.14999847407452621"/>
      <name val="Arial"/>
      <family val="2"/>
    </font>
    <font>
      <sz val="10"/>
      <color theme="1" tint="0.14999847407452621"/>
      <name val="Arial"/>
      <family val="2"/>
    </font>
    <font>
      <i/>
      <sz val="10"/>
      <color theme="0"/>
      <name val="Arial"/>
      <family val="2"/>
    </font>
    <font>
      <b/>
      <i/>
      <sz val="9"/>
      <color indexed="81"/>
      <name val="Tahoma"/>
      <family val="2"/>
    </font>
    <font>
      <b/>
      <sz val="10"/>
      <name val="Arial"/>
      <family val="2"/>
    </font>
    <font>
      <i/>
      <sz val="10"/>
      <color rgb="FFC00000"/>
      <name val="Arial"/>
      <family val="2"/>
    </font>
    <font>
      <b/>
      <sz val="10"/>
      <color rgb="FFC00000"/>
      <name val="Arial"/>
      <family val="2"/>
    </font>
    <font>
      <b/>
      <i/>
      <sz val="10"/>
      <color theme="1"/>
      <name val="Arial"/>
      <family val="2"/>
    </font>
    <font>
      <sz val="10"/>
      <color theme="1"/>
      <name val="Calibri"/>
      <family val="2"/>
      <scheme val="minor"/>
    </font>
    <font>
      <i/>
      <u/>
      <sz val="10"/>
      <color rgb="FF0000FF"/>
      <name val="Arial"/>
      <family val="2"/>
    </font>
    <font>
      <b/>
      <i/>
      <u/>
      <sz val="10"/>
      <color rgb="FF0000FF"/>
      <name val="Arial"/>
      <family val="2"/>
    </font>
    <font>
      <i/>
      <sz val="10"/>
      <color rgb="FF0000FF"/>
      <name val="Arial"/>
      <family val="2"/>
    </font>
    <font>
      <sz val="10"/>
      <color theme="1"/>
      <name val="Arial"/>
      <family val="2"/>
    </font>
    <font>
      <b/>
      <sz val="10"/>
      <color theme="1"/>
      <name val="Arial"/>
      <family val="2"/>
    </font>
    <font>
      <b/>
      <sz val="10"/>
      <color theme="0"/>
      <name val="Arial"/>
      <family val="2"/>
    </font>
    <font>
      <i/>
      <sz val="10"/>
      <color theme="1"/>
      <name val="Arial"/>
      <family val="2"/>
    </font>
    <font>
      <b/>
      <sz val="9"/>
      <color indexed="81"/>
      <name val="Tahoma"/>
      <charset val="1"/>
    </font>
    <font>
      <i/>
      <sz val="9"/>
      <color indexed="81"/>
      <name val="Tahoma"/>
      <family val="2"/>
    </font>
    <font>
      <b/>
      <sz val="10"/>
      <color theme="1"/>
      <name val="Arial"/>
      <family val="2"/>
    </font>
    <font>
      <sz val="10"/>
      <color theme="1"/>
      <name val="Arial"/>
      <family val="2"/>
    </font>
    <font>
      <sz val="20"/>
      <color theme="1"/>
      <name val="Arial Black"/>
      <family val="2"/>
    </font>
    <font>
      <b/>
      <sz val="10"/>
      <color theme="1"/>
      <name val="Arial"/>
      <family val="2"/>
    </font>
    <font>
      <sz val="10"/>
      <color theme="1"/>
      <name val="Arial"/>
      <family val="2"/>
    </font>
    <font>
      <b/>
      <sz val="10"/>
      <color theme="0"/>
      <name val="Arial"/>
      <family val="2"/>
    </font>
    <font>
      <sz val="10"/>
      <color theme="0"/>
      <name val="Arial"/>
      <family val="2"/>
    </font>
    <font>
      <i/>
      <sz val="10"/>
      <color theme="1"/>
      <name val="Arial"/>
      <family val="2"/>
    </font>
    <font>
      <b/>
      <i/>
      <sz val="10"/>
      <color rgb="FFC00000"/>
      <name val="Arial"/>
      <family val="2"/>
    </font>
    <font>
      <b/>
      <u/>
      <sz val="12"/>
      <color rgb="FF0000FF"/>
      <name val="Arial"/>
      <family val="2"/>
    </font>
    <font>
      <b/>
      <sz val="15"/>
      <color theme="1"/>
      <name val="Arial"/>
      <family val="2"/>
    </font>
    <font>
      <sz val="10"/>
      <color theme="1"/>
      <name val="Arial"/>
      <family val="2"/>
    </font>
    <font>
      <b/>
      <u/>
      <sz val="12"/>
      <color rgb="FF0000FF"/>
      <name val="Arial"/>
      <family val="2"/>
    </font>
    <font>
      <b/>
      <sz val="12"/>
      <color rgb="FFC00000"/>
      <name val="Arial"/>
      <family val="2"/>
    </font>
    <font>
      <i/>
      <sz val="11"/>
      <color theme="1"/>
      <name val="Calibri"/>
      <family val="2"/>
      <scheme val="minor"/>
    </font>
    <font>
      <i/>
      <sz val="10"/>
      <color theme="1"/>
      <name val="Arial"/>
      <family val="2"/>
    </font>
  </fonts>
  <fills count="10">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446">
    <xf numFmtId="0" fontId="0" fillId="0" borderId="0" xfId="0"/>
    <xf numFmtId="0" fontId="1" fillId="0" borderId="0" xfId="0" applyFont="1" applyBorder="1"/>
    <xf numFmtId="0" fontId="0" fillId="0" borderId="0" xfId="0" applyBorder="1"/>
    <xf numFmtId="0" fontId="6" fillId="0" borderId="0" xfId="0" applyFont="1" applyBorder="1"/>
    <xf numFmtId="0" fontId="0" fillId="0" borderId="0" xfId="0" applyBorder="1" applyAlignment="1">
      <alignment horizontal="left"/>
    </xf>
    <xf numFmtId="0" fontId="5" fillId="0" borderId="0" xfId="2" applyFont="1" applyBorder="1" applyAlignment="1" applyProtection="1">
      <alignment horizontal="left"/>
    </xf>
    <xf numFmtId="0" fontId="5" fillId="0" borderId="0" xfId="2" applyFont="1" applyBorder="1" applyAlignment="1" applyProtection="1"/>
    <xf numFmtId="0" fontId="8" fillId="0" borderId="0" xfId="0" applyFont="1" applyBorder="1"/>
    <xf numFmtId="0" fontId="9" fillId="0" borderId="0" xfId="0" applyFont="1"/>
    <xf numFmtId="165" fontId="10" fillId="3" borderId="0" xfId="0" applyNumberFormat="1" applyFont="1" applyFill="1" applyBorder="1" applyAlignment="1">
      <alignment horizontal="center"/>
    </xf>
    <xf numFmtId="0" fontId="8" fillId="0" borderId="0" xfId="0" applyFont="1" applyFill="1" applyBorder="1"/>
    <xf numFmtId="164" fontId="8" fillId="0" borderId="0" xfId="1" applyFont="1" applyBorder="1"/>
    <xf numFmtId="0" fontId="11" fillId="0" borderId="0" xfId="0" applyFont="1" applyBorder="1"/>
    <xf numFmtId="0" fontId="9" fillId="0" borderId="0" xfId="0" applyFont="1" applyBorder="1"/>
    <xf numFmtId="164" fontId="9" fillId="0" borderId="0" xfId="1" applyFont="1" applyBorder="1"/>
    <xf numFmtId="0" fontId="9" fillId="0" borderId="1" xfId="0" applyFont="1" applyBorder="1"/>
    <xf numFmtId="166" fontId="9" fillId="5" borderId="1" xfId="1" applyNumberFormat="1" applyFont="1" applyFill="1" applyBorder="1" applyAlignment="1">
      <alignment horizontal="right"/>
    </xf>
    <xf numFmtId="0" fontId="9" fillId="0" borderId="0" xfId="0" applyFont="1" applyFill="1"/>
    <xf numFmtId="0" fontId="9" fillId="5" borderId="1" xfId="0" applyFont="1" applyFill="1" applyBorder="1" applyAlignment="1">
      <alignment horizontal="right"/>
    </xf>
    <xf numFmtId="168" fontId="9" fillId="5" borderId="1" xfId="0" applyNumberFormat="1" applyFont="1" applyFill="1" applyBorder="1" applyAlignment="1">
      <alignment horizontal="right"/>
    </xf>
    <xf numFmtId="0" fontId="9" fillId="5" borderId="0" xfId="0" applyFont="1" applyFill="1" applyAlignment="1">
      <alignment horizontal="right"/>
    </xf>
    <xf numFmtId="167" fontId="9" fillId="5" borderId="1" xfId="1" applyNumberFormat="1" applyFont="1" applyFill="1" applyBorder="1" applyAlignment="1">
      <alignment horizontal="right"/>
    </xf>
    <xf numFmtId="0" fontId="8" fillId="0" borderId="0" xfId="0" applyFont="1"/>
    <xf numFmtId="166" fontId="9" fillId="0" borderId="0" xfId="1" applyNumberFormat="1" applyFont="1"/>
    <xf numFmtId="0" fontId="9" fillId="0" borderId="0" xfId="0" applyFont="1" applyAlignment="1">
      <alignment horizontal="right"/>
    </xf>
    <xf numFmtId="9" fontId="9" fillId="0" borderId="0" xfId="4" applyFont="1"/>
    <xf numFmtId="0" fontId="8" fillId="0" borderId="0" xfId="0" applyFont="1" applyFill="1" applyBorder="1" applyAlignment="1"/>
    <xf numFmtId="0" fontId="9" fillId="0" borderId="0" xfId="0" applyFont="1" applyFill="1" applyBorder="1"/>
    <xf numFmtId="0" fontId="13" fillId="0" borderId="0" xfId="0" applyFont="1" applyFill="1" applyBorder="1"/>
    <xf numFmtId="165" fontId="10" fillId="3" borderId="0" xfId="1" applyNumberFormat="1" applyFont="1" applyFill="1" applyBorder="1"/>
    <xf numFmtId="165" fontId="13" fillId="0" borderId="0" xfId="1" applyNumberFormat="1" applyFont="1" applyFill="1" applyBorder="1"/>
    <xf numFmtId="43" fontId="9" fillId="0" borderId="0" xfId="1" applyNumberFormat="1" applyFont="1" applyBorder="1"/>
    <xf numFmtId="9" fontId="9" fillId="5" borderId="1" xfId="4" applyFont="1" applyFill="1" applyBorder="1" applyAlignment="1">
      <alignment horizontal="right"/>
    </xf>
    <xf numFmtId="170" fontId="9" fillId="0" borderId="1" xfId="1" applyNumberFormat="1" applyFont="1" applyBorder="1"/>
    <xf numFmtId="170" fontId="9" fillId="0" borderId="0" xfId="0" applyNumberFormat="1" applyFont="1"/>
    <xf numFmtId="170" fontId="9" fillId="0" borderId="1" xfId="1" applyNumberFormat="1" applyFont="1" applyBorder="1" applyAlignment="1">
      <alignment horizontal="right"/>
    </xf>
    <xf numFmtId="170" fontId="9" fillId="0" borderId="1" xfId="0" applyNumberFormat="1" applyFont="1" applyBorder="1"/>
    <xf numFmtId="170" fontId="9" fillId="5" borderId="1" xfId="1" applyNumberFormat="1" applyFont="1" applyFill="1" applyBorder="1" applyAlignment="1">
      <alignment horizontal="right"/>
    </xf>
    <xf numFmtId="0" fontId="8" fillId="0" borderId="0" xfId="0" quotePrefix="1" applyFont="1" applyFill="1" applyBorder="1"/>
    <xf numFmtId="170" fontId="9" fillId="0" borderId="0" xfId="1" applyNumberFormat="1" applyFont="1" applyFill="1" applyBorder="1" applyAlignment="1">
      <alignment horizontal="right"/>
    </xf>
    <xf numFmtId="0" fontId="9" fillId="0" borderId="1" xfId="0" applyFont="1" applyFill="1" applyBorder="1"/>
    <xf numFmtId="170" fontId="9" fillId="0" borderId="1" xfId="1" applyNumberFormat="1" applyFont="1" applyFill="1" applyBorder="1" applyAlignment="1">
      <alignment horizontal="right"/>
    </xf>
    <xf numFmtId="170" fontId="9" fillId="0" borderId="1" xfId="1" applyNumberFormat="1" applyFont="1" applyFill="1" applyBorder="1"/>
    <xf numFmtId="170" fontId="9" fillId="0" borderId="1" xfId="0" applyNumberFormat="1" applyFont="1" applyFill="1" applyBorder="1"/>
    <xf numFmtId="164" fontId="9" fillId="0" borderId="1" xfId="1" applyNumberFormat="1" applyFont="1" applyFill="1" applyBorder="1"/>
    <xf numFmtId="0" fontId="9" fillId="0" borderId="1" xfId="0" quotePrefix="1" applyFont="1" applyBorder="1"/>
    <xf numFmtId="9" fontId="9" fillId="0" borderId="1" xfId="0" applyNumberFormat="1" applyFont="1" applyBorder="1" applyAlignment="1">
      <alignment horizontal="center"/>
    </xf>
    <xf numFmtId="170" fontId="9" fillId="7" borderId="1" xfId="1" applyNumberFormat="1" applyFont="1" applyFill="1" applyBorder="1"/>
    <xf numFmtId="170" fontId="9" fillId="7" borderId="1" xfId="0" applyNumberFormat="1" applyFont="1" applyFill="1" applyBorder="1"/>
    <xf numFmtId="9" fontId="9" fillId="7" borderId="1" xfId="4" applyFont="1" applyFill="1" applyBorder="1"/>
    <xf numFmtId="166" fontId="9" fillId="7" borderId="1" xfId="1" applyNumberFormat="1" applyFont="1" applyFill="1" applyBorder="1" applyAlignment="1">
      <alignment horizontal="right"/>
    </xf>
    <xf numFmtId="167" fontId="9" fillId="0" borderId="1" xfId="1" applyNumberFormat="1" applyFont="1" applyFill="1" applyBorder="1" applyAlignment="1">
      <alignment horizontal="right"/>
    </xf>
    <xf numFmtId="0" fontId="8" fillId="8" borderId="1" xfId="0" applyFont="1" applyFill="1" applyBorder="1"/>
    <xf numFmtId="168" fontId="8" fillId="8" borderId="1" xfId="0" applyNumberFormat="1" applyFont="1" applyFill="1" applyBorder="1" applyAlignment="1">
      <alignment horizontal="right"/>
    </xf>
    <xf numFmtId="0" fontId="8" fillId="8" borderId="1" xfId="0" applyFont="1" applyFill="1" applyBorder="1" applyAlignment="1">
      <alignment horizontal="center"/>
    </xf>
    <xf numFmtId="0" fontId="8" fillId="8" borderId="1" xfId="0" applyFont="1" applyFill="1" applyBorder="1" applyAlignment="1">
      <alignment horizontal="right"/>
    </xf>
    <xf numFmtId="168" fontId="8" fillId="8" borderId="1" xfId="0" applyNumberFormat="1" applyFont="1" applyFill="1" applyBorder="1"/>
    <xf numFmtId="0" fontId="10" fillId="4" borderId="1" xfId="0" applyFont="1" applyFill="1" applyBorder="1"/>
    <xf numFmtId="0" fontId="9" fillId="0" borderId="1" xfId="0" applyFont="1" applyBorder="1" applyAlignment="1">
      <alignment horizontal="center"/>
    </xf>
    <xf numFmtId="166" fontId="18" fillId="0" borderId="1" xfId="1" applyNumberFormat="1" applyFont="1" applyBorder="1" applyAlignment="1">
      <alignment horizontal="right"/>
    </xf>
    <xf numFmtId="166" fontId="9" fillId="0" borderId="1" xfId="1" applyNumberFormat="1" applyFont="1" applyBorder="1" applyAlignment="1">
      <alignment horizontal="right"/>
    </xf>
    <xf numFmtId="166" fontId="9" fillId="0" borderId="1" xfId="1" applyNumberFormat="1" applyFont="1" applyBorder="1"/>
    <xf numFmtId="9" fontId="9" fillId="0" borderId="1" xfId="4" applyFont="1" applyBorder="1"/>
    <xf numFmtId="0" fontId="19" fillId="8" borderId="1" xfId="0" applyFont="1" applyFill="1" applyBorder="1" applyAlignment="1">
      <alignment horizontal="center"/>
    </xf>
    <xf numFmtId="0" fontId="19" fillId="8" borderId="1" xfId="0" applyFont="1" applyFill="1" applyBorder="1"/>
    <xf numFmtId="0" fontId="19" fillId="8" borderId="1" xfId="0" applyFont="1" applyFill="1" applyBorder="1" applyAlignment="1">
      <alignment horizontal="right"/>
    </xf>
    <xf numFmtId="0" fontId="20" fillId="5" borderId="1" xfId="0" applyFont="1" applyFill="1" applyBorder="1"/>
    <xf numFmtId="170" fontId="20" fillId="5" borderId="1" xfId="1" applyNumberFormat="1" applyFont="1" applyFill="1" applyBorder="1"/>
    <xf numFmtId="9" fontId="10" fillId="4" borderId="1" xfId="0" applyNumberFormat="1" applyFont="1" applyFill="1" applyBorder="1"/>
    <xf numFmtId="166" fontId="10" fillId="4" borderId="1" xfId="1" applyNumberFormat="1" applyFont="1" applyFill="1" applyBorder="1" applyAlignment="1">
      <alignment horizontal="right"/>
    </xf>
    <xf numFmtId="170" fontId="10" fillId="4" borderId="1" xfId="1" applyNumberFormat="1" applyFont="1" applyFill="1" applyBorder="1" applyAlignment="1">
      <alignment horizontal="right"/>
    </xf>
    <xf numFmtId="166" fontId="9" fillId="7" borderId="1" xfId="1" applyNumberFormat="1" applyFont="1" applyFill="1" applyBorder="1"/>
    <xf numFmtId="166" fontId="20" fillId="7" borderId="1" xfId="1" applyNumberFormat="1" applyFont="1" applyFill="1" applyBorder="1"/>
    <xf numFmtId="0" fontId="24" fillId="0" borderId="0" xfId="0" applyFont="1" applyBorder="1" applyAlignment="1">
      <alignment horizontal="center"/>
    </xf>
    <xf numFmtId="166" fontId="9" fillId="0" borderId="13" xfId="1" applyNumberFormat="1" applyFont="1" applyFill="1" applyBorder="1" applyAlignment="1">
      <alignment horizontal="center"/>
    </xf>
    <xf numFmtId="0" fontId="9" fillId="0" borderId="0" xfId="0" applyFont="1" applyAlignment="1">
      <alignment horizontal="left"/>
    </xf>
    <xf numFmtId="49" fontId="23" fillId="9" borderId="14" xfId="0" applyNumberFormat="1" applyFont="1" applyFill="1" applyBorder="1" applyAlignment="1">
      <alignment horizontal="center"/>
    </xf>
    <xf numFmtId="49" fontId="23" fillId="9" borderId="15" xfId="0" applyNumberFormat="1" applyFont="1" applyFill="1" applyBorder="1" applyAlignment="1">
      <alignment horizontal="center"/>
    </xf>
    <xf numFmtId="49" fontId="13" fillId="0" borderId="0" xfId="0" applyNumberFormat="1" applyFont="1" applyAlignment="1">
      <alignment horizontal="center"/>
    </xf>
    <xf numFmtId="9" fontId="9" fillId="0" borderId="0" xfId="0" applyNumberFormat="1" applyFont="1" applyBorder="1" applyAlignment="1">
      <alignment horizontal="center"/>
    </xf>
    <xf numFmtId="0" fontId="25" fillId="0" borderId="0" xfId="0" applyFont="1"/>
    <xf numFmtId="9" fontId="9" fillId="0" borderId="0" xfId="0" applyNumberFormat="1" applyFont="1"/>
    <xf numFmtId="9" fontId="25" fillId="0" borderId="0" xfId="0" applyNumberFormat="1" applyFont="1" applyAlignment="1">
      <alignment horizontal="center"/>
    </xf>
    <xf numFmtId="0" fontId="13" fillId="0" borderId="0" xfId="0" applyFont="1"/>
    <xf numFmtId="0" fontId="23" fillId="9" borderId="7" xfId="0" applyFont="1" applyFill="1" applyBorder="1" applyAlignment="1">
      <alignment horizontal="center"/>
    </xf>
    <xf numFmtId="0" fontId="23" fillId="9" borderId="8" xfId="0" applyFont="1" applyFill="1" applyBorder="1" applyAlignment="1">
      <alignment horizontal="center"/>
    </xf>
    <xf numFmtId="0" fontId="23" fillId="9" borderId="9" xfId="0" applyFont="1" applyFill="1" applyBorder="1" applyAlignment="1">
      <alignment horizontal="center"/>
    </xf>
    <xf numFmtId="0" fontId="13" fillId="0" borderId="24" xfId="0" applyFont="1" applyBorder="1" applyAlignment="1">
      <alignment horizontal="center"/>
    </xf>
    <xf numFmtId="38" fontId="13" fillId="0" borderId="1" xfId="0" applyNumberFormat="1" applyFont="1" applyBorder="1" applyAlignment="1">
      <alignment horizontal="center"/>
    </xf>
    <xf numFmtId="9" fontId="13" fillId="0" borderId="1" xfId="0" applyNumberFormat="1" applyFont="1" applyBorder="1" applyAlignment="1">
      <alignment horizontal="center"/>
    </xf>
    <xf numFmtId="166" fontId="13" fillId="0" borderId="25" xfId="0" applyNumberFormat="1" applyFont="1" applyBorder="1" applyAlignment="1">
      <alignment horizontal="center"/>
    </xf>
    <xf numFmtId="166" fontId="9" fillId="0" borderId="0" xfId="0" applyNumberFormat="1" applyFont="1"/>
    <xf numFmtId="0" fontId="13" fillId="0" borderId="10" xfId="0" applyFont="1" applyBorder="1" applyAlignment="1">
      <alignment horizontal="center"/>
    </xf>
    <xf numFmtId="38" fontId="13" fillId="0" borderId="11" xfId="0" applyNumberFormat="1" applyFont="1" applyBorder="1" applyAlignment="1">
      <alignment horizontal="center"/>
    </xf>
    <xf numFmtId="9" fontId="13" fillId="0" borderId="11" xfId="0" applyNumberFormat="1" applyFont="1" applyBorder="1" applyAlignment="1">
      <alignment horizontal="center"/>
    </xf>
    <xf numFmtId="166" fontId="13" fillId="0" borderId="12" xfId="0" applyNumberFormat="1" applyFont="1" applyBorder="1" applyAlignment="1">
      <alignment horizontal="center"/>
    </xf>
    <xf numFmtId="0" fontId="13" fillId="0" borderId="0" xfId="0" applyFont="1" applyBorder="1" applyAlignment="1">
      <alignment horizontal="center"/>
    </xf>
    <xf numFmtId="172" fontId="13" fillId="0" borderId="0" xfId="0" applyNumberFormat="1" applyFont="1" applyBorder="1" applyAlignment="1">
      <alignment horizontal="center"/>
    </xf>
    <xf numFmtId="9" fontId="13" fillId="0" borderId="0" xfId="0" applyNumberFormat="1" applyFont="1" applyBorder="1" applyAlignment="1">
      <alignment horizontal="center"/>
    </xf>
    <xf numFmtId="6" fontId="13" fillId="0" borderId="0" xfId="0" applyNumberFormat="1" applyFont="1" applyBorder="1" applyAlignment="1">
      <alignment horizontal="center"/>
    </xf>
    <xf numFmtId="0" fontId="13" fillId="0" borderId="24" xfId="0" applyFont="1" applyBorder="1" applyAlignment="1">
      <alignment horizontal="left"/>
    </xf>
    <xf numFmtId="9" fontId="13" fillId="0" borderId="0" xfId="0" applyNumberFormat="1" applyFont="1" applyAlignment="1">
      <alignment horizontal="center"/>
    </xf>
    <xf numFmtId="172" fontId="13" fillId="0" borderId="0" xfId="0" applyNumberFormat="1" applyFont="1" applyAlignment="1">
      <alignment horizontal="center"/>
    </xf>
    <xf numFmtId="0" fontId="13" fillId="0" borderId="24" xfId="0" quotePrefix="1" applyFont="1" applyBorder="1" applyAlignment="1">
      <alignment horizontal="left"/>
    </xf>
    <xf numFmtId="0" fontId="8" fillId="9" borderId="29" xfId="0" applyFont="1" applyFill="1" applyBorder="1"/>
    <xf numFmtId="168" fontId="8" fillId="9" borderId="30" xfId="0" applyNumberFormat="1" applyFont="1" applyFill="1" applyBorder="1" applyAlignment="1">
      <alignment horizontal="right"/>
    </xf>
    <xf numFmtId="0" fontId="9" fillId="0" borderId="32" xfId="0" applyFont="1" applyBorder="1" applyAlignment="1">
      <alignment wrapText="1"/>
    </xf>
    <xf numFmtId="0" fontId="11" fillId="0" borderId="24" xfId="0" applyFont="1" applyBorder="1" applyAlignment="1">
      <alignment wrapText="1"/>
    </xf>
    <xf numFmtId="9" fontId="11" fillId="0" borderId="1" xfId="4" applyFont="1" applyBorder="1" applyAlignment="1">
      <alignment horizontal="right" wrapText="1"/>
    </xf>
    <xf numFmtId="0" fontId="11" fillId="0" borderId="10" xfId="0" applyFont="1" applyBorder="1" applyAlignment="1">
      <alignment wrapText="1"/>
    </xf>
    <xf numFmtId="9" fontId="11" fillId="0" borderId="11" xfId="4" applyFont="1" applyBorder="1" applyAlignment="1">
      <alignment horizontal="right" wrapText="1"/>
    </xf>
    <xf numFmtId="0" fontId="9" fillId="0" borderId="0" xfId="0" applyFont="1" applyBorder="1" applyAlignment="1">
      <alignment wrapText="1"/>
    </xf>
    <xf numFmtId="9" fontId="9" fillId="0" borderId="0" xfId="4" applyFont="1" applyBorder="1" applyAlignment="1">
      <alignment horizontal="right" wrapText="1"/>
    </xf>
    <xf numFmtId="166" fontId="9" fillId="0" borderId="0" xfId="1" applyNumberFormat="1" applyFont="1" applyAlignment="1">
      <alignment wrapText="1"/>
    </xf>
    <xf numFmtId="9" fontId="9" fillId="0" borderId="0" xfId="4" applyNumberFormat="1" applyFont="1"/>
    <xf numFmtId="0" fontId="9" fillId="0" borderId="7" xfId="0" applyFont="1" applyBorder="1"/>
    <xf numFmtId="0" fontId="9" fillId="0" borderId="24" xfId="0" applyFont="1" applyBorder="1"/>
    <xf numFmtId="166" fontId="9" fillId="5" borderId="25" xfId="1" applyNumberFormat="1" applyFont="1" applyFill="1" applyBorder="1"/>
    <xf numFmtId="173" fontId="9" fillId="0" borderId="0" xfId="4" applyNumberFormat="1" applyFont="1"/>
    <xf numFmtId="0" fontId="27" fillId="0" borderId="0" xfId="0" applyFont="1"/>
    <xf numFmtId="0" fontId="8" fillId="9" borderId="30" xfId="0" applyFont="1" applyFill="1" applyBorder="1" applyAlignment="1">
      <alignment horizontal="right"/>
    </xf>
    <xf numFmtId="0" fontId="8" fillId="9" borderId="31" xfId="0" applyFont="1" applyFill="1" applyBorder="1" applyAlignment="1">
      <alignment horizontal="right"/>
    </xf>
    <xf numFmtId="170" fontId="9" fillId="0" borderId="1" xfId="1" applyNumberFormat="1" applyFont="1" applyBorder="1" applyAlignment="1">
      <alignment horizontal="right" wrapText="1"/>
    </xf>
    <xf numFmtId="9" fontId="9" fillId="5" borderId="25" xfId="4" applyFont="1" applyFill="1" applyBorder="1"/>
    <xf numFmtId="9" fontId="9" fillId="0" borderId="1" xfId="4" applyNumberFormat="1" applyFont="1" applyFill="1" applyBorder="1" applyAlignment="1">
      <alignment horizontal="center"/>
    </xf>
    <xf numFmtId="9" fontId="9" fillId="0" borderId="25" xfId="4" applyNumberFormat="1" applyFont="1" applyFill="1" applyBorder="1" applyAlignment="1">
      <alignment horizontal="center"/>
    </xf>
    <xf numFmtId="9" fontId="11" fillId="0" borderId="1" xfId="4" applyNumberFormat="1" applyFont="1" applyFill="1" applyBorder="1" applyAlignment="1">
      <alignment horizontal="center"/>
    </xf>
    <xf numFmtId="9" fontId="11" fillId="0" borderId="25" xfId="4" applyNumberFormat="1" applyFont="1" applyFill="1" applyBorder="1" applyAlignment="1">
      <alignment horizontal="center"/>
    </xf>
    <xf numFmtId="9" fontId="11" fillId="0" borderId="11" xfId="4" applyNumberFormat="1" applyFont="1" applyFill="1" applyBorder="1" applyAlignment="1">
      <alignment horizontal="center"/>
    </xf>
    <xf numFmtId="9" fontId="11" fillId="0" borderId="12" xfId="4" applyNumberFormat="1" applyFont="1" applyFill="1" applyBorder="1" applyAlignment="1">
      <alignment horizontal="center"/>
    </xf>
    <xf numFmtId="167" fontId="9" fillId="5" borderId="25" xfId="1" applyNumberFormat="1" applyFont="1" applyFill="1" applyBorder="1"/>
    <xf numFmtId="9" fontId="12" fillId="4" borderId="9" xfId="0" applyNumberFormat="1" applyFont="1" applyFill="1" applyBorder="1"/>
    <xf numFmtId="167" fontId="12" fillId="4" borderId="25" xfId="1" applyNumberFormat="1" applyFont="1" applyFill="1" applyBorder="1"/>
    <xf numFmtId="9" fontId="10" fillId="4" borderId="16" xfId="0" applyNumberFormat="1" applyFont="1" applyFill="1" applyBorder="1" applyAlignment="1">
      <alignment horizontal="center"/>
    </xf>
    <xf numFmtId="9" fontId="10" fillId="4" borderId="17" xfId="0" applyNumberFormat="1" applyFont="1" applyFill="1" applyBorder="1" applyAlignment="1">
      <alignment horizontal="center"/>
    </xf>
    <xf numFmtId="9" fontId="10" fillId="4" borderId="21" xfId="0" applyNumberFormat="1" applyFont="1" applyFill="1" applyBorder="1" applyAlignment="1">
      <alignment horizontal="center"/>
    </xf>
    <xf numFmtId="9" fontId="10" fillId="4" borderId="13" xfId="0" applyNumberFormat="1" applyFont="1" applyFill="1" applyBorder="1" applyAlignment="1">
      <alignment horizontal="center"/>
    </xf>
    <xf numFmtId="0" fontId="11" fillId="0" borderId="1" xfId="0" applyFont="1" applyBorder="1"/>
    <xf numFmtId="0" fontId="8" fillId="0" borderId="1" xfId="0" applyFont="1" applyBorder="1"/>
    <xf numFmtId="165" fontId="10" fillId="3" borderId="1" xfId="0" applyNumberFormat="1" applyFont="1" applyFill="1" applyBorder="1" applyAlignment="1">
      <alignment horizontal="center"/>
    </xf>
    <xf numFmtId="9" fontId="8" fillId="9" borderId="1" xfId="0" applyNumberFormat="1" applyFont="1" applyFill="1" applyBorder="1"/>
    <xf numFmtId="9" fontId="9" fillId="0" borderId="1" xfId="0" applyNumberFormat="1" applyFont="1" applyBorder="1"/>
    <xf numFmtId="9" fontId="9" fillId="9" borderId="1" xfId="4" applyFont="1" applyFill="1" applyBorder="1"/>
    <xf numFmtId="166" fontId="11" fillId="5" borderId="1" xfId="1" applyNumberFormat="1" applyFont="1" applyFill="1" applyBorder="1" applyAlignment="1">
      <alignment horizontal="right"/>
    </xf>
    <xf numFmtId="9" fontId="9" fillId="7" borderId="1" xfId="0" applyNumberFormat="1" applyFont="1" applyFill="1" applyBorder="1" applyAlignment="1">
      <alignment horizontal="center"/>
    </xf>
    <xf numFmtId="9" fontId="11" fillId="0" borderId="1" xfId="4" applyFont="1" applyBorder="1"/>
    <xf numFmtId="170" fontId="8" fillId="0" borderId="1" xfId="1" applyNumberFormat="1" applyFont="1" applyBorder="1"/>
    <xf numFmtId="0" fontId="21" fillId="4" borderId="1" xfId="0" applyFont="1" applyFill="1" applyBorder="1"/>
    <xf numFmtId="170" fontId="21" fillId="4" borderId="1" xfId="1" applyNumberFormat="1" applyFont="1" applyFill="1" applyBorder="1"/>
    <xf numFmtId="170" fontId="11" fillId="0" borderId="1" xfId="0" applyNumberFormat="1" applyFont="1" applyBorder="1"/>
    <xf numFmtId="166" fontId="8" fillId="9" borderId="1" xfId="1" applyNumberFormat="1" applyFont="1" applyFill="1" applyBorder="1" applyAlignment="1">
      <alignment horizontal="right"/>
    </xf>
    <xf numFmtId="166" fontId="8" fillId="9" borderId="1" xfId="1" applyNumberFormat="1" applyFont="1" applyFill="1" applyBorder="1"/>
    <xf numFmtId="166" fontId="9" fillId="9" borderId="25" xfId="1" applyNumberFormat="1" applyFont="1" applyFill="1" applyBorder="1"/>
    <xf numFmtId="0" fontId="10" fillId="3" borderId="33" xfId="0" applyFont="1" applyFill="1" applyBorder="1"/>
    <xf numFmtId="165" fontId="10" fillId="3" borderId="30" xfId="0" applyNumberFormat="1" applyFont="1" applyFill="1" applyBorder="1" applyAlignment="1">
      <alignment horizontal="center"/>
    </xf>
    <xf numFmtId="165" fontId="10" fillId="3" borderId="2" xfId="0" applyNumberFormat="1" applyFont="1" applyFill="1" applyBorder="1" applyAlignment="1">
      <alignment horizontal="center"/>
    </xf>
    <xf numFmtId="0" fontId="8" fillId="0" borderId="6" xfId="0" applyFont="1" applyBorder="1"/>
    <xf numFmtId="170" fontId="8" fillId="0" borderId="4" xfId="1" applyNumberFormat="1" applyFont="1" applyBorder="1"/>
    <xf numFmtId="0" fontId="11" fillId="0" borderId="6" xfId="0" applyFont="1" applyBorder="1"/>
    <xf numFmtId="164" fontId="11" fillId="0" borderId="1" xfId="1" applyFont="1" applyBorder="1"/>
    <xf numFmtId="9" fontId="11" fillId="0" borderId="4" xfId="4" applyFont="1" applyBorder="1"/>
    <xf numFmtId="0" fontId="9" fillId="0" borderId="6" xfId="0" applyFont="1" applyBorder="1"/>
    <xf numFmtId="170" fontId="9" fillId="0" borderId="4" xfId="1" applyNumberFormat="1" applyFont="1" applyBorder="1"/>
    <xf numFmtId="0" fontId="11" fillId="0" borderId="34" xfId="0" applyFont="1" applyFill="1" applyBorder="1"/>
    <xf numFmtId="9" fontId="11" fillId="0" borderId="35" xfId="4" applyFont="1" applyBorder="1"/>
    <xf numFmtId="9" fontId="11" fillId="0" borderId="36" xfId="4" applyFont="1" applyBorder="1"/>
    <xf numFmtId="0" fontId="11" fillId="0" borderId="0" xfId="0" applyFont="1"/>
    <xf numFmtId="0" fontId="8" fillId="9" borderId="7" xfId="0" applyFont="1" applyFill="1" applyBorder="1" applyAlignment="1">
      <alignment wrapText="1"/>
    </xf>
    <xf numFmtId="0" fontId="8" fillId="9" borderId="9" xfId="0" applyFont="1" applyFill="1" applyBorder="1" applyAlignment="1">
      <alignment horizontal="left"/>
    </xf>
    <xf numFmtId="0" fontId="8" fillId="0" borderId="10" xfId="0" applyFont="1" applyBorder="1" applyAlignment="1">
      <alignment vertical="center" wrapText="1"/>
    </xf>
    <xf numFmtId="0" fontId="9" fillId="0" borderId="12" xfId="0" applyFont="1" applyBorder="1" applyAlignment="1">
      <alignment wrapText="1"/>
    </xf>
    <xf numFmtId="0" fontId="9" fillId="9" borderId="0" xfId="0" applyFont="1" applyFill="1" applyAlignment="1">
      <alignment wrapText="1"/>
    </xf>
    <xf numFmtId="0" fontId="9" fillId="9" borderId="0" xfId="0" applyFont="1" applyFill="1"/>
    <xf numFmtId="0" fontId="8" fillId="0" borderId="16" xfId="0" applyFont="1" applyBorder="1" applyAlignment="1">
      <alignment vertical="center" wrapText="1"/>
    </xf>
    <xf numFmtId="0" fontId="9" fillId="0" borderId="17" xfId="0" applyFont="1" applyBorder="1" applyAlignment="1">
      <alignment wrapText="1"/>
    </xf>
    <xf numFmtId="0" fontId="8" fillId="9" borderId="0" xfId="0" applyFont="1" applyFill="1" applyAlignment="1">
      <alignment vertical="center"/>
    </xf>
    <xf numFmtId="0" fontId="8" fillId="0" borderId="1" xfId="0" applyFont="1" applyBorder="1" applyAlignment="1">
      <alignment vertical="center" wrapText="1"/>
    </xf>
    <xf numFmtId="0" fontId="9" fillId="0" borderId="1" xfId="0" applyFont="1" applyBorder="1" applyAlignment="1">
      <alignment wrapText="1"/>
    </xf>
    <xf numFmtId="0" fontId="18" fillId="9" borderId="0" xfId="0" applyFont="1" applyFill="1"/>
    <xf numFmtId="0" fontId="25" fillId="8" borderId="1" xfId="0" applyFont="1" applyFill="1" applyBorder="1" applyAlignment="1">
      <alignment horizontal="right"/>
    </xf>
    <xf numFmtId="170" fontId="9" fillId="6" borderId="1" xfId="1" applyNumberFormat="1" applyFont="1" applyFill="1" applyBorder="1" applyAlignment="1">
      <alignment horizontal="right"/>
    </xf>
    <xf numFmtId="0" fontId="28" fillId="0" borderId="0" xfId="2" applyFont="1" applyFill="1" applyBorder="1" applyAlignment="1" applyProtection="1"/>
    <xf numFmtId="0" fontId="28" fillId="0" borderId="0" xfId="2" applyFont="1" applyAlignment="1" applyProtection="1">
      <alignment horizontal="left"/>
    </xf>
    <xf numFmtId="0" fontId="31" fillId="0" borderId="0" xfId="0" applyFont="1" applyBorder="1"/>
    <xf numFmtId="0" fontId="32" fillId="0" borderId="0" xfId="0" applyFont="1" applyBorder="1"/>
    <xf numFmtId="0" fontId="33" fillId="3" borderId="7" xfId="0" applyFont="1" applyFill="1" applyBorder="1"/>
    <xf numFmtId="165" fontId="33" fillId="3" borderId="8" xfId="0" applyNumberFormat="1" applyFont="1" applyFill="1" applyBorder="1" applyAlignment="1">
      <alignment horizontal="center"/>
    </xf>
    <xf numFmtId="0" fontId="33" fillId="3" borderId="9" xfId="0" applyFont="1" applyFill="1" applyBorder="1" applyAlignment="1">
      <alignment horizontal="center"/>
    </xf>
    <xf numFmtId="0" fontId="32" fillId="0" borderId="0" xfId="0" applyFont="1" applyFill="1" applyBorder="1"/>
    <xf numFmtId="0" fontId="32" fillId="0" borderId="24" xfId="0" applyFont="1" applyBorder="1"/>
    <xf numFmtId="170" fontId="32" fillId="0" borderId="1" xfId="1" applyNumberFormat="1" applyFont="1" applyBorder="1"/>
    <xf numFmtId="170" fontId="32" fillId="0" borderId="25" xfId="1" applyNumberFormat="1" applyFont="1" applyBorder="1"/>
    <xf numFmtId="0" fontId="34" fillId="9" borderId="24" xfId="0" applyFont="1" applyFill="1" applyBorder="1"/>
    <xf numFmtId="164" fontId="32" fillId="9" borderId="1" xfId="1" applyFont="1" applyFill="1" applyBorder="1"/>
    <xf numFmtId="9" fontId="34" fillId="9" borderId="1" xfId="4" applyFont="1" applyFill="1" applyBorder="1"/>
    <xf numFmtId="9" fontId="34" fillId="9" borderId="25" xfId="4" applyFont="1" applyFill="1" applyBorder="1"/>
    <xf numFmtId="0" fontId="31" fillId="0" borderId="24" xfId="0" applyFont="1" applyBorder="1"/>
    <xf numFmtId="170" fontId="31" fillId="0" borderId="1" xfId="1" applyNumberFormat="1" applyFont="1" applyBorder="1"/>
    <xf numFmtId="170" fontId="31" fillId="0" borderId="25" xfId="1" applyNumberFormat="1" applyFont="1" applyBorder="1"/>
    <xf numFmtId="164" fontId="34" fillId="0" borderId="24" xfId="1" applyFont="1" applyBorder="1" applyAlignment="1">
      <alignment horizontal="left" indent="1"/>
    </xf>
    <xf numFmtId="9" fontId="34" fillId="0" borderId="1" xfId="4" applyFont="1" applyBorder="1"/>
    <xf numFmtId="9" fontId="34" fillId="0" borderId="25" xfId="4" applyFont="1" applyBorder="1"/>
    <xf numFmtId="171" fontId="34" fillId="9" borderId="1" xfId="1" applyNumberFormat="1" applyFont="1" applyFill="1" applyBorder="1"/>
    <xf numFmtId="171" fontId="34" fillId="9" borderId="25" xfId="1" applyNumberFormat="1" applyFont="1" applyFill="1" applyBorder="1"/>
    <xf numFmtId="170" fontId="34" fillId="9" borderId="1" xfId="1" applyNumberFormat="1" applyFont="1" applyFill="1" applyBorder="1"/>
    <xf numFmtId="170" fontId="34" fillId="9" borderId="25" xfId="1" applyNumberFormat="1" applyFont="1" applyFill="1" applyBorder="1"/>
    <xf numFmtId="169" fontId="31" fillId="0" borderId="1" xfId="1" applyNumberFormat="1" applyFont="1" applyBorder="1"/>
    <xf numFmtId="169" fontId="31" fillId="0" borderId="25" xfId="1" applyNumberFormat="1" applyFont="1" applyBorder="1"/>
    <xf numFmtId="0" fontId="31" fillId="9" borderId="24" xfId="0" applyFont="1" applyFill="1" applyBorder="1"/>
    <xf numFmtId="169" fontId="31" fillId="9" borderId="1" xfId="1" applyNumberFormat="1" applyFont="1" applyFill="1" applyBorder="1"/>
    <xf numFmtId="169" fontId="31" fillId="9" borderId="25" xfId="1" applyNumberFormat="1" applyFont="1" applyFill="1" applyBorder="1"/>
    <xf numFmtId="171" fontId="31" fillId="0" borderId="1" xfId="0" applyNumberFormat="1" applyFont="1" applyBorder="1"/>
    <xf numFmtId="10" fontId="31" fillId="0" borderId="25" xfId="0" applyNumberFormat="1" applyFont="1" applyBorder="1"/>
    <xf numFmtId="0" fontId="31" fillId="0" borderId="10" xfId="0" applyFont="1" applyBorder="1"/>
    <xf numFmtId="169" fontId="31" fillId="0" borderId="11" xfId="1" applyNumberFormat="1" applyFont="1" applyBorder="1"/>
    <xf numFmtId="171" fontId="31" fillId="0" borderId="11" xfId="0" applyNumberFormat="1" applyFont="1" applyBorder="1"/>
    <xf numFmtId="10" fontId="31" fillId="0" borderId="12" xfId="0" applyNumberFormat="1" applyFont="1" applyBorder="1"/>
    <xf numFmtId="10" fontId="31" fillId="0" borderId="0" xfId="0" applyNumberFormat="1" applyFont="1" applyBorder="1"/>
    <xf numFmtId="170" fontId="31" fillId="0" borderId="0" xfId="0" applyNumberFormat="1" applyFont="1" applyBorder="1"/>
    <xf numFmtId="165" fontId="33" fillId="3" borderId="1" xfId="0" applyNumberFormat="1" applyFont="1" applyFill="1" applyBorder="1" applyAlignment="1">
      <alignment horizontal="center"/>
    </xf>
    <xf numFmtId="0" fontId="31" fillId="0" borderId="1" xfId="0" applyFont="1" applyBorder="1"/>
    <xf numFmtId="171" fontId="31" fillId="9" borderId="1" xfId="0" applyNumberFormat="1" applyFont="1" applyFill="1" applyBorder="1"/>
    <xf numFmtId="0" fontId="38" fillId="0" borderId="0" xfId="0" applyFont="1"/>
    <xf numFmtId="0" fontId="37" fillId="9" borderId="4" xfId="0" applyFont="1" applyFill="1" applyBorder="1" applyAlignment="1">
      <alignment horizontal="center"/>
    </xf>
    <xf numFmtId="0" fontId="37" fillId="9" borderId="5" xfId="0" applyFont="1" applyFill="1" applyBorder="1" applyAlignment="1">
      <alignment horizontal="center"/>
    </xf>
    <xf numFmtId="0" fontId="37" fillId="9" borderId="6" xfId="0" applyFont="1" applyFill="1" applyBorder="1" applyAlignment="1">
      <alignment horizontal="center"/>
    </xf>
    <xf numFmtId="0" fontId="38" fillId="0" borderId="1" xfId="0" applyFont="1" applyBorder="1"/>
    <xf numFmtId="170" fontId="38" fillId="0" borderId="1" xfId="1" applyNumberFormat="1" applyFont="1" applyBorder="1"/>
    <xf numFmtId="0" fontId="27" fillId="0" borderId="0" xfId="0" applyFont="1" applyAlignment="1">
      <alignment horizontal="left"/>
    </xf>
    <xf numFmtId="0" fontId="8" fillId="9" borderId="24" xfId="0" applyFont="1" applyFill="1" applyBorder="1" applyAlignment="1">
      <alignment horizontal="left"/>
    </xf>
    <xf numFmtId="9" fontId="8" fillId="9" borderId="25" xfId="4" applyFont="1" applyFill="1" applyBorder="1" applyAlignment="1">
      <alignment horizontal="right"/>
    </xf>
    <xf numFmtId="9" fontId="9" fillId="0" borderId="25" xfId="4" applyFont="1" applyFill="1" applyBorder="1" applyAlignment="1">
      <alignment horizontal="left"/>
    </xf>
    <xf numFmtId="166" fontId="9" fillId="0" borderId="25" xfId="1" applyNumberFormat="1" applyFont="1" applyFill="1" applyBorder="1" applyAlignment="1">
      <alignment horizontal="left"/>
    </xf>
    <xf numFmtId="167" fontId="9" fillId="0" borderId="25" xfId="1" applyNumberFormat="1" applyFont="1" applyFill="1" applyBorder="1" applyAlignment="1">
      <alignment horizontal="left"/>
    </xf>
    <xf numFmtId="171" fontId="9" fillId="0" borderId="25" xfId="4" applyNumberFormat="1" applyFont="1" applyFill="1" applyBorder="1" applyAlignment="1">
      <alignment horizontal="right"/>
    </xf>
    <xf numFmtId="167" fontId="9" fillId="0" borderId="25" xfId="1" applyNumberFormat="1" applyFont="1" applyFill="1" applyBorder="1" applyAlignment="1">
      <alignment horizontal="left" indent="1"/>
    </xf>
    <xf numFmtId="171" fontId="9" fillId="0" borderId="25" xfId="4" applyNumberFormat="1" applyFont="1" applyFill="1" applyBorder="1" applyAlignment="1"/>
    <xf numFmtId="169" fontId="9" fillId="0" borderId="25" xfId="1" applyNumberFormat="1" applyFont="1" applyFill="1" applyBorder="1" applyAlignment="1"/>
    <xf numFmtId="0" fontId="13" fillId="0" borderId="10" xfId="0" applyFont="1" applyBorder="1" applyAlignment="1">
      <alignment horizontal="left"/>
    </xf>
    <xf numFmtId="169" fontId="9" fillId="0" borderId="12" xfId="1" applyNumberFormat="1" applyFont="1" applyFill="1" applyBorder="1" applyAlignment="1"/>
    <xf numFmtId="0" fontId="18" fillId="0" borderId="0" xfId="0" applyFont="1" applyAlignment="1">
      <alignment horizontal="left"/>
    </xf>
    <xf numFmtId="165" fontId="10" fillId="3" borderId="24" xfId="1" applyNumberFormat="1" applyFont="1" applyFill="1" applyBorder="1"/>
    <xf numFmtId="165" fontId="10" fillId="3" borderId="25" xfId="0" applyNumberFormat="1" applyFont="1" applyFill="1" applyBorder="1" applyAlignment="1">
      <alignment horizontal="center"/>
    </xf>
    <xf numFmtId="9" fontId="9" fillId="0" borderId="24" xfId="4" applyFont="1" applyBorder="1"/>
    <xf numFmtId="9" fontId="9" fillId="0" borderId="25" xfId="4" applyFont="1" applyBorder="1"/>
    <xf numFmtId="9" fontId="8" fillId="9" borderId="24" xfId="4" applyFont="1" applyFill="1" applyBorder="1"/>
    <xf numFmtId="9" fontId="8" fillId="9" borderId="25" xfId="0" applyNumberFormat="1" applyFont="1" applyFill="1" applyBorder="1"/>
    <xf numFmtId="9" fontId="9" fillId="0" borderId="26" xfId="4" applyFont="1" applyBorder="1"/>
    <xf numFmtId="0" fontId="9" fillId="0" borderId="27" xfId="0" applyFont="1" applyBorder="1"/>
    <xf numFmtId="0" fontId="9" fillId="0" borderId="28" xfId="0" applyFont="1" applyBorder="1"/>
    <xf numFmtId="9" fontId="9" fillId="0" borderId="25" xfId="0" applyNumberFormat="1" applyFont="1" applyBorder="1"/>
    <xf numFmtId="9" fontId="9" fillId="9" borderId="24" xfId="4" applyFont="1" applyFill="1" applyBorder="1"/>
    <xf numFmtId="9" fontId="9" fillId="9" borderId="25" xfId="4" applyFont="1" applyFill="1" applyBorder="1"/>
    <xf numFmtId="9" fontId="9" fillId="0" borderId="10" xfId="4" applyFont="1" applyBorder="1"/>
    <xf numFmtId="9" fontId="9" fillId="0" borderId="11" xfId="4" applyFont="1" applyBorder="1"/>
    <xf numFmtId="9" fontId="9" fillId="0" borderId="12" xfId="4" applyFont="1" applyBorder="1"/>
    <xf numFmtId="0" fontId="40" fillId="0" borderId="0" xfId="0" applyFont="1" applyBorder="1"/>
    <xf numFmtId="0" fontId="41" fillId="0" borderId="0" xfId="0" applyFont="1" applyBorder="1"/>
    <xf numFmtId="0" fontId="41" fillId="0" borderId="0" xfId="0" applyFont="1" applyFill="1" applyBorder="1"/>
    <xf numFmtId="170" fontId="41" fillId="0" borderId="1" xfId="1" applyNumberFormat="1" applyFont="1" applyBorder="1" applyAlignment="1">
      <alignment horizontal="center"/>
    </xf>
    <xf numFmtId="170" fontId="40" fillId="0" borderId="1" xfId="1" applyNumberFormat="1" applyFont="1" applyBorder="1" applyAlignment="1">
      <alignment horizontal="center"/>
    </xf>
    <xf numFmtId="170" fontId="41" fillId="0" borderId="1" xfId="1" applyNumberFormat="1" applyFont="1" applyBorder="1"/>
    <xf numFmtId="170" fontId="41" fillId="0" borderId="0" xfId="1" applyNumberFormat="1" applyFont="1" applyBorder="1"/>
    <xf numFmtId="170" fontId="44" fillId="9" borderId="1" xfId="1" applyNumberFormat="1" applyFont="1" applyFill="1" applyBorder="1"/>
    <xf numFmtId="169" fontId="44" fillId="9" borderId="1" xfId="1" applyNumberFormat="1" applyFont="1" applyFill="1" applyBorder="1"/>
    <xf numFmtId="9" fontId="44" fillId="9" borderId="1" xfId="4" applyFont="1" applyFill="1" applyBorder="1"/>
    <xf numFmtId="0" fontId="45" fillId="0" borderId="0" xfId="0" applyFont="1" applyBorder="1"/>
    <xf numFmtId="0" fontId="45" fillId="0" borderId="0" xfId="0" applyFont="1" applyBorder="1" applyAlignment="1">
      <alignment wrapText="1"/>
    </xf>
    <xf numFmtId="165" fontId="9" fillId="5" borderId="30" xfId="0" applyNumberFormat="1" applyFont="1" applyFill="1" applyBorder="1" applyAlignment="1">
      <alignment horizontal="center"/>
    </xf>
    <xf numFmtId="0" fontId="25" fillId="0" borderId="0" xfId="0" applyFont="1" applyFill="1"/>
    <xf numFmtId="165" fontId="42" fillId="3" borderId="30" xfId="0" applyNumberFormat="1" applyFont="1" applyFill="1" applyBorder="1" applyAlignment="1">
      <alignment horizontal="center"/>
    </xf>
    <xf numFmtId="0" fontId="42" fillId="3" borderId="29" xfId="0" applyFont="1" applyFill="1" applyBorder="1"/>
    <xf numFmtId="165" fontId="42" fillId="3" borderId="31" xfId="0" applyNumberFormat="1" applyFont="1" applyFill="1" applyBorder="1" applyAlignment="1">
      <alignment horizontal="center"/>
    </xf>
    <xf numFmtId="0" fontId="41" fillId="0" borderId="24" xfId="0" applyFont="1" applyBorder="1"/>
    <xf numFmtId="170" fontId="41" fillId="0" borderId="25" xfId="1" applyNumberFormat="1" applyFont="1" applyBorder="1" applyAlignment="1">
      <alignment horizontal="center"/>
    </xf>
    <xf numFmtId="0" fontId="40" fillId="0" borderId="24" xfId="0" applyFont="1" applyBorder="1"/>
    <xf numFmtId="170" fontId="40" fillId="0" borderId="25" xfId="1" applyNumberFormat="1" applyFont="1" applyBorder="1" applyAlignment="1">
      <alignment horizontal="center"/>
    </xf>
    <xf numFmtId="170" fontId="41" fillId="0" borderId="25" xfId="1" applyNumberFormat="1" applyFont="1" applyBorder="1"/>
    <xf numFmtId="0" fontId="41" fillId="0" borderId="24" xfId="0" applyFont="1" applyFill="1" applyBorder="1"/>
    <xf numFmtId="0" fontId="43" fillId="4" borderId="10" xfId="0" applyFont="1" applyFill="1" applyBorder="1"/>
    <xf numFmtId="170" fontId="43" fillId="4" borderId="11" xfId="1" applyNumberFormat="1" applyFont="1" applyFill="1" applyBorder="1"/>
    <xf numFmtId="170" fontId="43" fillId="4" borderId="12" xfId="1" applyNumberFormat="1" applyFont="1" applyFill="1" applyBorder="1"/>
    <xf numFmtId="0" fontId="44" fillId="9" borderId="7" xfId="0" applyFont="1" applyFill="1" applyBorder="1"/>
    <xf numFmtId="170" fontId="44" fillId="9" borderId="8" xfId="1" applyNumberFormat="1" applyFont="1" applyFill="1" applyBorder="1"/>
    <xf numFmtId="170" fontId="44" fillId="9" borderId="9" xfId="1" applyNumberFormat="1" applyFont="1" applyFill="1" applyBorder="1"/>
    <xf numFmtId="0" fontId="44" fillId="9" borderId="24" xfId="0" applyFont="1" applyFill="1" applyBorder="1"/>
    <xf numFmtId="170" fontId="44" fillId="9" borderId="25" xfId="1" applyNumberFormat="1" applyFont="1" applyFill="1" applyBorder="1"/>
    <xf numFmtId="169" fontId="44" fillId="9" borderId="25" xfId="1" applyNumberFormat="1" applyFont="1" applyFill="1" applyBorder="1"/>
    <xf numFmtId="9" fontId="44" fillId="9" borderId="25" xfId="4" applyFont="1" applyFill="1" applyBorder="1"/>
    <xf numFmtId="0" fontId="44" fillId="9" borderId="10" xfId="0" applyFont="1" applyFill="1" applyBorder="1"/>
    <xf numFmtId="9" fontId="44" fillId="9" borderId="11" xfId="4" applyFont="1" applyFill="1" applyBorder="1"/>
    <xf numFmtId="9" fontId="44" fillId="9" borderId="12" xfId="4" applyFont="1" applyFill="1" applyBorder="1"/>
    <xf numFmtId="0" fontId="10" fillId="3" borderId="24" xfId="0" applyFont="1" applyFill="1" applyBorder="1"/>
    <xf numFmtId="0" fontId="8" fillId="0" borderId="24" xfId="0" applyFont="1" applyBorder="1"/>
    <xf numFmtId="170" fontId="8" fillId="0" borderId="23" xfId="1" applyNumberFormat="1" applyFont="1" applyBorder="1"/>
    <xf numFmtId="0" fontId="11" fillId="0" borderId="24" xfId="0" applyFont="1" applyFill="1" applyBorder="1"/>
    <xf numFmtId="170" fontId="11" fillId="0" borderId="23" xfId="1" applyNumberFormat="1" applyFont="1" applyBorder="1"/>
    <xf numFmtId="0" fontId="21" fillId="4" borderId="24" xfId="0" applyFont="1" applyFill="1" applyBorder="1"/>
    <xf numFmtId="170" fontId="26" fillId="0" borderId="23" xfId="1" applyNumberFormat="1" applyFont="1" applyBorder="1"/>
    <xf numFmtId="0" fontId="11" fillId="0" borderId="24" xfId="0" applyFont="1" applyBorder="1"/>
    <xf numFmtId="170" fontId="9" fillId="0" borderId="23" xfId="1" applyNumberFormat="1" applyFont="1" applyBorder="1"/>
    <xf numFmtId="0" fontId="11" fillId="0" borderId="10" xfId="0" applyFont="1" applyBorder="1"/>
    <xf numFmtId="9" fontId="11" fillId="0" borderId="11" xfId="4" applyFont="1" applyBorder="1"/>
    <xf numFmtId="170" fontId="9" fillId="0" borderId="28" xfId="1" applyNumberFormat="1" applyFont="1" applyBorder="1"/>
    <xf numFmtId="0" fontId="9" fillId="7" borderId="1" xfId="0" applyFont="1" applyFill="1" applyBorder="1"/>
    <xf numFmtId="0" fontId="8" fillId="9"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8" fillId="9" borderId="23"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8" fillId="9" borderId="7" xfId="0" applyFont="1" applyFill="1" applyBorder="1" applyAlignment="1">
      <alignment horizontal="center"/>
    </xf>
    <xf numFmtId="0" fontId="8" fillId="9" borderId="9" xfId="0" applyFont="1" applyFill="1" applyBorder="1" applyAlignment="1">
      <alignment horizontal="center"/>
    </xf>
    <xf numFmtId="0" fontId="39" fillId="9" borderId="18" xfId="0" applyFont="1" applyFill="1" applyBorder="1" applyAlignment="1">
      <alignment horizontal="center" vertical="center" wrapText="1"/>
    </xf>
    <xf numFmtId="0" fontId="39" fillId="9" borderId="20" xfId="0" applyFont="1" applyFill="1" applyBorder="1" applyAlignment="1">
      <alignment horizontal="center" vertical="center" wrapText="1"/>
    </xf>
    <xf numFmtId="0" fontId="39" fillId="9" borderId="22" xfId="0" applyFont="1" applyFill="1" applyBorder="1" applyAlignment="1">
      <alignment horizontal="center" vertical="center" wrapText="1"/>
    </xf>
    <xf numFmtId="0" fontId="39" fillId="9" borderId="23" xfId="0" applyFont="1" applyFill="1" applyBorder="1" applyAlignment="1">
      <alignment horizontal="center" vertical="center" wrapText="1"/>
    </xf>
    <xf numFmtId="0" fontId="39" fillId="9" borderId="26" xfId="0" applyFont="1" applyFill="1" applyBorder="1" applyAlignment="1">
      <alignment horizontal="center" vertical="center" wrapText="1"/>
    </xf>
    <xf numFmtId="0" fontId="39" fillId="9" borderId="28" xfId="0" applyFont="1" applyFill="1" applyBorder="1" applyAlignment="1">
      <alignment horizontal="center" vertical="center" wrapText="1"/>
    </xf>
    <xf numFmtId="0" fontId="46" fillId="0" borderId="0" xfId="2" applyFont="1" applyAlignment="1" applyProtection="1">
      <alignment horizontal="center"/>
    </xf>
    <xf numFmtId="0" fontId="27" fillId="9" borderId="19" xfId="0" applyFont="1" applyFill="1" applyBorder="1" applyAlignment="1">
      <alignment horizontal="center" vertical="center" wrapText="1"/>
    </xf>
    <xf numFmtId="0" fontId="27" fillId="9" borderId="20" xfId="0" applyFont="1" applyFill="1" applyBorder="1" applyAlignment="1">
      <alignment horizontal="center" vertical="center" wrapText="1"/>
    </xf>
    <xf numFmtId="0" fontId="27" fillId="9" borderId="22" xfId="0" applyFont="1" applyFill="1" applyBorder="1" applyAlignment="1">
      <alignment horizontal="center" vertical="center" wrapText="1"/>
    </xf>
    <xf numFmtId="0" fontId="27" fillId="9" borderId="0" xfId="0" applyFont="1" applyFill="1" applyBorder="1" applyAlignment="1">
      <alignment horizontal="center" vertical="center" wrapText="1"/>
    </xf>
    <xf numFmtId="0" fontId="27" fillId="9" borderId="23" xfId="0" applyFont="1" applyFill="1" applyBorder="1" applyAlignment="1">
      <alignment horizontal="center" vertical="center" wrapText="1"/>
    </xf>
    <xf numFmtId="0" fontId="27" fillId="9" borderId="26" xfId="0" applyFont="1" applyFill="1" applyBorder="1" applyAlignment="1">
      <alignment horizontal="center" vertical="center" wrapText="1"/>
    </xf>
    <xf numFmtId="0" fontId="27" fillId="9" borderId="27" xfId="0" applyFont="1" applyFill="1" applyBorder="1" applyAlignment="1">
      <alignment horizontal="center" vertical="center" wrapText="1"/>
    </xf>
    <xf numFmtId="0" fontId="27" fillId="9" borderId="28" xfId="0" applyFont="1" applyFill="1" applyBorder="1" applyAlignment="1">
      <alignment horizontal="center" vertical="center" wrapText="1"/>
    </xf>
    <xf numFmtId="0" fontId="7" fillId="9" borderId="37" xfId="0" applyFont="1" applyFill="1" applyBorder="1" applyAlignment="1">
      <alignment horizontal="center"/>
    </xf>
    <xf numFmtId="0" fontId="7" fillId="9" borderId="38" xfId="0" applyFont="1" applyFill="1" applyBorder="1" applyAlignment="1">
      <alignment horizontal="center"/>
    </xf>
    <xf numFmtId="0" fontId="11" fillId="0" borderId="39" xfId="0" applyFont="1" applyBorder="1" applyAlignment="1">
      <alignment horizontal="center"/>
    </xf>
    <xf numFmtId="0" fontId="7" fillId="9" borderId="18" xfId="0" applyFont="1" applyFill="1" applyBorder="1" applyAlignment="1">
      <alignment horizontal="center"/>
    </xf>
    <xf numFmtId="0" fontId="7" fillId="9" borderId="19" xfId="0" applyFont="1" applyFill="1" applyBorder="1" applyAlignment="1">
      <alignment horizontal="center"/>
    </xf>
    <xf numFmtId="0" fontId="7" fillId="9" borderId="20" xfId="0" applyFont="1" applyFill="1" applyBorder="1" applyAlignment="1">
      <alignment horizontal="center"/>
    </xf>
    <xf numFmtId="0" fontId="40" fillId="9" borderId="26" xfId="0" applyFont="1" applyFill="1" applyBorder="1" applyAlignment="1">
      <alignment horizontal="center"/>
    </xf>
    <xf numFmtId="0" fontId="40" fillId="9" borderId="27" xfId="0" applyFont="1" applyFill="1" applyBorder="1" applyAlignment="1">
      <alignment horizontal="center"/>
    </xf>
    <xf numFmtId="0" fontId="40" fillId="9" borderId="28" xfId="0" applyFont="1" applyFill="1" applyBorder="1" applyAlignment="1">
      <alignment horizontal="center"/>
    </xf>
    <xf numFmtId="0" fontId="31" fillId="9" borderId="0" xfId="0" applyFont="1" applyFill="1" applyBorder="1" applyAlignment="1">
      <alignment horizontal="center" vertical="center" wrapText="1"/>
    </xf>
    <xf numFmtId="0" fontId="31" fillId="9" borderId="1" xfId="0" applyFont="1" applyFill="1" applyBorder="1" applyAlignment="1">
      <alignment horizontal="center" vertical="center" wrapText="1"/>
    </xf>
    <xf numFmtId="0" fontId="8" fillId="9" borderId="26" xfId="0" applyFont="1" applyFill="1" applyBorder="1" applyAlignment="1">
      <alignment horizontal="center"/>
    </xf>
    <xf numFmtId="0" fontId="8" fillId="9" borderId="27" xfId="0" applyFont="1" applyFill="1" applyBorder="1" applyAlignment="1">
      <alignment horizontal="center"/>
    </xf>
    <xf numFmtId="0" fontId="8" fillId="9" borderId="28" xfId="0" applyFont="1" applyFill="1" applyBorder="1" applyAlignment="1">
      <alignment horizontal="center"/>
    </xf>
    <xf numFmtId="9" fontId="17" fillId="9" borderId="7" xfId="4" applyFont="1" applyFill="1" applyBorder="1" applyAlignment="1">
      <alignment horizontal="center"/>
    </xf>
    <xf numFmtId="9" fontId="17" fillId="9" borderId="8" xfId="4" applyFont="1" applyFill="1" applyBorder="1" applyAlignment="1">
      <alignment horizontal="center"/>
    </xf>
    <xf numFmtId="9" fontId="17" fillId="9" borderId="9" xfId="4" applyFont="1" applyFill="1" applyBorder="1" applyAlignment="1">
      <alignment horizontal="center"/>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23" xfId="0" applyFont="1" applyFill="1" applyBorder="1" applyAlignment="1">
      <alignment horizontal="center" vertical="center"/>
    </xf>
    <xf numFmtId="0" fontId="9" fillId="8" borderId="26"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28" xfId="0" applyFont="1" applyFill="1" applyBorder="1" applyAlignment="1">
      <alignment horizontal="center" vertical="center"/>
    </xf>
    <xf numFmtId="170" fontId="11" fillId="0" borderId="4" xfId="0" applyNumberFormat="1" applyFont="1" applyBorder="1" applyAlignment="1">
      <alignment horizontal="center"/>
    </xf>
    <xf numFmtId="170" fontId="11" fillId="0" borderId="5" xfId="0" applyNumberFormat="1" applyFont="1" applyBorder="1" applyAlignment="1">
      <alignment horizontal="center"/>
    </xf>
    <xf numFmtId="170" fontId="11" fillId="0" borderId="6" xfId="0" applyNumberFormat="1" applyFont="1" applyBorder="1" applyAlignment="1">
      <alignment horizontal="center"/>
    </xf>
    <xf numFmtId="0" fontId="8" fillId="9" borderId="43" xfId="0" applyFont="1" applyFill="1" applyBorder="1" applyAlignment="1">
      <alignment horizontal="center"/>
    </xf>
    <xf numFmtId="0" fontId="8" fillId="9" borderId="3" xfId="0" applyFont="1" applyFill="1" applyBorder="1" applyAlignment="1">
      <alignment horizontal="center"/>
    </xf>
    <xf numFmtId="0" fontId="8" fillId="9" borderId="44" xfId="0" applyFont="1" applyFill="1" applyBorder="1" applyAlignment="1">
      <alignment horizontal="center"/>
    </xf>
    <xf numFmtId="0" fontId="17" fillId="7" borderId="1" xfId="0" quotePrefix="1" applyFont="1" applyFill="1" applyBorder="1" applyAlignment="1">
      <alignment horizontal="center"/>
    </xf>
    <xf numFmtId="0" fontId="17" fillId="7" borderId="1" xfId="0" applyFont="1" applyFill="1" applyBorder="1" applyAlignment="1">
      <alignment horizontal="center"/>
    </xf>
    <xf numFmtId="0" fontId="9" fillId="0" borderId="1" xfId="0" applyFont="1" applyBorder="1" applyAlignment="1">
      <alignment horizontal="right"/>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24" fillId="0" borderId="0" xfId="0" applyFont="1" applyAlignment="1">
      <alignment horizontal="center" vertical="center" wrapText="1"/>
    </xf>
    <xf numFmtId="0" fontId="28" fillId="6" borderId="22" xfId="2" applyFont="1" applyFill="1" applyBorder="1" applyAlignment="1" applyProtection="1">
      <alignment horizontal="center"/>
    </xf>
    <xf numFmtId="0" fontId="28" fillId="6" borderId="0" xfId="2" applyFont="1" applyFill="1" applyBorder="1" applyAlignment="1" applyProtection="1">
      <alignment horizontal="center"/>
    </xf>
    <xf numFmtId="0" fontId="28" fillId="6" borderId="23" xfId="2" applyFont="1" applyFill="1" applyBorder="1" applyAlignment="1" applyProtection="1">
      <alignment horizontal="center"/>
    </xf>
    <xf numFmtId="0" fontId="17" fillId="6" borderId="1" xfId="0" applyFont="1" applyFill="1" applyBorder="1" applyAlignment="1">
      <alignment horizontal="center"/>
    </xf>
    <xf numFmtId="0" fontId="11" fillId="6" borderId="22" xfId="2" applyFont="1" applyFill="1" applyBorder="1" applyAlignment="1" applyProtection="1">
      <alignment horizontal="center" vertical="center" wrapText="1"/>
    </xf>
    <xf numFmtId="0" fontId="11" fillId="6" borderId="0" xfId="2" applyFont="1" applyFill="1" applyBorder="1" applyAlignment="1" applyProtection="1">
      <alignment horizontal="center" vertical="center" wrapText="1"/>
    </xf>
    <xf numFmtId="0" fontId="11" fillId="6" borderId="23" xfId="2" applyFont="1" applyFill="1" applyBorder="1" applyAlignment="1" applyProtection="1">
      <alignment horizontal="center" vertical="center" wrapText="1"/>
    </xf>
    <xf numFmtId="0" fontId="11" fillId="6" borderId="26" xfId="2" applyFont="1" applyFill="1" applyBorder="1" applyAlignment="1" applyProtection="1">
      <alignment horizontal="center" vertical="center" wrapText="1"/>
    </xf>
    <xf numFmtId="0" fontId="11" fillId="6" borderId="27" xfId="2" applyFont="1" applyFill="1" applyBorder="1" applyAlignment="1" applyProtection="1">
      <alignment horizontal="center" vertical="center" wrapText="1"/>
    </xf>
    <xf numFmtId="0" fontId="11" fillId="6" borderId="28" xfId="2" applyFont="1" applyFill="1" applyBorder="1" applyAlignment="1" applyProtection="1">
      <alignment horizontal="center" vertical="center" wrapText="1"/>
    </xf>
    <xf numFmtId="0" fontId="9" fillId="5" borderId="1" xfId="0" applyFont="1" applyFill="1" applyBorder="1" applyAlignment="1">
      <alignment horizontal="left"/>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8" borderId="23"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0" fontId="28" fillId="6" borderId="26" xfId="2" applyFont="1" applyFill="1" applyBorder="1" applyAlignment="1" applyProtection="1">
      <alignment horizontal="center"/>
    </xf>
    <xf numFmtId="0" fontId="28" fillId="6" borderId="27" xfId="2" applyFont="1" applyFill="1" applyBorder="1" applyAlignment="1" applyProtection="1">
      <alignment horizontal="center"/>
    </xf>
    <xf numFmtId="0" fontId="28" fillId="6" borderId="28" xfId="2" applyFont="1" applyFill="1" applyBorder="1" applyAlignment="1" applyProtection="1">
      <alignment horizontal="center"/>
    </xf>
    <xf numFmtId="0" fontId="8" fillId="8" borderId="1" xfId="0" applyFont="1" applyFill="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19" fillId="7" borderId="1" xfId="0" applyFont="1" applyFill="1" applyBorder="1" applyAlignment="1">
      <alignment horizontal="center"/>
    </xf>
    <xf numFmtId="0" fontId="9" fillId="0" borderId="4" xfId="0" applyFont="1" applyBorder="1" applyAlignment="1">
      <alignment horizontal="right"/>
    </xf>
    <xf numFmtId="0" fontId="9" fillId="0" borderId="5" xfId="0" applyFont="1" applyBorder="1" applyAlignment="1">
      <alignment horizontal="right"/>
    </xf>
    <xf numFmtId="0" fontId="9" fillId="0" borderId="6" xfId="0" applyFont="1" applyBorder="1" applyAlignment="1">
      <alignment horizontal="right"/>
    </xf>
    <xf numFmtId="0" fontId="26" fillId="8" borderId="1" xfId="0" applyFont="1" applyFill="1" applyBorder="1" applyAlignment="1">
      <alignment horizontal="center"/>
    </xf>
    <xf numFmtId="0" fontId="7" fillId="7" borderId="37" xfId="0" applyFont="1" applyFill="1" applyBorder="1" applyAlignment="1">
      <alignment horizontal="center"/>
    </xf>
    <xf numFmtId="0" fontId="7" fillId="7" borderId="38" xfId="0" applyFont="1" applyFill="1" applyBorder="1" applyAlignment="1">
      <alignment horizontal="center"/>
    </xf>
    <xf numFmtId="0" fontId="23" fillId="9" borderId="7" xfId="0" applyFont="1" applyFill="1" applyBorder="1" applyAlignment="1">
      <alignment horizontal="center"/>
    </xf>
    <xf numFmtId="0" fontId="23" fillId="9" borderId="9" xfId="0" applyFont="1" applyFill="1" applyBorder="1" applyAlignment="1">
      <alignment horizontal="center"/>
    </xf>
    <xf numFmtId="0" fontId="7" fillId="7" borderId="18" xfId="0" applyFont="1" applyFill="1" applyBorder="1" applyAlignment="1">
      <alignment horizontal="center"/>
    </xf>
    <xf numFmtId="0" fontId="7" fillId="7" borderId="19" xfId="0" applyFont="1" applyFill="1" applyBorder="1" applyAlignment="1">
      <alignment horizontal="center"/>
    </xf>
    <xf numFmtId="0" fontId="7" fillId="7" borderId="20" xfId="0" applyFont="1" applyFill="1" applyBorder="1" applyAlignment="1">
      <alignment horizontal="center"/>
    </xf>
    <xf numFmtId="0" fontId="8" fillId="7" borderId="26"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8" xfId="0" applyFont="1" applyFill="1" applyBorder="1" applyAlignment="1">
      <alignment horizontal="center" vertical="center"/>
    </xf>
    <xf numFmtId="0" fontId="7" fillId="7" borderId="4" xfId="0" applyFont="1" applyFill="1" applyBorder="1" applyAlignment="1">
      <alignment horizontal="center"/>
    </xf>
    <xf numFmtId="0" fontId="7" fillId="7" borderId="5" xfId="0" applyFont="1" applyFill="1" applyBorder="1" applyAlignment="1">
      <alignment horizontal="center"/>
    </xf>
    <xf numFmtId="0" fontId="7" fillId="7" borderId="6" xfId="0" applyFont="1" applyFill="1" applyBorder="1" applyAlignment="1">
      <alignment horizontal="center"/>
    </xf>
    <xf numFmtId="0" fontId="8" fillId="7" borderId="4" xfId="0" applyFont="1" applyFill="1" applyBorder="1" applyAlignment="1">
      <alignment horizontal="center"/>
    </xf>
    <xf numFmtId="0" fontId="8" fillId="7" borderId="5" xfId="0" applyFont="1" applyFill="1" applyBorder="1" applyAlignment="1">
      <alignment horizontal="center"/>
    </xf>
    <xf numFmtId="0" fontId="8" fillId="7" borderId="6" xfId="0" applyFont="1" applyFill="1" applyBorder="1" applyAlignment="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7" fillId="9" borderId="6" xfId="0" applyFont="1" applyFill="1" applyBorder="1" applyAlignment="1">
      <alignment horizontal="center"/>
    </xf>
    <xf numFmtId="0" fontId="37" fillId="9" borderId="4" xfId="0" applyFont="1" applyFill="1" applyBorder="1" applyAlignment="1">
      <alignment horizontal="center"/>
    </xf>
    <xf numFmtId="0" fontId="37" fillId="9" borderId="5" xfId="0" applyFont="1" applyFill="1" applyBorder="1" applyAlignment="1">
      <alignment horizontal="center"/>
    </xf>
    <xf numFmtId="0" fontId="37" fillId="9" borderId="6" xfId="0" applyFont="1" applyFill="1" applyBorder="1" applyAlignment="1">
      <alignment horizontal="center"/>
    </xf>
    <xf numFmtId="170" fontId="38" fillId="7" borderId="4" xfId="1" applyNumberFormat="1" applyFont="1" applyFill="1" applyBorder="1" applyAlignment="1">
      <alignment horizontal="right"/>
    </xf>
    <xf numFmtId="170" fontId="38" fillId="7" borderId="6" xfId="1" applyNumberFormat="1" applyFont="1" applyFill="1" applyBorder="1" applyAlignment="1">
      <alignment horizontal="right"/>
    </xf>
    <xf numFmtId="0" fontId="37" fillId="9" borderId="18" xfId="0" applyFont="1" applyFill="1" applyBorder="1" applyAlignment="1">
      <alignment horizontal="center" vertical="center" wrapText="1"/>
    </xf>
    <xf numFmtId="0" fontId="37" fillId="9" borderId="19" xfId="0" applyFont="1" applyFill="1" applyBorder="1" applyAlignment="1">
      <alignment horizontal="center" vertical="center" wrapText="1"/>
    </xf>
    <xf numFmtId="0" fontId="37" fillId="9" borderId="20" xfId="0" applyFont="1" applyFill="1" applyBorder="1" applyAlignment="1">
      <alignment horizontal="center" vertical="center" wrapText="1"/>
    </xf>
    <xf numFmtId="0" fontId="37" fillId="9" borderId="22" xfId="0" applyFont="1" applyFill="1" applyBorder="1" applyAlignment="1">
      <alignment horizontal="center" vertical="center" wrapText="1"/>
    </xf>
    <xf numFmtId="0" fontId="37" fillId="9" borderId="0" xfId="0" applyFont="1" applyFill="1" applyBorder="1" applyAlignment="1">
      <alignment horizontal="center" vertical="center" wrapText="1"/>
    </xf>
    <xf numFmtId="0" fontId="37" fillId="9" borderId="23" xfId="0" applyFont="1" applyFill="1" applyBorder="1" applyAlignment="1">
      <alignment horizontal="center" vertical="center" wrapText="1"/>
    </xf>
    <xf numFmtId="0" fontId="37" fillId="9" borderId="26" xfId="0" applyFont="1" applyFill="1" applyBorder="1" applyAlignment="1">
      <alignment horizontal="center" vertical="center" wrapText="1"/>
    </xf>
    <xf numFmtId="0" fontId="37" fillId="9" borderId="27" xfId="0" applyFont="1" applyFill="1" applyBorder="1" applyAlignment="1">
      <alignment horizontal="center" vertical="center" wrapText="1"/>
    </xf>
    <xf numFmtId="0" fontId="37" fillId="9" borderId="28" xfId="0" applyFont="1" applyFill="1" applyBorder="1" applyAlignment="1">
      <alignment horizontal="center" vertical="center" wrapText="1"/>
    </xf>
    <xf numFmtId="164" fontId="14" fillId="0" borderId="0" xfId="2" applyNumberFormat="1" applyFont="1" applyBorder="1" applyAlignment="1" applyProtection="1">
      <alignment horizontal="center"/>
    </xf>
    <xf numFmtId="164" fontId="10" fillId="2" borderId="0" xfId="3" applyNumberFormat="1" applyFont="1" applyBorder="1" applyAlignment="1">
      <alignment horizontal="center"/>
    </xf>
    <xf numFmtId="0" fontId="47" fillId="8" borderId="40" xfId="0" applyFont="1" applyFill="1" applyBorder="1" applyAlignment="1">
      <alignment horizontal="center" wrapText="1"/>
    </xf>
    <xf numFmtId="0" fontId="48" fillId="0" borderId="0" xfId="0" applyFont="1" applyAlignment="1">
      <alignment wrapText="1"/>
    </xf>
    <xf numFmtId="0" fontId="49" fillId="8" borderId="21" xfId="2" applyFont="1" applyFill="1" applyBorder="1" applyAlignment="1" applyProtection="1">
      <alignment horizontal="center" wrapText="1"/>
    </xf>
    <xf numFmtId="0" fontId="49" fillId="0" borderId="0" xfId="2" applyFont="1" applyFill="1" applyBorder="1" applyAlignment="1" applyProtection="1">
      <alignment horizontal="center" wrapText="1"/>
    </xf>
    <xf numFmtId="0" fontId="48" fillId="0" borderId="0" xfId="0" applyFont="1" applyFill="1" applyBorder="1" applyAlignment="1">
      <alignment wrapText="1"/>
    </xf>
    <xf numFmtId="0" fontId="48" fillId="0" borderId="0" xfId="0" applyFont="1" applyFill="1" applyAlignment="1">
      <alignment wrapText="1"/>
    </xf>
    <xf numFmtId="0" fontId="50" fillId="8" borderId="40" xfId="0" applyFont="1" applyFill="1" applyBorder="1" applyAlignment="1">
      <alignment horizontal="center" wrapText="1"/>
    </xf>
    <xf numFmtId="0" fontId="48" fillId="0" borderId="41" xfId="0" applyFont="1" applyBorder="1" applyAlignment="1">
      <alignment wrapText="1"/>
    </xf>
    <xf numFmtId="0" fontId="48" fillId="0" borderId="42" xfId="0" applyFont="1" applyBorder="1" applyAlignment="1">
      <alignment wrapText="1"/>
    </xf>
    <xf numFmtId="0" fontId="52" fillId="0" borderId="0" xfId="0" applyFont="1" applyAlignment="1">
      <alignment wrapText="1"/>
    </xf>
    <xf numFmtId="0" fontId="0" fillId="0" borderId="41" xfId="0" applyFont="1" applyBorder="1" applyAlignment="1">
      <alignment wrapText="1"/>
    </xf>
  </cellXfs>
  <cellStyles count="5">
    <cellStyle name="Accent6" xfId="3" builtinId="49"/>
    <cellStyle name="Comma" xfId="1" builtinId="3"/>
    <cellStyle name="Hyperlink" xfId="2" builtinId="8"/>
    <cellStyle name="Normal" xfId="0" builtinId="0"/>
    <cellStyle name="Percent" xfId="4" builtinId="5"/>
  </cellStyles>
  <dxfs count="65">
    <dxf>
      <font>
        <b/>
        <i val="0"/>
        <color theme="0"/>
      </font>
      <fill>
        <patternFill>
          <bgColor theme="5"/>
        </patternFill>
      </fill>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5" formatCode="[$-409]mmm\-yy;@"/>
    </dxf>
    <dxf>
      <font>
        <b/>
        <i val="0"/>
        <strike val="0"/>
        <condense val="0"/>
        <extend val="0"/>
        <outline val="0"/>
        <shadow val="0"/>
        <u val="none"/>
        <vertAlign val="baseline"/>
        <sz val="10"/>
        <color theme="0"/>
        <name val="Arial"/>
        <family val="2"/>
        <scheme val="none"/>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4" formatCode="0.0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000FF"/>
      <color rgb="FF027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4" headerRowCount="0" totalsRowCount="1" headerRowDxfId="64" dataDxfId="63">
  <tableColumns count="12">
    <tableColumn id="1" xr3:uid="{00000000-0010-0000-0000-000001000000}" name="Column1" headerRowDxfId="62" dataDxfId="61" totalsRowDxfId="60"/>
    <tableColumn id="2" xr3:uid="{00000000-0010-0000-0000-000002000000}" name="Column2" headerRowDxfId="59" dataDxfId="58" totalsRowDxfId="57"/>
    <tableColumn id="3" xr3:uid="{00000000-0010-0000-0000-000003000000}" name="Column3" headerRowDxfId="56" dataDxfId="55" totalsRowDxfId="54"/>
    <tableColumn id="4" xr3:uid="{00000000-0010-0000-0000-000004000000}" name="Column4" headerRowDxfId="53" dataDxfId="52" totalsRowDxfId="51"/>
    <tableColumn id="5" xr3:uid="{00000000-0010-0000-0000-000005000000}" name="Column5" headerRowDxfId="50" dataDxfId="49" totalsRowDxfId="48"/>
    <tableColumn id="6" xr3:uid="{00000000-0010-0000-0000-000006000000}" name="Column6" headerRowDxfId="47" dataDxfId="46" totalsRowDxfId="45"/>
    <tableColumn id="7" xr3:uid="{00000000-0010-0000-0000-000007000000}" name="Column7" headerRowDxfId="44" dataDxfId="43" totalsRowDxfId="42"/>
    <tableColumn id="8" xr3:uid="{00000000-0010-0000-0000-000008000000}" name="Column8" headerRowDxfId="41" dataDxfId="40" totalsRowDxfId="39"/>
    <tableColumn id="9" xr3:uid="{00000000-0010-0000-0000-000009000000}" name="Column9" headerRowDxfId="38" dataDxfId="37" totalsRowDxfId="36"/>
    <tableColumn id="10" xr3:uid="{00000000-0010-0000-0000-00000A000000}" name="Column10" headerRowDxfId="35" dataDxfId="34" totalsRowDxfId="33"/>
    <tableColumn id="11" xr3:uid="{00000000-0010-0000-0000-00000B000000}" name="Column11" headerRowDxfId="32" dataDxfId="31" totalsRowDxfId="30"/>
    <tableColumn id="12" xr3:uid="{00000000-0010-0000-0000-00000C000000}"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26" dataDxfId="25" tableBorderDxfId="24" totalsRowBorderDxfId="23">
  <tableColumns count="11">
    <tableColumn id="1" xr3:uid="{00000000-0010-0000-0100-000001000000}" name="Column1" headerRowDxfId="22" dataDxfId="21"/>
    <tableColumn id="2" xr3:uid="{00000000-0010-0000-0100-000002000000}" name="Column2" headerRowDxfId="20" dataDxfId="19"/>
    <tableColumn id="3" xr3:uid="{00000000-0010-0000-0100-000003000000}" name="Column3" headerRowDxfId="18" dataDxfId="17"/>
    <tableColumn id="4" xr3:uid="{00000000-0010-0000-0100-000004000000}" name="Column4" headerRowDxfId="16" dataDxfId="15"/>
    <tableColumn id="5" xr3:uid="{00000000-0010-0000-0100-000005000000}" name="Column5" headerRowDxfId="14" dataDxfId="13"/>
    <tableColumn id="6" xr3:uid="{00000000-0010-0000-0100-000006000000}" name="Column6" headerRowDxfId="12" dataDxfId="11"/>
    <tableColumn id="7" xr3:uid="{00000000-0010-0000-0100-000007000000}" name="Column7" headerRowDxfId="10" dataDxfId="9"/>
    <tableColumn id="8" xr3:uid="{00000000-0010-0000-0100-000008000000}" name="Column8" headerRowDxfId="8" dataDxfId="7"/>
    <tableColumn id="9" xr3:uid="{00000000-0010-0000-0100-000009000000}" name="Column9" headerRowDxfId="6" dataDxfId="5"/>
    <tableColumn id="10" xr3:uid="{00000000-0010-0000-0100-00000A000000}" name="Column10" headerRowDxfId="4" dataDxfId="3"/>
    <tableColumn id="11" xr3:uid="{00000000-0010-0000-0100-00000B000000}" name="Column11" headerRowDxfId="2" data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www.safalniveshak.com/value-stocks-using-dcf/"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goo.gl/F4PjL7"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0.bin"/><Relationship Id="rId1" Type="http://schemas.openxmlformats.org/officeDocument/2006/relationships/hyperlink" Target="http://www.screener.i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creener.in/exce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afalniveshak.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hyperlink" Target="http://amzn.to/2fLVgAe" TargetMode="Externa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amzn.to/2xRdlRK" TargetMode="External"/><Relationship Id="rId1" Type="http://schemas.openxmlformats.org/officeDocument/2006/relationships/hyperlink" Target="https://www.safalniveshak.com/dhandho-investor-guide-to-intrinsic-valu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B23"/>
  <sheetViews>
    <sheetView tabSelected="1" workbookViewId="0"/>
  </sheetViews>
  <sheetFormatPr defaultRowHeight="12.5" x14ac:dyDescent="0.25"/>
  <cols>
    <col min="1" max="1" width="151.453125" style="436" customWidth="1"/>
    <col min="2" max="16384" width="8.7265625" style="436"/>
  </cols>
  <sheetData>
    <row r="1" spans="1:2" ht="19" x14ac:dyDescent="0.4">
      <c r="A1" s="435" t="s">
        <v>274</v>
      </c>
    </row>
    <row r="2" spans="1:2" ht="16" thickBot="1" x14ac:dyDescent="0.4">
      <c r="A2" s="437" t="s">
        <v>231</v>
      </c>
    </row>
    <row r="3" spans="1:2" s="440" customFormat="1" ht="16" thickBot="1" x14ac:dyDescent="0.4">
      <c r="A3" s="438"/>
      <c r="B3" s="439"/>
    </row>
    <row r="4" spans="1:2" ht="15.5" x14ac:dyDescent="0.35">
      <c r="A4" s="441" t="s">
        <v>285</v>
      </c>
    </row>
    <row r="5" spans="1:2" ht="14.5" x14ac:dyDescent="0.35">
      <c r="A5" s="442" t="s">
        <v>318</v>
      </c>
    </row>
    <row r="6" spans="1:2" ht="14.5" x14ac:dyDescent="0.35">
      <c r="A6" s="445" t="s">
        <v>319</v>
      </c>
    </row>
    <row r="7" spans="1:2" ht="25.5" x14ac:dyDescent="0.25">
      <c r="A7" s="442" t="s">
        <v>320</v>
      </c>
    </row>
    <row r="8" spans="1:2" ht="25.5" x14ac:dyDescent="0.25">
      <c r="A8" s="442" t="s">
        <v>321</v>
      </c>
    </row>
    <row r="9" spans="1:2" ht="13.5" thickBot="1" x14ac:dyDescent="0.35">
      <c r="A9" s="443" t="s">
        <v>322</v>
      </c>
    </row>
    <row r="11" spans="1:2" ht="13" thickBot="1" x14ac:dyDescent="0.3"/>
    <row r="12" spans="1:2" ht="15.5" x14ac:dyDescent="0.35">
      <c r="A12" s="441" t="s">
        <v>286</v>
      </c>
    </row>
    <row r="13" spans="1:2" ht="25" x14ac:dyDescent="0.25">
      <c r="A13" s="442" t="s">
        <v>293</v>
      </c>
    </row>
    <row r="14" spans="1:2" ht="25" x14ac:dyDescent="0.25">
      <c r="A14" s="442" t="s">
        <v>287</v>
      </c>
    </row>
    <row r="15" spans="1:2" ht="25" x14ac:dyDescent="0.25">
      <c r="A15" s="442" t="s">
        <v>309</v>
      </c>
    </row>
    <row r="16" spans="1:2" ht="25" x14ac:dyDescent="0.25">
      <c r="A16" s="442" t="s">
        <v>308</v>
      </c>
    </row>
    <row r="17" spans="1:1" x14ac:dyDescent="0.25">
      <c r="A17" s="442" t="s">
        <v>290</v>
      </c>
    </row>
    <row r="18" spans="1:1" ht="25" x14ac:dyDescent="0.25">
      <c r="A18" s="442" t="s">
        <v>294</v>
      </c>
    </row>
    <row r="19" spans="1:1" x14ac:dyDescent="0.25">
      <c r="A19" s="442" t="s">
        <v>291</v>
      </c>
    </row>
    <row r="20" spans="1:1" ht="25" x14ac:dyDescent="0.25">
      <c r="A20" s="442" t="s">
        <v>292</v>
      </c>
    </row>
    <row r="21" spans="1:1" ht="13" thickBot="1" x14ac:dyDescent="0.3">
      <c r="A21" s="443" t="s">
        <v>317</v>
      </c>
    </row>
    <row r="23" spans="1:1" ht="13" x14ac:dyDescent="0.3">
      <c r="A23" s="444" t="s">
        <v>323</v>
      </c>
    </row>
  </sheetData>
  <hyperlinks>
    <hyperlink ref="A2" r:id="rId1" xr:uid="{6C75252E-EC86-4CE2-A753-DBF34F09E16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I20"/>
  <sheetViews>
    <sheetView workbookViewId="0">
      <selection activeCell="E2" sqref="E2"/>
    </sheetView>
  </sheetViews>
  <sheetFormatPr defaultRowHeight="12.5" x14ac:dyDescent="0.25"/>
  <cols>
    <col min="1" max="1" width="26.36328125" style="8" bestFit="1" customWidth="1"/>
    <col min="2" max="2" width="21.36328125" style="8" bestFit="1" customWidth="1"/>
    <col min="3" max="3" width="8.7265625" style="8"/>
    <col min="4" max="4" width="26.1796875" style="8" bestFit="1" customWidth="1"/>
    <col min="5" max="5" width="21.36328125" style="8" bestFit="1" customWidth="1"/>
    <col min="6" max="6" width="8.7265625" style="8"/>
    <col min="7" max="8" width="4.81640625" style="8" bestFit="1" customWidth="1"/>
    <col min="9" max="9" width="26.36328125" style="8" bestFit="1" customWidth="1"/>
    <col min="10" max="10" width="8.7265625" style="8"/>
    <col min="11" max="11" width="6.90625" style="8" bestFit="1" customWidth="1"/>
    <col min="12" max="16384" width="8.7265625" style="8"/>
  </cols>
  <sheetData>
    <row r="1" spans="1:9" ht="19.5" thickBot="1" x14ac:dyDescent="0.45">
      <c r="A1" s="400" t="s">
        <v>306</v>
      </c>
      <c r="B1" s="401"/>
      <c r="D1" s="400" t="s">
        <v>307</v>
      </c>
      <c r="E1" s="401"/>
    </row>
    <row r="3" spans="1:9" x14ac:dyDescent="0.25">
      <c r="A3" s="15" t="s">
        <v>93</v>
      </c>
      <c r="B3" s="18" t="str">
        <f>'Profit &amp; Loss'!A2</f>
        <v>HERO MOTOCORP LTD</v>
      </c>
      <c r="D3" s="15" t="s">
        <v>93</v>
      </c>
      <c r="E3" s="18" t="str">
        <f>B3</f>
        <v>HERO MOTOCORP LTD</v>
      </c>
    </row>
    <row r="4" spans="1:9" x14ac:dyDescent="0.25">
      <c r="A4" s="15" t="s">
        <v>92</v>
      </c>
      <c r="B4" s="19">
        <f>'Profit &amp; Loss'!K3</f>
        <v>42825</v>
      </c>
      <c r="D4" s="15" t="s">
        <v>92</v>
      </c>
      <c r="E4" s="19">
        <f>B4</f>
        <v>42825</v>
      </c>
    </row>
    <row r="5" spans="1:9" x14ac:dyDescent="0.25">
      <c r="B5" s="20"/>
      <c r="E5" s="20"/>
    </row>
    <row r="6" spans="1:9" x14ac:dyDescent="0.25">
      <c r="A6" s="15" t="s">
        <v>123</v>
      </c>
      <c r="B6" s="21">
        <f>AVERAGE('Profit &amp; Loss'!G23:K23)</f>
        <v>2630.0380000000027</v>
      </c>
      <c r="D6" s="15" t="s">
        <v>123</v>
      </c>
      <c r="E6" s="21">
        <f>B6</f>
        <v>2630.0380000000027</v>
      </c>
    </row>
    <row r="7" spans="1:9" x14ac:dyDescent="0.25">
      <c r="A7" s="15" t="s">
        <v>91</v>
      </c>
      <c r="B7" s="21">
        <v>8.5</v>
      </c>
      <c r="D7" s="15" t="s">
        <v>91</v>
      </c>
      <c r="E7" s="21">
        <f>B7</f>
        <v>8.5</v>
      </c>
    </row>
    <row r="8" spans="1:9" x14ac:dyDescent="0.25">
      <c r="A8" s="15" t="s">
        <v>120</v>
      </c>
      <c r="B8" s="51">
        <f>(('Profit &amp; Loss'!K23/'Profit &amp; Loss'!F23)^(1/5)-1)*100*50%</f>
        <v>3.6330116544082136</v>
      </c>
      <c r="D8" s="15" t="s">
        <v>120</v>
      </c>
      <c r="E8" s="51">
        <f>(('Profit &amp; Loss'!K23/'Profit &amp; Loss'!F23)^(1/5)-1)*100</f>
        <v>7.2660233088164272</v>
      </c>
    </row>
    <row r="9" spans="1:9" x14ac:dyDescent="0.25">
      <c r="B9" s="24"/>
      <c r="E9" s="24"/>
      <c r="H9" s="25"/>
      <c r="I9" s="23"/>
    </row>
    <row r="10" spans="1:9" x14ac:dyDescent="0.25">
      <c r="A10" s="15" t="s">
        <v>122</v>
      </c>
      <c r="B10" s="50">
        <f>B6*(B7+2*B8)</f>
        <v>41465.240411072984</v>
      </c>
      <c r="D10" s="15" t="s">
        <v>122</v>
      </c>
      <c r="E10" s="50">
        <f>E6*(E7+2*E8)</f>
        <v>60575.157822145942</v>
      </c>
    </row>
    <row r="11" spans="1:9" x14ac:dyDescent="0.25">
      <c r="A11" s="15" t="s">
        <v>121</v>
      </c>
      <c r="B11" s="50">
        <f>'Data Sheet'!B9</f>
        <v>78259.199999999997</v>
      </c>
      <c r="D11" s="15" t="s">
        <v>121</v>
      </c>
      <c r="E11" s="50">
        <f>B11</f>
        <v>78259.199999999997</v>
      </c>
      <c r="F11" s="25"/>
    </row>
    <row r="12" spans="1:9" x14ac:dyDescent="0.25">
      <c r="B12" s="24"/>
    </row>
    <row r="13" spans="1:9" ht="13" x14ac:dyDescent="0.3">
      <c r="A13" s="80" t="s">
        <v>305</v>
      </c>
      <c r="B13" s="24"/>
    </row>
    <row r="14" spans="1:9" ht="13" x14ac:dyDescent="0.3">
      <c r="A14" s="22" t="s">
        <v>266</v>
      </c>
    </row>
    <row r="15" spans="1:9" ht="13" x14ac:dyDescent="0.3">
      <c r="A15" s="166" t="s">
        <v>267</v>
      </c>
    </row>
    <row r="17" spans="1:1" ht="13" x14ac:dyDescent="0.3">
      <c r="A17" s="22" t="s">
        <v>268</v>
      </c>
    </row>
    <row r="18" spans="1:1" ht="13" x14ac:dyDescent="0.3">
      <c r="A18" s="166" t="s">
        <v>269</v>
      </c>
    </row>
    <row r="20" spans="1:1" ht="13" x14ac:dyDescent="0.3">
      <c r="A20" s="22" t="s">
        <v>270</v>
      </c>
    </row>
  </sheetData>
  <mergeCells count="2">
    <mergeCell ref="A1:B1"/>
    <mergeCell ref="D1:E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2"/>
  <sheetViews>
    <sheetView workbookViewId="0">
      <selection activeCell="G17" sqref="G17"/>
    </sheetView>
  </sheetViews>
  <sheetFormatPr defaultColWidth="12.81640625" defaultRowHeight="12.5" x14ac:dyDescent="0.25"/>
  <cols>
    <col min="1" max="1" width="32.453125" style="8" bestFit="1" customWidth="1"/>
    <col min="2" max="2" width="7.6328125" style="8" bestFit="1" customWidth="1"/>
    <col min="3" max="3" width="7.1796875" style="8" bestFit="1" customWidth="1"/>
    <col min="4" max="4" width="12.7265625" style="8" bestFit="1" customWidth="1"/>
    <col min="5" max="5" width="7.6328125" style="8" bestFit="1" customWidth="1"/>
    <col min="6" max="6" width="33.453125" style="8" bestFit="1" customWidth="1"/>
    <col min="7" max="9" width="12.81640625" style="8"/>
    <col min="10" max="10" width="12.81640625" style="8" customWidth="1"/>
    <col min="11" max="16384" width="12.81640625" style="8"/>
  </cols>
  <sheetData>
    <row r="1" spans="1:6" ht="19" x14ac:dyDescent="0.4">
      <c r="A1" s="404" t="s">
        <v>177</v>
      </c>
      <c r="B1" s="405"/>
      <c r="C1" s="405"/>
      <c r="D1" s="405"/>
      <c r="E1" s="405"/>
      <c r="F1" s="406"/>
    </row>
    <row r="2" spans="1:6" ht="13.5" thickBot="1" x14ac:dyDescent="0.3">
      <c r="A2" s="407" t="str">
        <f>'Data Sheet'!B1</f>
        <v>HERO MOTOCORP LTD</v>
      </c>
      <c r="B2" s="408"/>
      <c r="C2" s="408"/>
      <c r="D2" s="408"/>
      <c r="E2" s="408"/>
      <c r="F2" s="409"/>
    </row>
    <row r="3" spans="1:6" ht="13.5" thickBot="1" x14ac:dyDescent="0.35">
      <c r="A3" s="73"/>
      <c r="B3" s="73"/>
      <c r="C3" s="73"/>
    </row>
    <row r="4" spans="1:6" ht="13.5" thickBot="1" x14ac:dyDescent="0.35">
      <c r="A4" s="8" t="s">
        <v>178</v>
      </c>
      <c r="B4" s="74">
        <f>'Cash Flow'!B12</f>
        <v>2031.72</v>
      </c>
      <c r="E4" s="150">
        <f>B29</f>
        <v>46250.394002486428</v>
      </c>
      <c r="F4" s="138" t="s">
        <v>181</v>
      </c>
    </row>
    <row r="5" spans="1:6" ht="13.5" thickBot="1" x14ac:dyDescent="0.35">
      <c r="E5" s="151">
        <f>'Data Sheet'!B9</f>
        <v>78259.199999999997</v>
      </c>
      <c r="F5" s="138" t="s">
        <v>176</v>
      </c>
    </row>
    <row r="6" spans="1:6" ht="13.5" thickBot="1" x14ac:dyDescent="0.35">
      <c r="A6" s="75" t="s">
        <v>152</v>
      </c>
      <c r="B6" s="76" t="s">
        <v>153</v>
      </c>
      <c r="C6" s="77" t="s">
        <v>154</v>
      </c>
      <c r="D6" s="78"/>
      <c r="E6" s="140">
        <f>E4/E5</f>
        <v>0.59098986448221336</v>
      </c>
      <c r="F6" s="138" t="s">
        <v>312</v>
      </c>
    </row>
    <row r="7" spans="1:6" ht="13.5" thickBot="1" x14ac:dyDescent="0.35">
      <c r="A7" s="8" t="s">
        <v>155</v>
      </c>
      <c r="B7" s="133">
        <v>0.15</v>
      </c>
      <c r="C7" s="134">
        <v>0.12</v>
      </c>
      <c r="D7" s="79"/>
    </row>
    <row r="8" spans="1:6" ht="13.5" thickBot="1" x14ac:dyDescent="0.35">
      <c r="A8" s="8" t="s">
        <v>136</v>
      </c>
      <c r="B8" s="135">
        <v>0.12</v>
      </c>
      <c r="C8" s="80"/>
    </row>
    <row r="9" spans="1:6" ht="13.5" thickBot="1" x14ac:dyDescent="0.35">
      <c r="A9" s="8" t="s">
        <v>156</v>
      </c>
      <c r="B9" s="136">
        <v>0.02</v>
      </c>
      <c r="C9" s="80"/>
      <c r="F9" s="81"/>
    </row>
    <row r="10" spans="1:6" ht="13.5" thickBot="1" x14ac:dyDescent="0.35">
      <c r="B10" s="82"/>
      <c r="C10" s="80"/>
      <c r="F10" s="81"/>
    </row>
    <row r="11" spans="1:6" ht="13.5" thickBot="1" x14ac:dyDescent="0.35">
      <c r="A11" s="83" t="s">
        <v>179</v>
      </c>
      <c r="B11" s="74">
        <f>'Balance Sheet'!K6-'Balance Sheet'!K19</f>
        <v>-4618.1200000000008</v>
      </c>
      <c r="C11" s="80"/>
      <c r="D11" s="23"/>
    </row>
    <row r="12" spans="1:6" ht="13" thickBot="1" x14ac:dyDescent="0.3"/>
    <row r="13" spans="1:6" ht="13" x14ac:dyDescent="0.3">
      <c r="A13" s="84" t="s">
        <v>125</v>
      </c>
      <c r="B13" s="85" t="s">
        <v>146</v>
      </c>
      <c r="C13" s="85" t="s">
        <v>157</v>
      </c>
      <c r="D13" s="86" t="s">
        <v>158</v>
      </c>
    </row>
    <row r="14" spans="1:6" x14ac:dyDescent="0.25">
      <c r="A14" s="87">
        <v>1</v>
      </c>
      <c r="B14" s="88">
        <f>(B4*C14)+B4</f>
        <v>2336.4780000000001</v>
      </c>
      <c r="C14" s="89">
        <f>$B$7</f>
        <v>0.15</v>
      </c>
      <c r="D14" s="90">
        <f t="shared" ref="D14:D23" si="0">B14/((1+$B$8)^A14)</f>
        <v>2086.1410714285712</v>
      </c>
    </row>
    <row r="15" spans="1:6" x14ac:dyDescent="0.25">
      <c r="A15" s="87">
        <v>2</v>
      </c>
      <c r="B15" s="88">
        <f t="shared" ref="B15:B23" si="1">(B14*C15)+B14</f>
        <v>2686.9497000000001</v>
      </c>
      <c r="C15" s="89">
        <f>$B$7</f>
        <v>0.15</v>
      </c>
      <c r="D15" s="90">
        <f t="shared" si="0"/>
        <v>2142.0198501275509</v>
      </c>
    </row>
    <row r="16" spans="1:6" x14ac:dyDescent="0.25">
      <c r="A16" s="87">
        <v>3</v>
      </c>
      <c r="B16" s="88">
        <f t="shared" si="1"/>
        <v>3089.9921549999999</v>
      </c>
      <c r="C16" s="89">
        <f>$B$7</f>
        <v>0.15</v>
      </c>
      <c r="D16" s="90">
        <f t="shared" si="0"/>
        <v>2199.3953818273953</v>
      </c>
      <c r="F16" s="91"/>
    </row>
    <row r="17" spans="1:6" x14ac:dyDescent="0.25">
      <c r="A17" s="87">
        <v>4</v>
      </c>
      <c r="B17" s="88">
        <f t="shared" si="1"/>
        <v>3553.4909782499999</v>
      </c>
      <c r="C17" s="89">
        <f>$B$7</f>
        <v>0.15</v>
      </c>
      <c r="D17" s="90">
        <f t="shared" si="0"/>
        <v>2258.3077581263437</v>
      </c>
      <c r="F17" s="81"/>
    </row>
    <row r="18" spans="1:6" x14ac:dyDescent="0.25">
      <c r="A18" s="87">
        <v>5</v>
      </c>
      <c r="B18" s="88">
        <f t="shared" si="1"/>
        <v>4086.5146249874997</v>
      </c>
      <c r="C18" s="89">
        <f>$B$7</f>
        <v>0.15</v>
      </c>
      <c r="D18" s="90">
        <f t="shared" si="0"/>
        <v>2318.7981445047276</v>
      </c>
      <c r="F18" s="81"/>
    </row>
    <row r="19" spans="1:6" x14ac:dyDescent="0.25">
      <c r="A19" s="87">
        <v>6</v>
      </c>
      <c r="B19" s="88">
        <f t="shared" si="1"/>
        <v>4576.8963799859994</v>
      </c>
      <c r="C19" s="89">
        <f>$C$7</f>
        <v>0.12</v>
      </c>
      <c r="D19" s="90">
        <f t="shared" si="0"/>
        <v>2318.7981445047271</v>
      </c>
      <c r="F19" s="81"/>
    </row>
    <row r="20" spans="1:6" x14ac:dyDescent="0.25">
      <c r="A20" s="87">
        <v>7</v>
      </c>
      <c r="B20" s="88">
        <f t="shared" si="1"/>
        <v>5126.1239455843188</v>
      </c>
      <c r="C20" s="89">
        <f>$C$7</f>
        <v>0.12</v>
      </c>
      <c r="D20" s="90">
        <f t="shared" si="0"/>
        <v>2318.7981445047267</v>
      </c>
      <c r="F20" s="81"/>
    </row>
    <row r="21" spans="1:6" x14ac:dyDescent="0.25">
      <c r="A21" s="87">
        <v>8</v>
      </c>
      <c r="B21" s="88">
        <f t="shared" si="1"/>
        <v>5741.2588190544375</v>
      </c>
      <c r="C21" s="89">
        <f>$C$7</f>
        <v>0.12</v>
      </c>
      <c r="D21" s="90">
        <f t="shared" si="0"/>
        <v>2318.7981445047267</v>
      </c>
    </row>
    <row r="22" spans="1:6" x14ac:dyDescent="0.25">
      <c r="A22" s="87">
        <v>9</v>
      </c>
      <c r="B22" s="88">
        <f t="shared" si="1"/>
        <v>6430.2098773409698</v>
      </c>
      <c r="C22" s="89">
        <f>$C$7</f>
        <v>0.12</v>
      </c>
      <c r="D22" s="90">
        <f t="shared" si="0"/>
        <v>2318.7981445047267</v>
      </c>
    </row>
    <row r="23" spans="1:6" ht="13" thickBot="1" x14ac:dyDescent="0.3">
      <c r="A23" s="92">
        <v>10</v>
      </c>
      <c r="B23" s="93">
        <f t="shared" si="1"/>
        <v>7201.8350626218862</v>
      </c>
      <c r="C23" s="94">
        <f>$C$7</f>
        <v>0.12</v>
      </c>
      <c r="D23" s="95">
        <f t="shared" si="0"/>
        <v>2318.7981445047267</v>
      </c>
    </row>
    <row r="24" spans="1:6" ht="13" thickBot="1" x14ac:dyDescent="0.3">
      <c r="A24" s="96"/>
      <c r="B24" s="97"/>
      <c r="C24" s="98"/>
      <c r="D24" s="99"/>
    </row>
    <row r="25" spans="1:6" ht="13" x14ac:dyDescent="0.3">
      <c r="A25" s="402" t="s">
        <v>159</v>
      </c>
      <c r="B25" s="403"/>
      <c r="C25" s="98"/>
      <c r="D25" s="99"/>
    </row>
    <row r="26" spans="1:6" x14ac:dyDescent="0.25">
      <c r="A26" s="100" t="s">
        <v>160</v>
      </c>
      <c r="B26" s="90">
        <f>(B23*B9)+B23</f>
        <v>7345.8717638743237</v>
      </c>
      <c r="C26" s="101"/>
      <c r="D26" s="102"/>
    </row>
    <row r="27" spans="1:6" x14ac:dyDescent="0.25">
      <c r="A27" s="103" t="s">
        <v>161</v>
      </c>
      <c r="B27" s="90">
        <f>SUM(D14:D23)</f>
        <v>22598.65292853822</v>
      </c>
      <c r="C27" s="83"/>
    </row>
    <row r="28" spans="1:6" x14ac:dyDescent="0.25">
      <c r="A28" s="100" t="s">
        <v>162</v>
      </c>
      <c r="B28" s="90">
        <f>((B26)/($B$8-$B$9))/(1+$B$8)^A23</f>
        <v>23651.741073948211</v>
      </c>
      <c r="C28" s="83"/>
    </row>
    <row r="29" spans="1:6" x14ac:dyDescent="0.25">
      <c r="A29" s="100" t="s">
        <v>163</v>
      </c>
      <c r="B29" s="90">
        <f>B27+B28</f>
        <v>46250.394002486428</v>
      </c>
      <c r="C29" s="83"/>
    </row>
    <row r="30" spans="1:6" x14ac:dyDescent="0.25">
      <c r="A30" s="100" t="s">
        <v>173</v>
      </c>
      <c r="B30" s="90">
        <f>'Data Sheet'!B9</f>
        <v>78259.199999999997</v>
      </c>
      <c r="C30" s="83"/>
    </row>
    <row r="32" spans="1:6" ht="13" x14ac:dyDescent="0.3">
      <c r="A32" s="182" t="s">
        <v>271</v>
      </c>
      <c r="D32" s="23"/>
    </row>
  </sheetData>
  <mergeCells count="3">
    <mergeCell ref="A25:B25"/>
    <mergeCell ref="A1:F1"/>
    <mergeCell ref="A2:F2"/>
  </mergeCells>
  <hyperlinks>
    <hyperlink ref="A32" r:id="rId1" display="Note: See the explanation of DCF here" xr:uid="{91503647-C77F-463A-9B2F-E18BF48EAA17}"/>
  </hyperlinks>
  <pageMargins left="0.7" right="0.7" top="0.75" bottom="0.75" header="0.3" footer="0.3"/>
  <pageSetup orientation="portrait"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8"/>
  <sheetViews>
    <sheetView workbookViewId="0">
      <selection activeCell="A18" sqref="A18"/>
    </sheetView>
  </sheetViews>
  <sheetFormatPr defaultColWidth="9.1796875" defaultRowHeight="13" x14ac:dyDescent="0.3"/>
  <cols>
    <col min="1" max="1" width="40.453125" style="119" bestFit="1" customWidth="1"/>
    <col min="2" max="2" width="8.6328125" style="119" bestFit="1" customWidth="1"/>
    <col min="3" max="11" width="6.7265625" style="119" bestFit="1" customWidth="1"/>
    <col min="12" max="13" width="11.36328125" style="119" bestFit="1" customWidth="1"/>
    <col min="14" max="16384" width="9.1796875" style="119"/>
  </cols>
  <sheetData>
    <row r="1" spans="1:13" ht="19" x14ac:dyDescent="0.4">
      <c r="A1" s="410" t="s">
        <v>182</v>
      </c>
      <c r="B1" s="411"/>
      <c r="C1" s="411"/>
      <c r="D1" s="411"/>
      <c r="E1" s="411"/>
      <c r="F1" s="411"/>
      <c r="G1" s="411"/>
      <c r="H1" s="411"/>
      <c r="I1" s="411"/>
      <c r="J1" s="411"/>
      <c r="K1" s="411"/>
      <c r="L1" s="411"/>
      <c r="M1" s="412"/>
    </row>
    <row r="2" spans="1:13" x14ac:dyDescent="0.3">
      <c r="A2" s="413" t="str">
        <f>'Data Sheet'!B1</f>
        <v>HERO MOTOCORP LTD</v>
      </c>
      <c r="B2" s="414"/>
      <c r="C2" s="414"/>
      <c r="D2" s="414"/>
      <c r="E2" s="414"/>
      <c r="F2" s="414"/>
      <c r="G2" s="414"/>
      <c r="H2" s="414"/>
      <c r="I2" s="414"/>
      <c r="J2" s="414"/>
      <c r="K2" s="414"/>
      <c r="L2" s="414"/>
      <c r="M2" s="415"/>
    </row>
    <row r="3" spans="1:13" x14ac:dyDescent="0.3">
      <c r="A3" s="104" t="s">
        <v>164</v>
      </c>
      <c r="B3" s="105">
        <f>'Data Sheet'!B16</f>
        <v>39538</v>
      </c>
      <c r="C3" s="105">
        <f>'Data Sheet'!C16</f>
        <v>39903</v>
      </c>
      <c r="D3" s="105">
        <f>'Data Sheet'!D16</f>
        <v>40268</v>
      </c>
      <c r="E3" s="105">
        <f>'Data Sheet'!E16</f>
        <v>40633</v>
      </c>
      <c r="F3" s="105">
        <f>'Data Sheet'!F16</f>
        <v>40999</v>
      </c>
      <c r="G3" s="105">
        <f>'Data Sheet'!G16</f>
        <v>41364</v>
      </c>
      <c r="H3" s="105">
        <f>'Data Sheet'!H16</f>
        <v>41729</v>
      </c>
      <c r="I3" s="105">
        <f>'Data Sheet'!I16</f>
        <v>42094</v>
      </c>
      <c r="J3" s="105">
        <f>'Data Sheet'!J16</f>
        <v>42460</v>
      </c>
      <c r="K3" s="105">
        <f>'Data Sheet'!K16</f>
        <v>42825</v>
      </c>
      <c r="L3" s="120" t="s">
        <v>168</v>
      </c>
      <c r="M3" s="121" t="s">
        <v>165</v>
      </c>
    </row>
    <row r="4" spans="1:13" x14ac:dyDescent="0.3">
      <c r="A4" s="106" t="s">
        <v>171</v>
      </c>
      <c r="B4" s="122">
        <f>'Data Sheet'!B30</f>
        <v>967.88</v>
      </c>
      <c r="C4" s="122">
        <f>'Data Sheet'!C30</f>
        <v>1281.76</v>
      </c>
      <c r="D4" s="122">
        <f>'Data Sheet'!D30</f>
        <v>2231.83</v>
      </c>
      <c r="E4" s="122">
        <f>'Data Sheet'!E30</f>
        <v>1927.9</v>
      </c>
      <c r="F4" s="122">
        <f>'Data Sheet'!F30</f>
        <v>2378.13</v>
      </c>
      <c r="G4" s="122">
        <f>'Data Sheet'!G30</f>
        <v>2118.16</v>
      </c>
      <c r="H4" s="122">
        <f>'Data Sheet'!H30</f>
        <v>2109.08</v>
      </c>
      <c r="I4" s="122">
        <f>'Data Sheet'!I30</f>
        <v>2385.64</v>
      </c>
      <c r="J4" s="122">
        <f>'Data Sheet'!J30</f>
        <v>3160.19</v>
      </c>
      <c r="K4" s="122">
        <f>'Data Sheet'!K30</f>
        <v>3377.12</v>
      </c>
      <c r="L4" s="124">
        <f>(K4/B4)^(1/9)-1</f>
        <v>0.14895435392020695</v>
      </c>
      <c r="M4" s="125">
        <f>(K4/F4)^(1/5)-1</f>
        <v>7.2660233088163606E-2</v>
      </c>
    </row>
    <row r="5" spans="1:13" x14ac:dyDescent="0.3">
      <c r="A5" s="107" t="s">
        <v>95</v>
      </c>
      <c r="B5" s="108">
        <f>B4/'Data Sheet'!B17</f>
        <v>9.3679707311407512E-2</v>
      </c>
      <c r="C5" s="108">
        <f>C4/'Data Sheet'!C17</f>
        <v>0.10404639292416989</v>
      </c>
      <c r="D5" s="108">
        <f>D4/'Data Sheet'!D17</f>
        <v>0.14162993442136085</v>
      </c>
      <c r="E5" s="108">
        <f>E4/'Data Sheet'!E17</f>
        <v>9.9386893343774318E-2</v>
      </c>
      <c r="F5" s="108">
        <f>F4/'Data Sheet'!F17</f>
        <v>0.10085783851159273</v>
      </c>
      <c r="G5" s="108">
        <f>G4/'Data Sheet'!G17</f>
        <v>8.911772959650556E-2</v>
      </c>
      <c r="H5" s="108">
        <f>H4/'Data Sheet'!H17</f>
        <v>8.3443750007418258E-2</v>
      </c>
      <c r="I5" s="108">
        <f>I4/'Data Sheet'!I17</f>
        <v>8.6482293105385841E-2</v>
      </c>
      <c r="J5" s="108">
        <f>J4/'Data Sheet'!J17</f>
        <v>0.1111072436864292</v>
      </c>
      <c r="K5" s="108">
        <f>K4/'Data Sheet'!K17</f>
        <v>0.11859951487252497</v>
      </c>
      <c r="L5" s="126"/>
      <c r="M5" s="127"/>
    </row>
    <row r="6" spans="1:13" ht="13.5" thickBot="1" x14ac:dyDescent="0.35">
      <c r="A6" s="109" t="s">
        <v>55</v>
      </c>
      <c r="B6" s="110">
        <f>'Balance Sheet'!B26</f>
        <v>0.32411326618088293</v>
      </c>
      <c r="C6" s="110">
        <f>'Balance Sheet'!C26</f>
        <v>0.33723870288758806</v>
      </c>
      <c r="D6" s="110">
        <f>'Balance Sheet'!D26</f>
        <v>0.64410306434017739</v>
      </c>
      <c r="E6" s="110">
        <f>'Balance Sheet'!E26</f>
        <v>0.65218567958701856</v>
      </c>
      <c r="F6" s="110">
        <f>'Balance Sheet'!F26</f>
        <v>0.55436462517162666</v>
      </c>
      <c r="G6" s="110">
        <f>'Balance Sheet'!G26</f>
        <v>0.42310396625012059</v>
      </c>
      <c r="H6" s="110">
        <f>'Balance Sheet'!H26</f>
        <v>0.37663017177184493</v>
      </c>
      <c r="I6" s="110">
        <f>'Balance Sheet'!I26</f>
        <v>0.36470259106328512</v>
      </c>
      <c r="J6" s="110">
        <f>'Balance Sheet'!J26</f>
        <v>0.35771375790799842</v>
      </c>
      <c r="K6" s="110">
        <f>'Balance Sheet'!K26</f>
        <v>0.33399496997910344</v>
      </c>
      <c r="L6" s="128"/>
      <c r="M6" s="129"/>
    </row>
    <row r="7" spans="1:13" x14ac:dyDescent="0.3">
      <c r="A7" s="111"/>
      <c r="B7" s="112"/>
      <c r="C7" s="112"/>
      <c r="D7" s="112"/>
      <c r="E7" s="112"/>
      <c r="F7" s="112"/>
      <c r="G7" s="112"/>
      <c r="H7" s="112"/>
      <c r="I7" s="112"/>
      <c r="J7" s="112"/>
      <c r="K7" s="112"/>
      <c r="L7" s="112"/>
      <c r="M7" s="112"/>
    </row>
    <row r="8" spans="1:13" ht="13.5" thickBot="1" x14ac:dyDescent="0.35">
      <c r="A8" s="22" t="s">
        <v>175</v>
      </c>
      <c r="B8" s="113"/>
      <c r="C8" s="113"/>
      <c r="D8" s="113"/>
      <c r="E8" s="113"/>
      <c r="F8" s="113"/>
      <c r="G8" s="113"/>
      <c r="H8" s="113"/>
      <c r="I8" s="113"/>
      <c r="J8" s="113"/>
      <c r="K8" s="113"/>
      <c r="L8" s="114"/>
      <c r="M8" s="114"/>
    </row>
    <row r="9" spans="1:13" x14ac:dyDescent="0.3">
      <c r="A9" s="115" t="s">
        <v>169</v>
      </c>
      <c r="B9" s="131">
        <v>0.12</v>
      </c>
      <c r="C9" s="8"/>
      <c r="D9" s="8"/>
      <c r="E9" s="8"/>
      <c r="F9" s="8"/>
      <c r="G9" s="8"/>
      <c r="H9" s="8"/>
      <c r="I9" s="8"/>
      <c r="J9" s="8"/>
      <c r="K9" s="8"/>
      <c r="L9" s="8"/>
      <c r="M9" s="8"/>
    </row>
    <row r="10" spans="1:13" x14ac:dyDescent="0.3">
      <c r="A10" s="116" t="s">
        <v>170</v>
      </c>
      <c r="B10" s="117">
        <f>K4*(1+B9)^10</f>
        <v>10488.822101363403</v>
      </c>
      <c r="C10" s="118"/>
      <c r="D10" s="8"/>
      <c r="E10" s="8"/>
      <c r="F10" s="8"/>
      <c r="G10" s="8"/>
      <c r="H10" s="8"/>
      <c r="I10" s="8"/>
      <c r="J10" s="8"/>
      <c r="K10" s="8"/>
      <c r="L10" s="8"/>
      <c r="M10" s="8"/>
    </row>
    <row r="11" spans="1:13" x14ac:dyDescent="0.3">
      <c r="A11" s="116" t="s">
        <v>166</v>
      </c>
      <c r="B11" s="130">
        <f>'Data Sheet'!B9/'Data Sheet'!K30</f>
        <v>23.173354811200074</v>
      </c>
      <c r="C11" s="8"/>
      <c r="D11" s="8"/>
      <c r="E11" s="8"/>
      <c r="F11" s="8"/>
      <c r="G11" s="8"/>
      <c r="H11" s="8"/>
      <c r="I11" s="8"/>
      <c r="J11" s="8"/>
      <c r="K11" s="8"/>
      <c r="L11" s="8"/>
      <c r="M11" s="8"/>
    </row>
    <row r="12" spans="1:13" x14ac:dyDescent="0.3">
      <c r="A12" s="116" t="s">
        <v>167</v>
      </c>
      <c r="B12" s="132">
        <v>20</v>
      </c>
      <c r="C12" s="8"/>
      <c r="D12" s="8"/>
      <c r="E12" s="8"/>
      <c r="F12" s="8"/>
      <c r="G12" s="8"/>
      <c r="H12" s="8"/>
      <c r="I12" s="8"/>
      <c r="J12" s="8"/>
      <c r="K12" s="8"/>
      <c r="L12" s="8"/>
      <c r="M12" s="8"/>
    </row>
    <row r="13" spans="1:13" x14ac:dyDescent="0.3">
      <c r="A13" s="116" t="s">
        <v>172</v>
      </c>
      <c r="B13" s="117">
        <f>B10*B12</f>
        <v>209776.44202726806</v>
      </c>
      <c r="C13" s="8"/>
      <c r="D13" s="8"/>
      <c r="E13" s="8"/>
      <c r="F13" s="8"/>
      <c r="G13" s="8"/>
      <c r="H13" s="8"/>
      <c r="I13" s="8"/>
      <c r="J13" s="8"/>
      <c r="K13" s="8"/>
      <c r="L13" s="8"/>
      <c r="M13" s="8"/>
    </row>
    <row r="14" spans="1:13" x14ac:dyDescent="0.3">
      <c r="A14" s="116" t="s">
        <v>197</v>
      </c>
      <c r="B14" s="123">
        <f>'EPV Valuation'!H12</f>
        <v>0.12</v>
      </c>
      <c r="C14" s="8"/>
      <c r="D14" s="8"/>
      <c r="E14" s="8"/>
      <c r="F14" s="8"/>
      <c r="G14" s="8"/>
      <c r="H14" s="8"/>
      <c r="I14" s="8"/>
      <c r="J14" s="8"/>
      <c r="K14" s="8"/>
      <c r="L14" s="8"/>
      <c r="M14" s="8"/>
    </row>
    <row r="15" spans="1:13" x14ac:dyDescent="0.3">
      <c r="A15" s="116" t="s">
        <v>174</v>
      </c>
      <c r="B15" s="152">
        <f>B13/(1+B14)^10</f>
        <v>67542.400000000009</v>
      </c>
      <c r="C15" s="8"/>
      <c r="D15" s="8"/>
      <c r="E15" s="8"/>
      <c r="F15" s="8"/>
      <c r="G15" s="8"/>
      <c r="H15" s="8"/>
      <c r="I15" s="8"/>
      <c r="J15" s="8"/>
      <c r="K15" s="8"/>
      <c r="L15" s="8"/>
      <c r="M15" s="8"/>
    </row>
    <row r="16" spans="1:13" x14ac:dyDescent="0.3">
      <c r="A16" s="116" t="s">
        <v>173</v>
      </c>
      <c r="B16" s="152">
        <f>'Data Sheet'!B9</f>
        <v>78259.199999999997</v>
      </c>
      <c r="C16" s="8"/>
      <c r="D16" s="8"/>
      <c r="E16" s="8"/>
      <c r="F16" s="8"/>
      <c r="G16" s="8"/>
      <c r="H16" s="8"/>
      <c r="I16" s="8"/>
      <c r="J16" s="8"/>
      <c r="K16" s="8"/>
      <c r="L16" s="8"/>
      <c r="M16" s="8"/>
    </row>
    <row r="17" spans="1:13" x14ac:dyDescent="0.3">
      <c r="A17" s="8"/>
      <c r="B17" s="8"/>
      <c r="C17" s="8"/>
      <c r="D17" s="8"/>
      <c r="E17" s="8"/>
      <c r="F17" s="8"/>
      <c r="G17" s="8"/>
      <c r="H17" s="8"/>
      <c r="I17" s="8"/>
      <c r="J17" s="8"/>
      <c r="K17" s="8"/>
      <c r="L17" s="8"/>
      <c r="M17" s="8"/>
    </row>
    <row r="18" spans="1:13" x14ac:dyDescent="0.3">
      <c r="A18" s="181" t="s">
        <v>272</v>
      </c>
    </row>
  </sheetData>
  <mergeCells count="2">
    <mergeCell ref="A1:M1"/>
    <mergeCell ref="A2:M2"/>
  </mergeCells>
  <hyperlinks>
    <hyperlink ref="A18" r:id="rId1" display="See the explanation of this model here" xr:uid="{0C82AB57-CC6D-432D-ACCA-FA9353EEAB84}"/>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17"/>
  <sheetViews>
    <sheetView workbookViewId="0">
      <selection activeCell="C15" sqref="C15"/>
    </sheetView>
  </sheetViews>
  <sheetFormatPr defaultRowHeight="12.5" x14ac:dyDescent="0.25"/>
  <cols>
    <col min="1" max="1" width="17.453125" style="222" bestFit="1" customWidth="1"/>
    <col min="2" max="2" width="8" style="222" bestFit="1" customWidth="1"/>
    <col min="3" max="3" width="7.453125" style="222" bestFit="1" customWidth="1"/>
    <col min="4" max="8" width="8.7265625" style="222"/>
    <col min="9" max="9" width="31.453125" style="222" customWidth="1"/>
    <col min="10" max="16384" width="8.7265625" style="222"/>
  </cols>
  <sheetData>
    <row r="1" spans="1:9" ht="19" x14ac:dyDescent="0.4">
      <c r="A1" s="416" t="s">
        <v>273</v>
      </c>
      <c r="B1" s="417"/>
      <c r="C1" s="418"/>
      <c r="F1" s="424" t="s">
        <v>281</v>
      </c>
      <c r="G1" s="425"/>
      <c r="H1" s="425"/>
      <c r="I1" s="426"/>
    </row>
    <row r="2" spans="1:9" ht="13" x14ac:dyDescent="0.3">
      <c r="A2" s="419" t="str">
        <f>'Data Sheet'!B1</f>
        <v>HERO MOTOCORP LTD</v>
      </c>
      <c r="B2" s="420"/>
      <c r="C2" s="421"/>
      <c r="F2" s="427"/>
      <c r="G2" s="428"/>
      <c r="H2" s="428"/>
      <c r="I2" s="429"/>
    </row>
    <row r="3" spans="1:9" ht="13" x14ac:dyDescent="0.3">
      <c r="A3" s="223"/>
      <c r="B3" s="224" t="s">
        <v>195</v>
      </c>
      <c r="C3" s="225" t="s">
        <v>196</v>
      </c>
      <c r="F3" s="427"/>
      <c r="G3" s="428"/>
      <c r="H3" s="428"/>
      <c r="I3" s="429"/>
    </row>
    <row r="4" spans="1:9" x14ac:dyDescent="0.25">
      <c r="A4" s="226" t="s">
        <v>90</v>
      </c>
      <c r="B4" s="227">
        <f>'EPV Valuation'!K12</f>
        <v>26478.358155279428</v>
      </c>
      <c r="C4" s="227"/>
      <c r="F4" s="427"/>
      <c r="G4" s="428"/>
      <c r="H4" s="428"/>
      <c r="I4" s="429"/>
    </row>
    <row r="5" spans="1:9" x14ac:dyDescent="0.25">
      <c r="A5" s="226" t="s">
        <v>150</v>
      </c>
      <c r="B5" s="227">
        <f>'Dhandho IV'!D19</f>
        <v>40618.0406133902</v>
      </c>
      <c r="C5" s="227">
        <f>'Dhandho IV'!K19</f>
        <v>67633.691456551227</v>
      </c>
      <c r="F5" s="427"/>
      <c r="G5" s="428"/>
      <c r="H5" s="428"/>
      <c r="I5" s="429"/>
    </row>
    <row r="6" spans="1:9" x14ac:dyDescent="0.25">
      <c r="A6" s="226" t="s">
        <v>151</v>
      </c>
      <c r="B6" s="227">
        <f>'Ben Graham Formula'!B10</f>
        <v>41465.240411072984</v>
      </c>
      <c r="C6" s="227">
        <f>'Ben Graham Formula'!E10</f>
        <v>60575.157822145942</v>
      </c>
      <c r="F6" s="427"/>
      <c r="G6" s="428"/>
      <c r="H6" s="428"/>
      <c r="I6" s="429"/>
    </row>
    <row r="7" spans="1:9" x14ac:dyDescent="0.25">
      <c r="A7" s="226" t="s">
        <v>180</v>
      </c>
      <c r="B7" s="227">
        <f>DCF!B29</f>
        <v>46250.394002486428</v>
      </c>
      <c r="C7" s="227"/>
      <c r="F7" s="427"/>
      <c r="G7" s="428"/>
      <c r="H7" s="428"/>
      <c r="I7" s="429"/>
    </row>
    <row r="8" spans="1:9" x14ac:dyDescent="0.25">
      <c r="A8" s="226" t="s">
        <v>183</v>
      </c>
      <c r="B8" s="227">
        <f>'Expected Returns'!B15</f>
        <v>67542.400000000009</v>
      </c>
      <c r="C8" s="227"/>
      <c r="F8" s="427"/>
      <c r="G8" s="428"/>
      <c r="H8" s="428"/>
      <c r="I8" s="429"/>
    </row>
    <row r="9" spans="1:9" x14ac:dyDescent="0.25">
      <c r="A9" s="304" t="s">
        <v>315</v>
      </c>
      <c r="B9" s="422">
        <f>'Data Sheet'!B9</f>
        <v>78259.199999999997</v>
      </c>
      <c r="C9" s="423"/>
      <c r="F9" s="427"/>
      <c r="G9" s="428"/>
      <c r="H9" s="428"/>
      <c r="I9" s="429"/>
    </row>
    <row r="10" spans="1:9" x14ac:dyDescent="0.25">
      <c r="F10" s="427"/>
      <c r="G10" s="428"/>
      <c r="H10" s="428"/>
      <c r="I10" s="429"/>
    </row>
    <row r="11" spans="1:9" x14ac:dyDescent="0.25">
      <c r="F11" s="427"/>
      <c r="G11" s="428"/>
      <c r="H11" s="428"/>
      <c r="I11" s="429"/>
    </row>
    <row r="12" spans="1:9" x14ac:dyDescent="0.25">
      <c r="F12" s="427"/>
      <c r="G12" s="428"/>
      <c r="H12" s="428"/>
      <c r="I12" s="429"/>
    </row>
    <row r="13" spans="1:9" x14ac:dyDescent="0.25">
      <c r="F13" s="427"/>
      <c r="G13" s="428"/>
      <c r="H13" s="428"/>
      <c r="I13" s="429"/>
    </row>
    <row r="14" spans="1:9" x14ac:dyDescent="0.25">
      <c r="F14" s="427"/>
      <c r="G14" s="428"/>
      <c r="H14" s="428"/>
      <c r="I14" s="429"/>
    </row>
    <row r="15" spans="1:9" x14ac:dyDescent="0.25">
      <c r="F15" s="427"/>
      <c r="G15" s="428"/>
      <c r="H15" s="428"/>
      <c r="I15" s="429"/>
    </row>
    <row r="16" spans="1:9" x14ac:dyDescent="0.25">
      <c r="F16" s="427"/>
      <c r="G16" s="428"/>
      <c r="H16" s="428"/>
      <c r="I16" s="429"/>
    </row>
    <row r="17" spans="6:9" ht="13" thickBot="1" x14ac:dyDescent="0.3">
      <c r="F17" s="430"/>
      <c r="G17" s="431"/>
      <c r="H17" s="431"/>
      <c r="I17" s="432"/>
    </row>
  </sheetData>
  <mergeCells count="4">
    <mergeCell ref="A1:C1"/>
    <mergeCell ref="A2:C2"/>
    <mergeCell ref="B9:C9"/>
    <mergeCell ref="F1:I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M1" sqref="M1"/>
    </sheetView>
  </sheetViews>
  <sheetFormatPr defaultColWidth="9.1796875" defaultRowHeight="12.5" x14ac:dyDescent="0.25"/>
  <cols>
    <col min="1" max="1" width="21.7265625" style="13" bestFit="1" customWidth="1"/>
    <col min="2" max="2" width="6.7265625" style="13" bestFit="1" customWidth="1"/>
    <col min="3" max="3" width="6.6328125" style="13" bestFit="1" customWidth="1"/>
    <col min="4" max="6" width="6.7265625" style="13" bestFit="1" customWidth="1"/>
    <col min="7" max="7" width="6.6328125" style="13" bestFit="1" customWidth="1"/>
    <col min="8" max="10" width="6.7265625" style="13" bestFit="1" customWidth="1"/>
    <col min="11" max="11" width="6.6328125" style="13" bestFit="1" customWidth="1"/>
    <col min="12" max="16384" width="9.1796875" style="13"/>
  </cols>
  <sheetData>
    <row r="1" spans="1:11" s="7" customFormat="1" ht="13" x14ac:dyDescent="0.3">
      <c r="A1" s="7" t="str">
        <f>'Profit &amp; Loss'!A2</f>
        <v>HERO MOTOCORP LTD</v>
      </c>
      <c r="E1" s="8" t="str">
        <f>UPDATE</f>
        <v/>
      </c>
      <c r="K1" s="26"/>
    </row>
    <row r="2" spans="1:11" ht="13" x14ac:dyDescent="0.3">
      <c r="A2" s="26" t="s">
        <v>1</v>
      </c>
    </row>
    <row r="3" spans="1:11" s="10" customFormat="1" ht="13" x14ac:dyDescent="0.3">
      <c r="A3" s="153" t="s">
        <v>2</v>
      </c>
      <c r="B3" s="154">
        <f>'Data Sheet'!B41</f>
        <v>42094</v>
      </c>
      <c r="C3" s="154">
        <f>'Data Sheet'!C41</f>
        <v>42185</v>
      </c>
      <c r="D3" s="154">
        <f>'Data Sheet'!D41</f>
        <v>42277</v>
      </c>
      <c r="E3" s="154">
        <f>'Data Sheet'!E41</f>
        <v>42369</v>
      </c>
      <c r="F3" s="154">
        <f>'Data Sheet'!F41</f>
        <v>42460</v>
      </c>
      <c r="G3" s="154">
        <f>'Data Sheet'!G41</f>
        <v>42551</v>
      </c>
      <c r="H3" s="154">
        <f>'Data Sheet'!H41</f>
        <v>42643</v>
      </c>
      <c r="I3" s="154">
        <f>'Data Sheet'!I41</f>
        <v>42735</v>
      </c>
      <c r="J3" s="154">
        <f>'Data Sheet'!J41</f>
        <v>42825</v>
      </c>
      <c r="K3" s="155">
        <f>'Data Sheet'!K41</f>
        <v>42916</v>
      </c>
    </row>
    <row r="4" spans="1:11" s="7" customFormat="1" ht="13" x14ac:dyDescent="0.3">
      <c r="A4" s="156" t="s">
        <v>4</v>
      </c>
      <c r="B4" s="146">
        <f>'Data Sheet'!B42</f>
        <v>6793.87</v>
      </c>
      <c r="C4" s="146">
        <f>'Data Sheet'!C42</f>
        <v>6904.76</v>
      </c>
      <c r="D4" s="146">
        <f>'Data Sheet'!D42</f>
        <v>6809.26</v>
      </c>
      <c r="E4" s="146">
        <f>'Data Sheet'!E42</f>
        <v>7223.51</v>
      </c>
      <c r="F4" s="146">
        <f>'Data Sheet'!F42</f>
        <v>7505.17</v>
      </c>
      <c r="G4" s="146">
        <f>'Data Sheet'!G42</f>
        <v>7398.91</v>
      </c>
      <c r="H4" s="146">
        <f>'Data Sheet'!H42</f>
        <v>7796.28</v>
      </c>
      <c r="I4" s="146">
        <f>'Data Sheet'!I42</f>
        <v>6364.6</v>
      </c>
      <c r="J4" s="146">
        <f>'Data Sheet'!J42</f>
        <v>6915.2</v>
      </c>
      <c r="K4" s="157">
        <f>'Data Sheet'!K42</f>
        <v>7971.58</v>
      </c>
    </row>
    <row r="5" spans="1:11" s="12" customFormat="1" ht="13" x14ac:dyDescent="0.3">
      <c r="A5" s="158" t="s">
        <v>96</v>
      </c>
      <c r="B5" s="159"/>
      <c r="C5" s="159"/>
      <c r="D5" s="159"/>
      <c r="E5" s="159"/>
      <c r="F5" s="145">
        <f>F4/B4-1</f>
        <v>0.1046973227335819</v>
      </c>
      <c r="G5" s="145">
        <f t="shared" ref="G5:K5" si="0">G4/C4-1</f>
        <v>7.156657146664025E-2</v>
      </c>
      <c r="H5" s="145">
        <f t="shared" si="0"/>
        <v>0.14495260865351001</v>
      </c>
      <c r="I5" s="145">
        <f t="shared" si="0"/>
        <v>-0.11890479835980017</v>
      </c>
      <c r="J5" s="145">
        <f t="shared" si="0"/>
        <v>-7.8608479221656591E-2</v>
      </c>
      <c r="K5" s="160">
        <f t="shared" si="0"/>
        <v>7.7399238536487225E-2</v>
      </c>
    </row>
    <row r="6" spans="1:11" x14ac:dyDescent="0.25">
      <c r="A6" s="161" t="s">
        <v>5</v>
      </c>
      <c r="B6" s="33">
        <f>'Data Sheet'!B43</f>
        <v>6110.54</v>
      </c>
      <c r="C6" s="33">
        <f>'Data Sheet'!C43</f>
        <v>5862.76</v>
      </c>
      <c r="D6" s="33">
        <f>'Data Sheet'!D43</f>
        <v>5713.68</v>
      </c>
      <c r="E6" s="33">
        <f>'Data Sheet'!E43</f>
        <v>6092.7</v>
      </c>
      <c r="F6" s="33">
        <f>'Data Sheet'!F43</f>
        <v>6315.99</v>
      </c>
      <c r="G6" s="33">
        <f>'Data Sheet'!G43</f>
        <v>6168.83</v>
      </c>
      <c r="H6" s="33">
        <f>'Data Sheet'!H43</f>
        <v>6427.41</v>
      </c>
      <c r="I6" s="33">
        <f>'Data Sheet'!I43</f>
        <v>5285.3</v>
      </c>
      <c r="J6" s="33">
        <f>'Data Sheet'!J43</f>
        <v>5957.64</v>
      </c>
      <c r="K6" s="162">
        <f>'Data Sheet'!K43</f>
        <v>6675.67</v>
      </c>
    </row>
    <row r="7" spans="1:11" s="7" customFormat="1" ht="13" x14ac:dyDescent="0.3">
      <c r="A7" s="156" t="s">
        <v>6</v>
      </c>
      <c r="B7" s="146">
        <f>'Data Sheet'!B50</f>
        <v>683.33</v>
      </c>
      <c r="C7" s="146">
        <f>'Data Sheet'!C50</f>
        <v>1042</v>
      </c>
      <c r="D7" s="146">
        <f>'Data Sheet'!D50</f>
        <v>1095.58</v>
      </c>
      <c r="E7" s="146">
        <f>'Data Sheet'!E50</f>
        <v>1130.81</v>
      </c>
      <c r="F7" s="146">
        <f>'Data Sheet'!F50</f>
        <v>1189.18</v>
      </c>
      <c r="G7" s="146">
        <f>'Data Sheet'!G50</f>
        <v>1230.08</v>
      </c>
      <c r="H7" s="146">
        <f>'Data Sheet'!H50</f>
        <v>1368.87</v>
      </c>
      <c r="I7" s="146">
        <f>'Data Sheet'!I50</f>
        <v>1079.3</v>
      </c>
      <c r="J7" s="146">
        <f>'Data Sheet'!J50</f>
        <v>957.56</v>
      </c>
      <c r="K7" s="157">
        <f>'Data Sheet'!K50</f>
        <v>1295.9100000000001</v>
      </c>
    </row>
    <row r="8" spans="1:11" x14ac:dyDescent="0.25">
      <c r="A8" s="161" t="s">
        <v>7</v>
      </c>
      <c r="B8" s="33">
        <f>'Data Sheet'!B44</f>
        <v>92.88</v>
      </c>
      <c r="C8" s="33">
        <f>'Data Sheet'!C44</f>
        <v>104.39</v>
      </c>
      <c r="D8" s="33">
        <f>'Data Sheet'!D44</f>
        <v>111.52</v>
      </c>
      <c r="E8" s="33">
        <f>'Data Sheet'!E44</f>
        <v>90.2</v>
      </c>
      <c r="F8" s="33">
        <f>'Data Sheet'!F44</f>
        <v>116.76</v>
      </c>
      <c r="G8" s="33">
        <f>'Data Sheet'!G44</f>
        <v>120.37</v>
      </c>
      <c r="H8" s="33">
        <f>'Data Sheet'!H44</f>
        <v>152.36000000000001</v>
      </c>
      <c r="I8" s="33">
        <f>'Data Sheet'!I44</f>
        <v>131.88</v>
      </c>
      <c r="J8" s="33">
        <f>'Data Sheet'!J44</f>
        <v>118.23</v>
      </c>
      <c r="K8" s="162">
        <f>'Data Sheet'!K44</f>
        <v>131.69999999999999</v>
      </c>
    </row>
    <row r="9" spans="1:11" x14ac:dyDescent="0.25">
      <c r="A9" s="161" t="s">
        <v>8</v>
      </c>
      <c r="B9" s="33">
        <f>'Data Sheet'!B45</f>
        <v>89.74</v>
      </c>
      <c r="C9" s="33">
        <f>'Data Sheet'!C45</f>
        <v>102.96</v>
      </c>
      <c r="D9" s="33">
        <f>'Data Sheet'!D45</f>
        <v>109.05</v>
      </c>
      <c r="E9" s="33">
        <f>'Data Sheet'!E45</f>
        <v>113.94</v>
      </c>
      <c r="F9" s="33">
        <f>'Data Sheet'!F45</f>
        <v>114.74</v>
      </c>
      <c r="G9" s="33">
        <f>'Data Sheet'!G45</f>
        <v>115.24</v>
      </c>
      <c r="H9" s="33">
        <f>'Data Sheet'!H45</f>
        <v>119.25</v>
      </c>
      <c r="I9" s="33">
        <f>'Data Sheet'!I45</f>
        <v>124.36</v>
      </c>
      <c r="J9" s="33">
        <f>'Data Sheet'!J45</f>
        <v>135.30000000000001</v>
      </c>
      <c r="K9" s="162">
        <f>'Data Sheet'!K45</f>
        <v>132.94999999999999</v>
      </c>
    </row>
    <row r="10" spans="1:11" x14ac:dyDescent="0.25">
      <c r="A10" s="161" t="s">
        <v>9</v>
      </c>
      <c r="B10" s="33">
        <f>'Data Sheet'!B46</f>
        <v>0.75</v>
      </c>
      <c r="C10" s="33">
        <f>'Data Sheet'!C46</f>
        <v>1.21</v>
      </c>
      <c r="D10" s="33">
        <f>'Data Sheet'!D46</f>
        <v>1.23</v>
      </c>
      <c r="E10" s="33">
        <f>'Data Sheet'!E46</f>
        <v>1.23</v>
      </c>
      <c r="F10" s="33">
        <f>'Data Sheet'!F46</f>
        <v>1.22</v>
      </c>
      <c r="G10" s="33">
        <f>'Data Sheet'!G46</f>
        <v>1.5</v>
      </c>
      <c r="H10" s="33">
        <f>'Data Sheet'!H46</f>
        <v>1.55</v>
      </c>
      <c r="I10" s="33">
        <f>'Data Sheet'!I46</f>
        <v>1.52</v>
      </c>
      <c r="J10" s="33">
        <f>'Data Sheet'!J46</f>
        <v>1.48</v>
      </c>
      <c r="K10" s="162">
        <f>'Data Sheet'!K46</f>
        <v>1.58</v>
      </c>
    </row>
    <row r="11" spans="1:11" x14ac:dyDescent="0.25">
      <c r="A11" s="161" t="s">
        <v>10</v>
      </c>
      <c r="B11" s="33">
        <f>'Data Sheet'!B47</f>
        <v>685.72</v>
      </c>
      <c r="C11" s="33">
        <f>'Data Sheet'!C47</f>
        <v>1042.22</v>
      </c>
      <c r="D11" s="33">
        <f>'Data Sheet'!D47</f>
        <v>1096.82</v>
      </c>
      <c r="E11" s="33">
        <f>'Data Sheet'!E47</f>
        <v>1105.8399999999999</v>
      </c>
      <c r="F11" s="33">
        <f>'Data Sheet'!F47</f>
        <v>1189.98</v>
      </c>
      <c r="G11" s="33">
        <f>'Data Sheet'!G47</f>
        <v>1233.71</v>
      </c>
      <c r="H11" s="33">
        <f>'Data Sheet'!H47</f>
        <v>1400.43</v>
      </c>
      <c r="I11" s="33">
        <f>'Data Sheet'!I47</f>
        <v>1085.3</v>
      </c>
      <c r="J11" s="33">
        <f>'Data Sheet'!J47</f>
        <v>939.01</v>
      </c>
      <c r="K11" s="162">
        <f>'Data Sheet'!K47</f>
        <v>1293.08</v>
      </c>
    </row>
    <row r="12" spans="1:11" ht="13" x14ac:dyDescent="0.3">
      <c r="A12" s="158" t="s">
        <v>104</v>
      </c>
      <c r="B12" s="145">
        <f>B11/B4</f>
        <v>0.1009321638477039</v>
      </c>
      <c r="C12" s="145">
        <f t="shared" ref="C12:K12" si="1">C11/C4</f>
        <v>0.15094224853579269</v>
      </c>
      <c r="D12" s="145">
        <f t="shared" si="1"/>
        <v>0.16107770888466585</v>
      </c>
      <c r="E12" s="145">
        <f t="shared" si="1"/>
        <v>0.15308901074408424</v>
      </c>
      <c r="F12" s="145">
        <f t="shared" si="1"/>
        <v>0.15855470295809423</v>
      </c>
      <c r="G12" s="145">
        <f t="shared" si="1"/>
        <v>0.16674212823240181</v>
      </c>
      <c r="H12" s="145">
        <f t="shared" si="1"/>
        <v>0.17962797641952316</v>
      </c>
      <c r="I12" s="145">
        <f t="shared" si="1"/>
        <v>0.17052132105709705</v>
      </c>
      <c r="J12" s="145">
        <f t="shared" si="1"/>
        <v>0.13578927579824154</v>
      </c>
      <c r="K12" s="160">
        <f t="shared" si="1"/>
        <v>0.16221125548511084</v>
      </c>
    </row>
    <row r="13" spans="1:11" s="12" customFormat="1" ht="13" x14ac:dyDescent="0.3">
      <c r="A13" s="158" t="s">
        <v>96</v>
      </c>
      <c r="B13" s="159"/>
      <c r="C13" s="159"/>
      <c r="D13" s="159"/>
      <c r="E13" s="159"/>
      <c r="F13" s="145">
        <f>F11/B11-1</f>
        <v>0.73537303855801195</v>
      </c>
      <c r="G13" s="145">
        <f>G11/C11-1</f>
        <v>0.18373280113603663</v>
      </c>
      <c r="H13" s="145">
        <f>H11/D11-1</f>
        <v>0.2768093214930436</v>
      </c>
      <c r="I13" s="145">
        <f>I11/E11-1</f>
        <v>-1.8574115604427344E-2</v>
      </c>
      <c r="J13" s="145">
        <f>J11/F11-1</f>
        <v>-0.2109027042471302</v>
      </c>
      <c r="K13" s="160">
        <f t="shared" ref="K13" si="2">K11/G11-1</f>
        <v>4.8123140770521378E-2</v>
      </c>
    </row>
    <row r="14" spans="1:11" x14ac:dyDescent="0.25">
      <c r="A14" s="161" t="s">
        <v>11</v>
      </c>
      <c r="B14" s="33">
        <f>'Data Sheet'!B48</f>
        <v>209.19</v>
      </c>
      <c r="C14" s="33">
        <f>'Data Sheet'!C48</f>
        <v>294.68</v>
      </c>
      <c r="D14" s="33">
        <f>'Data Sheet'!D48</f>
        <v>310.7</v>
      </c>
      <c r="E14" s="33">
        <f>'Data Sheet'!E48</f>
        <v>312.61</v>
      </c>
      <c r="F14" s="33">
        <f>'Data Sheet'!F48</f>
        <v>356.69</v>
      </c>
      <c r="G14" s="33">
        <f>'Data Sheet'!G48</f>
        <v>350.62</v>
      </c>
      <c r="H14" s="33">
        <f>'Data Sheet'!H48</f>
        <v>396.21</v>
      </c>
      <c r="I14" s="33">
        <f>'Data Sheet'!I48</f>
        <v>313.25</v>
      </c>
      <c r="J14" s="33">
        <f>'Data Sheet'!J48</f>
        <v>221.26</v>
      </c>
      <c r="K14" s="162">
        <f>'Data Sheet'!K48</f>
        <v>379.04</v>
      </c>
    </row>
    <row r="15" spans="1:11" s="7" customFormat="1" ht="13" x14ac:dyDescent="0.3">
      <c r="A15" s="156" t="s">
        <v>12</v>
      </c>
      <c r="B15" s="146">
        <f>'Data Sheet'!B49</f>
        <v>476.53</v>
      </c>
      <c r="C15" s="146">
        <f>'Data Sheet'!C49</f>
        <v>747.54</v>
      </c>
      <c r="D15" s="146">
        <f>'Data Sheet'!D49</f>
        <v>786.12</v>
      </c>
      <c r="E15" s="146">
        <f>'Data Sheet'!E49</f>
        <v>793.23</v>
      </c>
      <c r="F15" s="146">
        <f>'Data Sheet'!F49</f>
        <v>833.29</v>
      </c>
      <c r="G15" s="146">
        <f>'Data Sheet'!G49</f>
        <v>883.09</v>
      </c>
      <c r="H15" s="146">
        <f>'Data Sheet'!H49</f>
        <v>1004.22</v>
      </c>
      <c r="I15" s="146">
        <f>'Data Sheet'!I49</f>
        <v>772.05</v>
      </c>
      <c r="J15" s="146">
        <f>'Data Sheet'!J49</f>
        <v>717.75</v>
      </c>
      <c r="K15" s="157">
        <f>'Data Sheet'!K49</f>
        <v>914.04</v>
      </c>
    </row>
    <row r="16" spans="1:11" s="12" customFormat="1" ht="13" x14ac:dyDescent="0.3">
      <c r="A16" s="158" t="s">
        <v>96</v>
      </c>
      <c r="B16" s="159"/>
      <c r="C16" s="159"/>
      <c r="D16" s="159"/>
      <c r="E16" s="159"/>
      <c r="F16" s="145">
        <f>F15/B15-1</f>
        <v>0.74866220384865589</v>
      </c>
      <c r="G16" s="145">
        <f t="shared" ref="G16" si="3">G15/C15-1</f>
        <v>0.18132808946678458</v>
      </c>
      <c r="H16" s="145">
        <f t="shared" ref="H16" si="4">H15/D15-1</f>
        <v>0.27743855899862613</v>
      </c>
      <c r="I16" s="145">
        <f t="shared" ref="I16" si="5">I15/E15-1</f>
        <v>-2.6700956847320545E-2</v>
      </c>
      <c r="J16" s="145">
        <f t="shared" ref="J16" si="6">J15/F15-1</f>
        <v>-0.13865521007092363</v>
      </c>
      <c r="K16" s="160">
        <f t="shared" ref="K16" si="7">K15/G15-1</f>
        <v>3.5047390413208035E-2</v>
      </c>
    </row>
    <row r="17" spans="1:12" s="7" customFormat="1" ht="13" x14ac:dyDescent="0.3">
      <c r="A17" s="163" t="s">
        <v>15</v>
      </c>
      <c r="B17" s="164">
        <f t="shared" ref="B17:K17" si="8">IF(B4&gt;0,B7/B4,"")</f>
        <v>0.10058037613319067</v>
      </c>
      <c r="C17" s="164">
        <f t="shared" si="8"/>
        <v>0.15091038645803764</v>
      </c>
      <c r="D17" s="164">
        <f t="shared" si="8"/>
        <v>0.1608956039275927</v>
      </c>
      <c r="E17" s="164">
        <f t="shared" si="8"/>
        <v>0.15654577899109989</v>
      </c>
      <c r="F17" s="164">
        <f t="shared" si="8"/>
        <v>0.15844810976966545</v>
      </c>
      <c r="G17" s="164">
        <f t="shared" si="8"/>
        <v>0.16625151542592084</v>
      </c>
      <c r="H17" s="164">
        <f t="shared" si="8"/>
        <v>0.17557989194846771</v>
      </c>
      <c r="I17" s="164">
        <f t="shared" si="8"/>
        <v>0.1695786066681331</v>
      </c>
      <c r="J17" s="164">
        <f t="shared" si="8"/>
        <v>0.13847177232762609</v>
      </c>
      <c r="K17" s="165">
        <f t="shared" si="8"/>
        <v>0.16256626666231791</v>
      </c>
      <c r="L17" s="12"/>
    </row>
    <row r="25" spans="1:12" s="28" customFormat="1" x14ac:dyDescent="0.25"/>
  </sheetData>
  <hyperlinks>
    <hyperlink ref="A2"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3"/>
  <sheetViews>
    <sheetView workbookViewId="0">
      <pane xSplit="1" ySplit="1" topLeftCell="B2" activePane="bottomRight" state="frozen"/>
      <selection activeCell="C4" sqref="C4"/>
      <selection pane="topRight" activeCell="C4" sqref="C4"/>
      <selection pane="bottomLeft" activeCell="C4" sqref="C4"/>
      <selection pane="bottomRight" activeCell="D35" sqref="D35"/>
    </sheetView>
  </sheetViews>
  <sheetFormatPr defaultColWidth="9.1796875" defaultRowHeight="12.5" x14ac:dyDescent="0.25"/>
  <cols>
    <col min="1" max="1" width="25.1796875" style="14" bestFit="1" customWidth="1"/>
    <col min="2" max="2" width="13.90625" style="14" bestFit="1" customWidth="1"/>
    <col min="3" max="8" width="9.81640625" style="14" bestFit="1" customWidth="1"/>
    <col min="9" max="11" width="10.81640625" style="14" bestFit="1" customWidth="1"/>
    <col min="12" max="16384" width="9.1796875" style="14"/>
  </cols>
  <sheetData>
    <row r="1" spans="1:11" s="11" customFormat="1" ht="13" x14ac:dyDescent="0.3">
      <c r="A1" s="11" t="s">
        <v>0</v>
      </c>
      <c r="B1" s="11" t="s">
        <v>58</v>
      </c>
      <c r="E1" s="433" t="str">
        <f>IF(B2&lt;&gt;B3, "A NEW VERSION OF THE WORKSHEET IS AVAILABLE", "")</f>
        <v/>
      </c>
      <c r="F1" s="433"/>
      <c r="G1" s="433"/>
      <c r="H1" s="433"/>
      <c r="I1" s="433"/>
      <c r="J1" s="433"/>
      <c r="K1" s="433"/>
    </row>
    <row r="2" spans="1:11" ht="13" x14ac:dyDescent="0.3">
      <c r="A2" s="11" t="s">
        <v>56</v>
      </c>
      <c r="B2" s="14">
        <v>2.1</v>
      </c>
      <c r="E2" s="434" t="s">
        <v>31</v>
      </c>
      <c r="F2" s="434"/>
      <c r="G2" s="434"/>
      <c r="H2" s="434"/>
      <c r="I2" s="434"/>
      <c r="J2" s="434"/>
      <c r="K2" s="434"/>
    </row>
    <row r="3" spans="1:11" ht="13" x14ac:dyDescent="0.3">
      <c r="A3" s="11" t="s">
        <v>57</v>
      </c>
      <c r="B3" s="14">
        <v>2.1</v>
      </c>
    </row>
    <row r="4" spans="1:11" ht="13" x14ac:dyDescent="0.3">
      <c r="A4" s="11"/>
    </row>
    <row r="5" spans="1:11" ht="13" x14ac:dyDescent="0.3">
      <c r="A5" s="11" t="s">
        <v>59</v>
      </c>
    </row>
    <row r="6" spans="1:11" x14ac:dyDescent="0.25">
      <c r="A6" s="14" t="s">
        <v>37</v>
      </c>
      <c r="B6" s="14">
        <f>IF(B9&gt;0, B9/B8, 0)</f>
        <v>19.969685370894894</v>
      </c>
    </row>
    <row r="7" spans="1:11" x14ac:dyDescent="0.25">
      <c r="A7" s="14" t="s">
        <v>26</v>
      </c>
      <c r="B7" s="8">
        <v>2</v>
      </c>
    </row>
    <row r="8" spans="1:11" x14ac:dyDescent="0.25">
      <c r="A8" s="14" t="s">
        <v>38</v>
      </c>
      <c r="B8" s="8">
        <v>3918.9</v>
      </c>
    </row>
    <row r="9" spans="1:11" x14ac:dyDescent="0.25">
      <c r="A9" s="14" t="s">
        <v>73</v>
      </c>
      <c r="B9" s="8">
        <v>78259.199999999997</v>
      </c>
    </row>
    <row r="15" spans="1:11" ht="13" x14ac:dyDescent="0.3">
      <c r="A15" s="11" t="s">
        <v>32</v>
      </c>
    </row>
    <row r="16" spans="1:11" s="30" customFormat="1" ht="13" x14ac:dyDescent="0.3">
      <c r="A16" s="29" t="s">
        <v>33</v>
      </c>
      <c r="B16" s="9">
        <v>39538</v>
      </c>
      <c r="C16" s="9">
        <v>39903</v>
      </c>
      <c r="D16" s="9">
        <v>40268</v>
      </c>
      <c r="E16" s="9">
        <v>40633</v>
      </c>
      <c r="F16" s="9">
        <v>40999</v>
      </c>
      <c r="G16" s="9">
        <v>41364</v>
      </c>
      <c r="H16" s="9">
        <v>41729</v>
      </c>
      <c r="I16" s="9">
        <v>42094</v>
      </c>
      <c r="J16" s="9">
        <v>42460</v>
      </c>
      <c r="K16" s="9">
        <v>42825</v>
      </c>
    </row>
    <row r="17" spans="1:11" x14ac:dyDescent="0.25">
      <c r="A17" s="14" t="s">
        <v>4</v>
      </c>
      <c r="B17" s="8">
        <v>10331.799999999999</v>
      </c>
      <c r="C17" s="8">
        <v>12319.12</v>
      </c>
      <c r="D17" s="8">
        <v>15758.18</v>
      </c>
      <c r="E17" s="8">
        <v>19397.93</v>
      </c>
      <c r="F17" s="8">
        <v>23579.03</v>
      </c>
      <c r="G17" s="8">
        <v>23768.11</v>
      </c>
      <c r="H17" s="8">
        <v>25275.47</v>
      </c>
      <c r="I17" s="8">
        <v>27585.3</v>
      </c>
      <c r="J17" s="8">
        <v>28442.7</v>
      </c>
      <c r="K17" s="8">
        <v>28474.99</v>
      </c>
    </row>
    <row r="18" spans="1:11" ht="14.5" x14ac:dyDescent="0.35">
      <c r="A18" s="14" t="s">
        <v>74</v>
      </c>
      <c r="B18">
        <v>7391.84</v>
      </c>
      <c r="C18">
        <v>8760.2199999999993</v>
      </c>
      <c r="D18">
        <v>10730.41</v>
      </c>
      <c r="E18">
        <v>14135.17</v>
      </c>
      <c r="F18">
        <v>17365.41</v>
      </c>
      <c r="G18">
        <v>17364.86</v>
      </c>
      <c r="H18">
        <v>18221.53</v>
      </c>
      <c r="I18">
        <v>19783.88</v>
      </c>
      <c r="J18">
        <v>19321.72</v>
      </c>
      <c r="K18">
        <v>18948.64</v>
      </c>
    </row>
    <row r="19" spans="1:11" ht="14.5" x14ac:dyDescent="0.35">
      <c r="A19" s="14" t="s">
        <v>75</v>
      </c>
      <c r="B19">
        <v>-14.14</v>
      </c>
      <c r="C19">
        <v>18.21</v>
      </c>
      <c r="D19">
        <v>-5.95</v>
      </c>
      <c r="E19">
        <v>24.06</v>
      </c>
      <c r="F19">
        <v>83.84</v>
      </c>
      <c r="G19">
        <v>-32.799999999999997</v>
      </c>
      <c r="H19">
        <v>-8.36</v>
      </c>
      <c r="I19">
        <v>29.97</v>
      </c>
      <c r="J19">
        <v>11.88</v>
      </c>
      <c r="K19">
        <v>-63.17</v>
      </c>
    </row>
    <row r="20" spans="1:11" x14ac:dyDescent="0.25">
      <c r="A20" s="14" t="s">
        <v>76</v>
      </c>
      <c r="B20" s="8">
        <v>56.55</v>
      </c>
      <c r="C20" s="8">
        <v>73.7</v>
      </c>
      <c r="D20" s="8">
        <v>81.05</v>
      </c>
      <c r="E20" s="8">
        <v>100.47</v>
      </c>
      <c r="F20" s="8">
        <v>112.66</v>
      </c>
      <c r="G20" s="8">
        <v>129.18</v>
      </c>
      <c r="H20" s="8">
        <v>137.46</v>
      </c>
      <c r="I20" s="8">
        <v>158.47</v>
      </c>
      <c r="J20" s="8">
        <v>122.13</v>
      </c>
      <c r="K20" s="8">
        <v>112.62</v>
      </c>
    </row>
    <row r="21" spans="1:11" x14ac:dyDescent="0.25">
      <c r="A21" s="14" t="s">
        <v>77</v>
      </c>
      <c r="B21" s="8">
        <v>95.65</v>
      </c>
      <c r="C21" s="8">
        <v>113.33</v>
      </c>
      <c r="D21" s="8">
        <v>143.49</v>
      </c>
      <c r="E21" s="8">
        <v>164.83</v>
      </c>
      <c r="F21" s="8">
        <v>187.56</v>
      </c>
      <c r="G21" s="8">
        <v>213.96</v>
      </c>
      <c r="H21" s="8">
        <v>232.61</v>
      </c>
      <c r="I21" s="8">
        <v>245.4</v>
      </c>
      <c r="J21" s="8">
        <v>209.85</v>
      </c>
      <c r="K21" s="8">
        <v>204.61</v>
      </c>
    </row>
    <row r="22" spans="1:11" x14ac:dyDescent="0.25">
      <c r="A22" s="14" t="s">
        <v>78</v>
      </c>
      <c r="B22" s="8">
        <v>321.16000000000003</v>
      </c>
      <c r="C22" s="8">
        <v>370.71</v>
      </c>
      <c r="D22" s="8">
        <v>437.83</v>
      </c>
      <c r="E22" s="8">
        <v>618.95000000000005</v>
      </c>
      <c r="F22" s="8">
        <v>735.52</v>
      </c>
      <c r="G22" s="8">
        <v>820.92</v>
      </c>
      <c r="H22" s="8">
        <v>930.04</v>
      </c>
      <c r="I22" s="8">
        <v>1172.8699999999999</v>
      </c>
      <c r="J22" s="8">
        <v>1315.93</v>
      </c>
      <c r="K22" s="8">
        <v>1396.01</v>
      </c>
    </row>
    <row r="23" spans="1:11" x14ac:dyDescent="0.25">
      <c r="A23" s="14" t="s">
        <v>79</v>
      </c>
      <c r="B23" s="8">
        <v>903.74</v>
      </c>
      <c r="C23" s="8">
        <v>1047.27</v>
      </c>
      <c r="D23" s="8">
        <v>1401.46</v>
      </c>
      <c r="E23" s="8">
        <v>1396.59</v>
      </c>
      <c r="F23" s="8">
        <v>1155.3699999999999</v>
      </c>
      <c r="G23" s="8">
        <v>1392.12</v>
      </c>
      <c r="H23" s="8">
        <v>1591.85</v>
      </c>
      <c r="I23" s="8">
        <v>1933</v>
      </c>
      <c r="J23" s="8">
        <v>2071.56</v>
      </c>
      <c r="K23" s="8">
        <v>2162.44</v>
      </c>
    </row>
    <row r="24" spans="1:11" x14ac:dyDescent="0.25">
      <c r="A24" s="14" t="s">
        <v>80</v>
      </c>
      <c r="B24" s="8">
        <v>218.89</v>
      </c>
      <c r="C24" s="8">
        <v>287.75</v>
      </c>
      <c r="D24" s="8">
        <v>296.02</v>
      </c>
      <c r="E24" s="8">
        <v>473.29</v>
      </c>
      <c r="F24" s="8">
        <v>487.57</v>
      </c>
      <c r="G24" s="8">
        <v>529.79</v>
      </c>
      <c r="H24" s="8">
        <v>613.55999999999995</v>
      </c>
      <c r="I24" s="8">
        <v>934.51</v>
      </c>
      <c r="J24" s="8">
        <v>958.42</v>
      </c>
      <c r="K24" s="8">
        <v>952.69</v>
      </c>
    </row>
    <row r="25" spans="1:11" x14ac:dyDescent="0.25">
      <c r="A25" s="14" t="s">
        <v>7</v>
      </c>
      <c r="B25" s="8">
        <v>242.77</v>
      </c>
      <c r="C25" s="8">
        <v>280.3</v>
      </c>
      <c r="D25" s="8">
        <v>363.33</v>
      </c>
      <c r="E25" s="8">
        <v>289.62</v>
      </c>
      <c r="F25" s="8">
        <v>364.57</v>
      </c>
      <c r="G25" s="8">
        <v>398.38</v>
      </c>
      <c r="H25" s="8">
        <v>446.38</v>
      </c>
      <c r="I25" s="8">
        <v>492.74</v>
      </c>
      <c r="J25" s="8">
        <v>422.43</v>
      </c>
      <c r="K25" s="8">
        <v>522.42999999999995</v>
      </c>
    </row>
    <row r="26" spans="1:11" x14ac:dyDescent="0.25">
      <c r="A26" s="14" t="s">
        <v>8</v>
      </c>
      <c r="B26" s="8">
        <v>160.32</v>
      </c>
      <c r="C26" s="8">
        <v>180.66</v>
      </c>
      <c r="D26" s="8">
        <v>191.47</v>
      </c>
      <c r="E26" s="8">
        <v>402.38</v>
      </c>
      <c r="F26" s="8">
        <v>1097.3399999999999</v>
      </c>
      <c r="G26" s="8">
        <v>1141.75</v>
      </c>
      <c r="H26" s="8">
        <v>1107.3699999999999</v>
      </c>
      <c r="I26" s="8">
        <v>539.97</v>
      </c>
      <c r="J26" s="8">
        <v>437.64</v>
      </c>
      <c r="K26" s="8">
        <v>492.73</v>
      </c>
    </row>
    <row r="27" spans="1:11" ht="14.5" x14ac:dyDescent="0.35">
      <c r="A27" s="14" t="s">
        <v>9</v>
      </c>
      <c r="B27" s="8">
        <v>2</v>
      </c>
      <c r="C27" s="8">
        <v>2.5299999999999998</v>
      </c>
      <c r="D27" s="8">
        <v>2.1</v>
      </c>
      <c r="E27" s="8">
        <v>15.17</v>
      </c>
      <c r="F27" s="8">
        <v>21.3</v>
      </c>
      <c r="G27" s="8">
        <v>11.91</v>
      </c>
      <c r="H27" s="8">
        <v>11.82</v>
      </c>
      <c r="I27" s="8">
        <v>11.09</v>
      </c>
      <c r="J27">
        <v>4.8899999999999997</v>
      </c>
      <c r="K27">
        <v>6.05</v>
      </c>
    </row>
    <row r="28" spans="1:11" x14ac:dyDescent="0.25">
      <c r="A28" s="14" t="s">
        <v>10</v>
      </c>
      <c r="B28" s="8">
        <v>1410.28</v>
      </c>
      <c r="C28" s="8">
        <v>1781.46</v>
      </c>
      <c r="D28" s="8">
        <v>2831.73</v>
      </c>
      <c r="E28" s="8">
        <v>2404.7600000000002</v>
      </c>
      <c r="F28" s="8">
        <v>2864.71</v>
      </c>
      <c r="G28" s="8">
        <v>2529.1999999999998</v>
      </c>
      <c r="H28" s="8">
        <v>2867.25</v>
      </c>
      <c r="I28" s="8">
        <v>3328.82</v>
      </c>
      <c r="J28" s="8">
        <v>4434.87</v>
      </c>
      <c r="K28" s="8">
        <v>4658.46</v>
      </c>
    </row>
    <row r="29" spans="1:11" x14ac:dyDescent="0.25">
      <c r="A29" s="14" t="s">
        <v>11</v>
      </c>
      <c r="B29" s="8">
        <v>442.4</v>
      </c>
      <c r="C29" s="8">
        <v>499.7</v>
      </c>
      <c r="D29" s="8">
        <v>599.9</v>
      </c>
      <c r="E29" s="8">
        <v>476.86</v>
      </c>
      <c r="F29" s="8">
        <v>486.58</v>
      </c>
      <c r="G29" s="8">
        <v>411.04</v>
      </c>
      <c r="H29" s="8">
        <v>758.17</v>
      </c>
      <c r="I29" s="8">
        <v>943.18</v>
      </c>
      <c r="J29" s="8">
        <v>1274.68</v>
      </c>
      <c r="K29" s="8">
        <v>1281.3399999999999</v>
      </c>
    </row>
    <row r="30" spans="1:11" x14ac:dyDescent="0.25">
      <c r="A30" s="14" t="s">
        <v>12</v>
      </c>
      <c r="B30" s="8">
        <v>967.88</v>
      </c>
      <c r="C30" s="8">
        <v>1281.76</v>
      </c>
      <c r="D30" s="8">
        <v>2231.83</v>
      </c>
      <c r="E30" s="8">
        <v>1927.9</v>
      </c>
      <c r="F30" s="8">
        <v>2378.13</v>
      </c>
      <c r="G30" s="8">
        <v>2118.16</v>
      </c>
      <c r="H30" s="8">
        <v>2109.08</v>
      </c>
      <c r="I30" s="8">
        <v>2385.64</v>
      </c>
      <c r="J30" s="8">
        <v>3160.19</v>
      </c>
      <c r="K30" s="8">
        <v>3377.12</v>
      </c>
    </row>
    <row r="31" spans="1:11" x14ac:dyDescent="0.25">
      <c r="A31" s="14" t="s">
        <v>64</v>
      </c>
      <c r="B31" s="8">
        <v>379.41</v>
      </c>
      <c r="C31" s="8">
        <v>399.38</v>
      </c>
      <c r="D31" s="8">
        <v>2196.56</v>
      </c>
      <c r="E31" s="8">
        <v>2096.7199999999998</v>
      </c>
      <c r="F31" s="8">
        <v>898.59</v>
      </c>
      <c r="G31" s="8">
        <v>1198.1300000000001</v>
      </c>
      <c r="H31" s="8">
        <v>1299.1300000000001</v>
      </c>
      <c r="I31" s="8">
        <v>1198.1199999999999</v>
      </c>
      <c r="J31" s="8">
        <v>599.05999999999995</v>
      </c>
      <c r="K31" s="8">
        <v>639.01</v>
      </c>
    </row>
    <row r="40" spans="1:11" ht="13" x14ac:dyDescent="0.3">
      <c r="A40" s="11" t="s">
        <v>34</v>
      </c>
    </row>
    <row r="41" spans="1:11" s="30" customFormat="1" ht="13" x14ac:dyDescent="0.3">
      <c r="A41" s="29" t="s">
        <v>33</v>
      </c>
      <c r="B41" s="9">
        <v>42094</v>
      </c>
      <c r="C41" s="9">
        <v>42185</v>
      </c>
      <c r="D41" s="9">
        <v>42277</v>
      </c>
      <c r="E41" s="9">
        <v>42369</v>
      </c>
      <c r="F41" s="9">
        <v>42460</v>
      </c>
      <c r="G41" s="9">
        <v>42551</v>
      </c>
      <c r="H41" s="9">
        <v>42643</v>
      </c>
      <c r="I41" s="9">
        <v>42735</v>
      </c>
      <c r="J41" s="9">
        <v>42825</v>
      </c>
      <c r="K41" s="9">
        <v>42916</v>
      </c>
    </row>
    <row r="42" spans="1:11" x14ac:dyDescent="0.25">
      <c r="A42" s="14" t="s">
        <v>4</v>
      </c>
      <c r="B42" s="8">
        <v>6793.87</v>
      </c>
      <c r="C42" s="8">
        <v>6904.76</v>
      </c>
      <c r="D42" s="8">
        <v>6809.26</v>
      </c>
      <c r="E42" s="8">
        <v>7223.51</v>
      </c>
      <c r="F42" s="8">
        <v>7505.17</v>
      </c>
      <c r="G42" s="8">
        <v>7398.91</v>
      </c>
      <c r="H42" s="8">
        <v>7796.28</v>
      </c>
      <c r="I42" s="8">
        <v>6364.6</v>
      </c>
      <c r="J42" s="8">
        <v>6915.2</v>
      </c>
      <c r="K42" s="8">
        <v>7971.58</v>
      </c>
    </row>
    <row r="43" spans="1:11" x14ac:dyDescent="0.25">
      <c r="A43" s="14" t="s">
        <v>5</v>
      </c>
      <c r="B43" s="8">
        <v>6110.54</v>
      </c>
      <c r="C43" s="8">
        <v>5862.76</v>
      </c>
      <c r="D43" s="8">
        <v>5713.68</v>
      </c>
      <c r="E43" s="8">
        <v>6092.7</v>
      </c>
      <c r="F43" s="8">
        <v>6315.99</v>
      </c>
      <c r="G43" s="8">
        <v>6168.83</v>
      </c>
      <c r="H43" s="8">
        <v>6427.41</v>
      </c>
      <c r="I43" s="8">
        <v>5285.3</v>
      </c>
      <c r="J43" s="8">
        <v>5957.64</v>
      </c>
      <c r="K43" s="8">
        <v>6675.67</v>
      </c>
    </row>
    <row r="44" spans="1:11" x14ac:dyDescent="0.25">
      <c r="A44" s="14" t="s">
        <v>7</v>
      </c>
      <c r="B44" s="8">
        <v>92.88</v>
      </c>
      <c r="C44" s="8">
        <v>104.39</v>
      </c>
      <c r="D44" s="8">
        <v>111.52</v>
      </c>
      <c r="E44" s="8">
        <v>90.2</v>
      </c>
      <c r="F44" s="8">
        <v>116.76</v>
      </c>
      <c r="G44" s="8">
        <v>120.37</v>
      </c>
      <c r="H44" s="8">
        <v>152.36000000000001</v>
      </c>
      <c r="I44" s="8">
        <v>131.88</v>
      </c>
      <c r="J44" s="8">
        <v>118.23</v>
      </c>
      <c r="K44" s="8">
        <v>131.69999999999999</v>
      </c>
    </row>
    <row r="45" spans="1:11" x14ac:dyDescent="0.25">
      <c r="A45" s="14" t="s">
        <v>8</v>
      </c>
      <c r="B45" s="8">
        <v>89.74</v>
      </c>
      <c r="C45" s="8">
        <v>102.96</v>
      </c>
      <c r="D45" s="8">
        <v>109.05</v>
      </c>
      <c r="E45" s="8">
        <v>113.94</v>
      </c>
      <c r="F45" s="8">
        <v>114.74</v>
      </c>
      <c r="G45" s="8">
        <v>115.24</v>
      </c>
      <c r="H45" s="8">
        <v>119.25</v>
      </c>
      <c r="I45" s="8">
        <v>124.36</v>
      </c>
      <c r="J45" s="8">
        <v>135.30000000000001</v>
      </c>
      <c r="K45" s="8">
        <v>132.94999999999999</v>
      </c>
    </row>
    <row r="46" spans="1:11" ht="14.5" x14ac:dyDescent="0.35">
      <c r="A46" s="14" t="s">
        <v>9</v>
      </c>
      <c r="B46">
        <v>0.75</v>
      </c>
      <c r="C46">
        <v>1.21</v>
      </c>
      <c r="D46">
        <v>1.23</v>
      </c>
      <c r="E46">
        <v>1.23</v>
      </c>
      <c r="F46">
        <v>1.22</v>
      </c>
      <c r="G46">
        <v>1.5</v>
      </c>
      <c r="H46">
        <v>1.55</v>
      </c>
      <c r="I46">
        <v>1.52</v>
      </c>
      <c r="J46">
        <v>1.48</v>
      </c>
      <c r="K46">
        <v>1.58</v>
      </c>
    </row>
    <row r="47" spans="1:11" x14ac:dyDescent="0.25">
      <c r="A47" s="14" t="s">
        <v>10</v>
      </c>
      <c r="B47" s="8">
        <v>685.72</v>
      </c>
      <c r="C47" s="8">
        <v>1042.22</v>
      </c>
      <c r="D47" s="8">
        <v>1096.82</v>
      </c>
      <c r="E47" s="8">
        <v>1105.8399999999999</v>
      </c>
      <c r="F47" s="8">
        <v>1189.98</v>
      </c>
      <c r="G47" s="8">
        <v>1233.71</v>
      </c>
      <c r="H47" s="8">
        <v>1400.43</v>
      </c>
      <c r="I47" s="8">
        <v>1085.3</v>
      </c>
      <c r="J47" s="8">
        <v>939.01</v>
      </c>
      <c r="K47" s="8">
        <v>1293.08</v>
      </c>
    </row>
    <row r="48" spans="1:11" x14ac:dyDescent="0.25">
      <c r="A48" s="14" t="s">
        <v>11</v>
      </c>
      <c r="B48" s="8">
        <v>209.19</v>
      </c>
      <c r="C48" s="8">
        <v>294.68</v>
      </c>
      <c r="D48" s="8">
        <v>310.7</v>
      </c>
      <c r="E48" s="8">
        <v>312.61</v>
      </c>
      <c r="F48" s="8">
        <v>356.69</v>
      </c>
      <c r="G48" s="8">
        <v>350.62</v>
      </c>
      <c r="H48" s="8">
        <v>396.21</v>
      </c>
      <c r="I48" s="8">
        <v>313.25</v>
      </c>
      <c r="J48" s="8">
        <v>221.26</v>
      </c>
      <c r="K48" s="8">
        <v>379.04</v>
      </c>
    </row>
    <row r="49" spans="1:11" x14ac:dyDescent="0.25">
      <c r="A49" s="14" t="s">
        <v>12</v>
      </c>
      <c r="B49" s="8">
        <v>476.53</v>
      </c>
      <c r="C49" s="8">
        <v>747.54</v>
      </c>
      <c r="D49" s="8">
        <v>786.12</v>
      </c>
      <c r="E49" s="8">
        <v>793.23</v>
      </c>
      <c r="F49" s="8">
        <v>833.29</v>
      </c>
      <c r="G49" s="8">
        <v>883.09</v>
      </c>
      <c r="H49" s="8">
        <v>1004.22</v>
      </c>
      <c r="I49" s="8">
        <v>772.05</v>
      </c>
      <c r="J49" s="8">
        <v>717.75</v>
      </c>
      <c r="K49" s="8">
        <v>914.04</v>
      </c>
    </row>
    <row r="50" spans="1:11" x14ac:dyDescent="0.25">
      <c r="A50" s="14" t="s">
        <v>6</v>
      </c>
      <c r="B50" s="8">
        <v>683.33</v>
      </c>
      <c r="C50" s="8">
        <v>1042</v>
      </c>
      <c r="D50" s="8">
        <v>1095.58</v>
      </c>
      <c r="E50" s="8">
        <v>1130.81</v>
      </c>
      <c r="F50" s="8">
        <v>1189.18</v>
      </c>
      <c r="G50" s="8">
        <v>1230.08</v>
      </c>
      <c r="H50" s="8">
        <v>1368.87</v>
      </c>
      <c r="I50" s="8">
        <v>1079.3</v>
      </c>
      <c r="J50" s="8">
        <v>957.56</v>
      </c>
      <c r="K50" s="8">
        <v>1295.9100000000001</v>
      </c>
    </row>
    <row r="55" spans="1:11" ht="13" x14ac:dyDescent="0.3">
      <c r="A55" s="11" t="s">
        <v>35</v>
      </c>
    </row>
    <row r="56" spans="1:11" s="30" customFormat="1" ht="13" x14ac:dyDescent="0.3">
      <c r="A56" s="29" t="s">
        <v>33</v>
      </c>
      <c r="B56" s="9">
        <v>39538</v>
      </c>
      <c r="C56" s="9">
        <v>39903</v>
      </c>
      <c r="D56" s="9">
        <v>40268</v>
      </c>
      <c r="E56" s="9">
        <v>40633</v>
      </c>
      <c r="F56" s="9">
        <v>40999</v>
      </c>
      <c r="G56" s="9">
        <v>41364</v>
      </c>
      <c r="H56" s="9">
        <v>41729</v>
      </c>
      <c r="I56" s="9">
        <v>42094</v>
      </c>
      <c r="J56" s="9">
        <v>42460</v>
      </c>
      <c r="K56" s="9">
        <v>42825</v>
      </c>
    </row>
    <row r="57" spans="1:11" x14ac:dyDescent="0.25">
      <c r="A57" s="14" t="s">
        <v>19</v>
      </c>
      <c r="B57" s="8">
        <v>39.94</v>
      </c>
      <c r="C57" s="8">
        <v>39.94</v>
      </c>
      <c r="D57" s="8">
        <v>39.94</v>
      </c>
      <c r="E57" s="8">
        <v>39.94</v>
      </c>
      <c r="F57" s="8">
        <v>39.94</v>
      </c>
      <c r="G57" s="8">
        <v>39.94</v>
      </c>
      <c r="H57" s="8">
        <v>39.94</v>
      </c>
      <c r="I57" s="8">
        <v>39.94</v>
      </c>
      <c r="J57" s="8">
        <v>39.94</v>
      </c>
      <c r="K57" s="8">
        <v>39.94</v>
      </c>
    </row>
    <row r="58" spans="1:11" x14ac:dyDescent="0.25">
      <c r="A58" s="14" t="s">
        <v>20</v>
      </c>
      <c r="B58" s="8">
        <v>2946.3</v>
      </c>
      <c r="C58" s="8">
        <v>3760.81</v>
      </c>
      <c r="D58" s="8">
        <v>3425.08</v>
      </c>
      <c r="E58" s="8">
        <v>2916.12</v>
      </c>
      <c r="F58" s="8">
        <v>4249.8900000000003</v>
      </c>
      <c r="G58" s="8">
        <v>4966.3</v>
      </c>
      <c r="H58" s="8">
        <v>5559.93</v>
      </c>
      <c r="I58" s="8">
        <v>6501.39</v>
      </c>
      <c r="J58" s="8">
        <v>8794.4699999999993</v>
      </c>
      <c r="K58" s="8">
        <v>10071.35</v>
      </c>
    </row>
    <row r="59" spans="1:11" ht="14.5" x14ac:dyDescent="0.35">
      <c r="A59" s="14" t="s">
        <v>65</v>
      </c>
      <c r="B59">
        <v>132</v>
      </c>
      <c r="C59">
        <v>78.489999999999995</v>
      </c>
      <c r="D59">
        <v>66.03</v>
      </c>
      <c r="E59">
        <v>693.35</v>
      </c>
      <c r="F59">
        <v>719.44</v>
      </c>
      <c r="G59">
        <v>641.58000000000004</v>
      </c>
      <c r="H59">
        <v>284.26</v>
      </c>
    </row>
    <row r="60" spans="1:11" x14ac:dyDescent="0.25">
      <c r="A60" s="14" t="s">
        <v>66</v>
      </c>
      <c r="B60" s="8">
        <v>1955.33</v>
      </c>
      <c r="C60" s="8">
        <v>2205.9</v>
      </c>
      <c r="D60" s="8">
        <v>4992.04</v>
      </c>
      <c r="E60" s="8">
        <v>7082.8</v>
      </c>
      <c r="F60" s="8">
        <v>4886.1400000000003</v>
      </c>
      <c r="G60" s="8">
        <v>4001.16</v>
      </c>
      <c r="H60" s="8">
        <v>4217.97</v>
      </c>
      <c r="I60" s="8">
        <v>3986.68</v>
      </c>
      <c r="J60" s="8">
        <v>3796.17</v>
      </c>
      <c r="K60" s="8">
        <v>4645.42</v>
      </c>
    </row>
    <row r="61" spans="1:11" s="11" customFormat="1" ht="13" x14ac:dyDescent="0.3">
      <c r="A61" s="11" t="s">
        <v>21</v>
      </c>
      <c r="B61" s="8">
        <v>5073.57</v>
      </c>
      <c r="C61" s="8">
        <v>6085.14</v>
      </c>
      <c r="D61" s="8">
        <v>8523.09</v>
      </c>
      <c r="E61" s="8">
        <v>10732.21</v>
      </c>
      <c r="F61" s="8">
        <v>9895.41</v>
      </c>
      <c r="G61" s="8">
        <v>9648.98</v>
      </c>
      <c r="H61" s="8">
        <v>10102.1</v>
      </c>
      <c r="I61" s="8">
        <v>10528.01</v>
      </c>
      <c r="J61" s="8">
        <v>12630.58</v>
      </c>
      <c r="K61" s="8">
        <v>14756.71</v>
      </c>
    </row>
    <row r="62" spans="1:11" x14ac:dyDescent="0.25">
      <c r="A62" s="14" t="s">
        <v>22</v>
      </c>
      <c r="B62" s="8">
        <v>1156.26</v>
      </c>
      <c r="C62" s="8">
        <v>1573.71</v>
      </c>
      <c r="D62" s="8">
        <v>1658.78</v>
      </c>
      <c r="E62" s="8">
        <v>4080.28</v>
      </c>
      <c r="F62" s="8">
        <v>3785.51</v>
      </c>
      <c r="G62" s="8">
        <v>3070.98</v>
      </c>
      <c r="H62" s="8">
        <v>2243.25</v>
      </c>
      <c r="I62" s="8">
        <v>2912.69</v>
      </c>
      <c r="J62" s="8">
        <v>3584.35</v>
      </c>
      <c r="K62" s="8">
        <v>4395.59</v>
      </c>
    </row>
    <row r="63" spans="1:11" x14ac:dyDescent="0.25">
      <c r="A63" s="14" t="s">
        <v>23</v>
      </c>
      <c r="B63" s="8">
        <v>408.49</v>
      </c>
      <c r="C63" s="8">
        <v>120.54</v>
      </c>
      <c r="D63" s="8">
        <v>48.14</v>
      </c>
      <c r="E63" s="8">
        <v>49.96</v>
      </c>
      <c r="F63" s="8">
        <v>38.840000000000003</v>
      </c>
      <c r="G63" s="8">
        <v>62.09</v>
      </c>
      <c r="H63" s="8">
        <v>854.11</v>
      </c>
      <c r="I63" s="8">
        <v>712.55</v>
      </c>
      <c r="J63" s="8">
        <v>605.4</v>
      </c>
      <c r="K63" s="8">
        <v>465.05</v>
      </c>
    </row>
    <row r="64" spans="1:11" ht="14.5" x14ac:dyDescent="0.35">
      <c r="A64" s="14" t="s">
        <v>24</v>
      </c>
      <c r="B64" s="8">
        <v>2566.8200000000002</v>
      </c>
      <c r="C64">
        <v>3368.75</v>
      </c>
      <c r="D64" s="8">
        <v>3925.71</v>
      </c>
      <c r="E64" s="8">
        <v>5128.75</v>
      </c>
      <c r="F64" s="8">
        <v>3964.26</v>
      </c>
      <c r="G64" s="8">
        <v>3623.83</v>
      </c>
      <c r="H64" s="8">
        <v>4088.77</v>
      </c>
      <c r="I64" s="8">
        <v>3154.11</v>
      </c>
      <c r="J64" s="8">
        <v>4581.0200000000004</v>
      </c>
      <c r="K64" s="8">
        <v>5889.85</v>
      </c>
    </row>
    <row r="65" spans="1:11" x14ac:dyDescent="0.25">
      <c r="A65" s="14" t="s">
        <v>67</v>
      </c>
      <c r="B65" s="8">
        <v>942</v>
      </c>
      <c r="C65" s="8">
        <v>1022.14</v>
      </c>
      <c r="D65" s="8">
        <v>2890.46</v>
      </c>
      <c r="E65" s="8">
        <v>1473.22</v>
      </c>
      <c r="F65" s="8">
        <v>2106.8000000000002</v>
      </c>
      <c r="G65" s="8">
        <v>2892.08</v>
      </c>
      <c r="H65" s="8">
        <v>2915.97</v>
      </c>
      <c r="I65" s="8">
        <v>3748.66</v>
      </c>
      <c r="J65" s="8">
        <v>3859.81</v>
      </c>
      <c r="K65" s="8">
        <v>4006.22</v>
      </c>
    </row>
    <row r="66" spans="1:11" s="11" customFormat="1" ht="13" x14ac:dyDescent="0.3">
      <c r="A66" s="11" t="s">
        <v>21</v>
      </c>
      <c r="B66" s="8">
        <v>5073.57</v>
      </c>
      <c r="C66" s="8">
        <v>6085.14</v>
      </c>
      <c r="D66" s="8">
        <v>8523.09</v>
      </c>
      <c r="E66" s="8">
        <v>10732.21</v>
      </c>
      <c r="F66" s="8">
        <v>9895.41</v>
      </c>
      <c r="G66" s="8">
        <v>9648.98</v>
      </c>
      <c r="H66" s="8">
        <v>10102.1</v>
      </c>
      <c r="I66" s="8">
        <v>10528.01</v>
      </c>
      <c r="J66" s="8">
        <v>12630.58</v>
      </c>
      <c r="K66" s="8">
        <v>14756.71</v>
      </c>
    </row>
    <row r="67" spans="1:11" x14ac:dyDescent="0.25">
      <c r="A67" s="14" t="s">
        <v>72</v>
      </c>
      <c r="B67" s="8">
        <v>297.44</v>
      </c>
      <c r="C67" s="8">
        <v>149.94</v>
      </c>
      <c r="D67" s="8">
        <v>108.39</v>
      </c>
      <c r="E67" s="8">
        <v>130.59</v>
      </c>
      <c r="F67" s="8">
        <v>272.31</v>
      </c>
      <c r="G67" s="8">
        <v>665</v>
      </c>
      <c r="H67" s="8">
        <v>920.58</v>
      </c>
      <c r="I67" s="8">
        <v>1389.59</v>
      </c>
      <c r="J67" s="8">
        <v>1282.8</v>
      </c>
      <c r="K67" s="8">
        <v>1561.87</v>
      </c>
    </row>
    <row r="68" spans="1:11" ht="14.5" x14ac:dyDescent="0.35">
      <c r="A68" s="14" t="s">
        <v>40</v>
      </c>
      <c r="B68">
        <v>317.10000000000002</v>
      </c>
      <c r="C68">
        <v>326.83</v>
      </c>
      <c r="D68">
        <v>436.4</v>
      </c>
      <c r="E68">
        <v>524.92999999999995</v>
      </c>
      <c r="F68">
        <v>675.57</v>
      </c>
      <c r="G68">
        <v>636.76</v>
      </c>
      <c r="H68">
        <v>669.55</v>
      </c>
      <c r="I68">
        <v>815.49</v>
      </c>
      <c r="J68">
        <v>672.98</v>
      </c>
      <c r="K68">
        <v>656.31</v>
      </c>
    </row>
    <row r="69" spans="1:11" x14ac:dyDescent="0.25">
      <c r="A69" s="14" t="s">
        <v>81</v>
      </c>
      <c r="B69" s="8">
        <v>131.09</v>
      </c>
      <c r="C69" s="8">
        <v>219.57</v>
      </c>
      <c r="D69" s="8">
        <v>1907.21</v>
      </c>
      <c r="E69" s="8">
        <v>71.52</v>
      </c>
      <c r="F69" s="8">
        <v>76.819999999999993</v>
      </c>
      <c r="G69" s="8">
        <v>181.04</v>
      </c>
      <c r="H69" s="8">
        <v>117.5</v>
      </c>
      <c r="I69" s="8">
        <v>159.25</v>
      </c>
      <c r="J69" s="8">
        <v>131.36000000000001</v>
      </c>
      <c r="K69" s="8">
        <v>136.72999999999999</v>
      </c>
    </row>
    <row r="70" spans="1:11" x14ac:dyDescent="0.25">
      <c r="A70" s="14" t="s">
        <v>68</v>
      </c>
      <c r="B70" s="8">
        <v>199687500</v>
      </c>
      <c r="C70" s="8">
        <v>199687500</v>
      </c>
      <c r="D70" s="8">
        <v>199687500</v>
      </c>
      <c r="E70" s="8">
        <v>199687500</v>
      </c>
      <c r="F70" s="8">
        <v>199687500</v>
      </c>
      <c r="G70" s="8">
        <v>199687500</v>
      </c>
      <c r="H70" s="8">
        <v>199687500</v>
      </c>
      <c r="I70" s="8">
        <v>199687500</v>
      </c>
      <c r="J70" s="8">
        <v>199690088</v>
      </c>
      <c r="K70" s="8">
        <v>199696838</v>
      </c>
    </row>
    <row r="71" spans="1:11" x14ac:dyDescent="0.25">
      <c r="A71" s="14" t="s">
        <v>69</v>
      </c>
    </row>
    <row r="72" spans="1:11" x14ac:dyDescent="0.25">
      <c r="A72" s="14" t="s">
        <v>82</v>
      </c>
      <c r="B72" s="8">
        <v>2</v>
      </c>
      <c r="C72" s="8">
        <v>2</v>
      </c>
      <c r="D72" s="8">
        <v>2</v>
      </c>
      <c r="E72" s="8">
        <v>2</v>
      </c>
      <c r="F72" s="8">
        <v>2</v>
      </c>
      <c r="G72" s="8">
        <v>2</v>
      </c>
      <c r="H72" s="8">
        <v>2</v>
      </c>
      <c r="I72" s="8">
        <v>2</v>
      </c>
      <c r="J72" s="8">
        <v>2</v>
      </c>
      <c r="K72" s="8">
        <v>2</v>
      </c>
    </row>
    <row r="80" spans="1:11" ht="13" x14ac:dyDescent="0.3">
      <c r="A80" s="11" t="s">
        <v>36</v>
      </c>
    </row>
    <row r="81" spans="1:11" s="30" customFormat="1" ht="13" x14ac:dyDescent="0.3">
      <c r="A81" s="29" t="s">
        <v>33</v>
      </c>
      <c r="B81" s="9">
        <v>39538</v>
      </c>
      <c r="C81" s="9">
        <v>39903</v>
      </c>
      <c r="D81" s="9">
        <v>40268</v>
      </c>
      <c r="E81" s="9">
        <v>40633</v>
      </c>
      <c r="F81" s="9">
        <v>40999</v>
      </c>
      <c r="G81" s="9">
        <v>41364</v>
      </c>
      <c r="H81" s="9">
        <v>41729</v>
      </c>
      <c r="I81" s="9">
        <v>42094</v>
      </c>
      <c r="J81" s="9">
        <v>42460</v>
      </c>
      <c r="K81" s="9">
        <v>42825</v>
      </c>
    </row>
    <row r="82" spans="1:11" s="11" customFormat="1" ht="13" x14ac:dyDescent="0.3">
      <c r="A82" s="14" t="s">
        <v>27</v>
      </c>
      <c r="B82" s="8">
        <v>1211.8699999999999</v>
      </c>
      <c r="C82" s="8">
        <v>1359.03</v>
      </c>
      <c r="D82" s="8">
        <v>2686.64</v>
      </c>
      <c r="E82" s="8">
        <v>2254.16</v>
      </c>
      <c r="F82" s="8">
        <v>2359.7800000000002</v>
      </c>
      <c r="G82" s="8">
        <v>1890.43</v>
      </c>
      <c r="H82" s="8">
        <v>2963.41</v>
      </c>
      <c r="I82" s="8">
        <v>2250</v>
      </c>
      <c r="J82" s="8">
        <v>3849.14</v>
      </c>
      <c r="K82" s="8">
        <v>4028.02</v>
      </c>
    </row>
    <row r="83" spans="1:11" x14ac:dyDescent="0.25">
      <c r="A83" s="14" t="s">
        <v>28</v>
      </c>
      <c r="B83" s="8">
        <v>-781.01</v>
      </c>
      <c r="C83" s="8">
        <v>-861.19</v>
      </c>
      <c r="D83" s="8">
        <v>-528.16999999999996</v>
      </c>
      <c r="E83" s="8">
        <v>-1322.31</v>
      </c>
      <c r="F83" s="8">
        <v>92.79</v>
      </c>
      <c r="G83" s="8">
        <v>-732.94</v>
      </c>
      <c r="H83" s="8">
        <v>-1617.02</v>
      </c>
      <c r="I83" s="8">
        <v>12.08</v>
      </c>
      <c r="J83" s="8">
        <v>-2206.19</v>
      </c>
      <c r="K83" s="8">
        <v>-1943.94</v>
      </c>
    </row>
    <row r="84" spans="1:11" x14ac:dyDescent="0.25">
      <c r="A84" s="14" t="s">
        <v>29</v>
      </c>
      <c r="B84" s="8">
        <v>-432.33</v>
      </c>
      <c r="C84" s="8">
        <v>-499.93</v>
      </c>
      <c r="D84" s="8">
        <v>-2109.31</v>
      </c>
      <c r="E84" s="8">
        <v>-955.23</v>
      </c>
      <c r="F84" s="8">
        <v>-2458.16</v>
      </c>
      <c r="G84" s="8">
        <v>-1056.27</v>
      </c>
      <c r="H84" s="8">
        <v>-1414.93</v>
      </c>
      <c r="I84" s="8">
        <v>-2230.52</v>
      </c>
      <c r="J84" s="8">
        <v>-1686.69</v>
      </c>
      <c r="K84" s="8">
        <v>-2095.63</v>
      </c>
    </row>
    <row r="85" spans="1:11" s="11" customFormat="1" ht="13" x14ac:dyDescent="0.3">
      <c r="A85" s="14" t="s">
        <v>30</v>
      </c>
      <c r="B85" s="8">
        <v>-1.47</v>
      </c>
      <c r="C85" s="8">
        <v>-2.09</v>
      </c>
      <c r="D85" s="8">
        <v>49.16</v>
      </c>
      <c r="E85" s="8">
        <v>-23.38</v>
      </c>
      <c r="F85" s="8">
        <v>-5.59</v>
      </c>
      <c r="G85" s="8">
        <v>101.22</v>
      </c>
      <c r="H85" s="8">
        <v>-68.540000000000006</v>
      </c>
      <c r="I85" s="8">
        <v>31.56</v>
      </c>
      <c r="J85" s="8">
        <v>-43.74</v>
      </c>
      <c r="K85" s="8">
        <v>-11.55</v>
      </c>
    </row>
    <row r="90" spans="1:11" s="11" customFormat="1" ht="13" x14ac:dyDescent="0.3">
      <c r="A90" s="11" t="s">
        <v>71</v>
      </c>
      <c r="B90" s="8">
        <v>762.09</v>
      </c>
      <c r="C90" s="8">
        <v>1093.99</v>
      </c>
      <c r="D90" s="8">
        <v>1941.4</v>
      </c>
      <c r="E90" s="8">
        <v>1720.87</v>
      </c>
      <c r="F90" s="8">
        <v>2107.2800000000002</v>
      </c>
      <c r="G90" s="8">
        <v>1517.15</v>
      </c>
      <c r="H90" s="8">
        <v>2218.71</v>
      </c>
      <c r="I90" s="8">
        <v>2466.88</v>
      </c>
      <c r="J90" s="8">
        <v>2982.43</v>
      </c>
      <c r="K90" s="8">
        <v>3231.52</v>
      </c>
    </row>
    <row r="92" spans="1:11" s="11" customFormat="1" ht="13" x14ac:dyDescent="0.3">
      <c r="A92" s="11" t="s">
        <v>70</v>
      </c>
    </row>
    <row r="93" spans="1:11" x14ac:dyDescent="0.25">
      <c r="A93" s="14" t="s">
        <v>83</v>
      </c>
      <c r="B93" s="31">
        <f>IF($B7&gt;0,(B70*B72/$B7)+SUM(C71:$K71),0)/10000000</f>
        <v>19.96875</v>
      </c>
      <c r="C93" s="31">
        <f>IF($B7&gt;0,(C70*C72/$B7)+SUM(D71:$K71),0)/10000000</f>
        <v>19.96875</v>
      </c>
      <c r="D93" s="31">
        <f>IF($B7&gt;0,(D70*D72/$B7)+SUM(E71:$K71),0)/10000000</f>
        <v>19.96875</v>
      </c>
      <c r="E93" s="31">
        <f>IF($B7&gt;0,(E70*E72/$B7)+SUM(F71:$K71),0)/10000000</f>
        <v>19.96875</v>
      </c>
      <c r="F93" s="31">
        <f>IF($B7&gt;0,(F70*F72/$B7)+SUM(G71:$K71),0)/10000000</f>
        <v>19.96875</v>
      </c>
      <c r="G93" s="31">
        <f>IF($B7&gt;0,(G70*G72/$B7)+SUM(H71:$K71),0)/10000000</f>
        <v>19.96875</v>
      </c>
      <c r="H93" s="31">
        <f>IF($B7&gt;0,(H70*H72/$B7)+SUM(I71:$K71),0)/10000000</f>
        <v>19.96875</v>
      </c>
      <c r="I93" s="31">
        <f>IF($B7&gt;0,(I70*I72/$B7)+SUM(J71:$K71),0)/10000000</f>
        <v>19.96875</v>
      </c>
      <c r="J93" s="31">
        <f>IF($B7&gt;0,(J70*J72/$B7)+SUM(K71:$K71),0)/10000000</f>
        <v>19.969008800000001</v>
      </c>
      <c r="K93" s="31">
        <f>IF($B7&gt;0,(K70*K72/$B7),0)/10000000</f>
        <v>19.969683799999999</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workbookViewId="0">
      <selection activeCell="A4" sqref="A4"/>
    </sheetView>
  </sheetViews>
  <sheetFormatPr defaultColWidth="9.1796875" defaultRowHeight="14.5" x14ac:dyDescent="0.35"/>
  <cols>
    <col min="1" max="1" width="9.1796875" style="1"/>
    <col min="2" max="2" width="10.54296875" style="2" customWidth="1"/>
    <col min="3" max="3" width="13.26953125" style="4" customWidth="1"/>
    <col min="4" max="5" width="9.1796875" style="2"/>
    <col min="6" max="6" width="6.81640625" style="2" customWidth="1"/>
    <col min="7" max="16384" width="9.1796875" style="2"/>
  </cols>
  <sheetData>
    <row r="1" spans="1:7" ht="21" x14ac:dyDescent="0.5">
      <c r="A1" s="3" t="s">
        <v>52</v>
      </c>
    </row>
    <row r="3" spans="1:7" x14ac:dyDescent="0.35">
      <c r="A3" s="1" t="s">
        <v>43</v>
      </c>
    </row>
    <row r="4" spans="1:7" x14ac:dyDescent="0.35">
      <c r="B4" s="2" t="s">
        <v>84</v>
      </c>
    </row>
    <row r="5" spans="1:7" x14ac:dyDescent="0.35">
      <c r="B5" s="2" t="s">
        <v>44</v>
      </c>
    </row>
    <row r="7" spans="1:7" x14ac:dyDescent="0.35">
      <c r="A7" s="1" t="s">
        <v>45</v>
      </c>
    </row>
    <row r="8" spans="1:7" x14ac:dyDescent="0.35">
      <c r="B8" s="2" t="s">
        <v>46</v>
      </c>
      <c r="C8" s="5" t="s">
        <v>85</v>
      </c>
    </row>
    <row r="10" spans="1:7" x14ac:dyDescent="0.35">
      <c r="A10" s="1" t="s">
        <v>47</v>
      </c>
    </row>
    <row r="11" spans="1:7" x14ac:dyDescent="0.35">
      <c r="B11" s="2" t="s">
        <v>48</v>
      </c>
    </row>
    <row r="14" spans="1:7" x14ac:dyDescent="0.35">
      <c r="A14" s="1" t="s">
        <v>49</v>
      </c>
    </row>
    <row r="15" spans="1:7" x14ac:dyDescent="0.35">
      <c r="B15" s="2" t="s">
        <v>50</v>
      </c>
    </row>
    <row r="16" spans="1:7" x14ac:dyDescent="0.35">
      <c r="B16" s="2" t="s">
        <v>51</v>
      </c>
      <c r="G16" s="6" t="s">
        <v>86</v>
      </c>
    </row>
  </sheetData>
  <hyperlinks>
    <hyperlink ref="C8" r:id="rId1" display=" http://www.screener.in/excel"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I24"/>
  <sheetViews>
    <sheetView workbookViewId="0">
      <selection activeCell="K2" sqref="K2"/>
    </sheetView>
  </sheetViews>
  <sheetFormatPr defaultColWidth="9.1796875" defaultRowHeight="13" x14ac:dyDescent="0.3"/>
  <cols>
    <col min="1" max="1" width="34.54296875" style="228" bestFit="1" customWidth="1"/>
    <col min="2" max="2" width="21.36328125" style="228" bestFit="1" customWidth="1"/>
    <col min="3" max="16384" width="9.1796875" style="228"/>
  </cols>
  <sheetData>
    <row r="1" spans="1:9" ht="13.5" thickBot="1" x14ac:dyDescent="0.35">
      <c r="A1" s="316" t="s">
        <v>274</v>
      </c>
      <c r="B1" s="317"/>
    </row>
    <row r="2" spans="1:9" x14ac:dyDescent="0.3">
      <c r="A2" s="318"/>
      <c r="B2" s="319"/>
      <c r="E2" s="305" t="s">
        <v>282</v>
      </c>
      <c r="F2" s="306"/>
      <c r="G2" s="306"/>
      <c r="H2" s="306"/>
      <c r="I2" s="307"/>
    </row>
    <row r="3" spans="1:9" ht="15" customHeight="1" x14ac:dyDescent="0.3">
      <c r="A3" s="318"/>
      <c r="B3" s="319"/>
      <c r="E3" s="308"/>
      <c r="F3" s="309"/>
      <c r="G3" s="309"/>
      <c r="H3" s="309"/>
      <c r="I3" s="310"/>
    </row>
    <row r="4" spans="1:9" ht="15" customHeight="1" x14ac:dyDescent="0.3">
      <c r="A4" s="318"/>
      <c r="B4" s="319"/>
      <c r="E4" s="308"/>
      <c r="F4" s="309"/>
      <c r="G4" s="309"/>
      <c r="H4" s="309"/>
      <c r="I4" s="310"/>
    </row>
    <row r="5" spans="1:9" ht="13.5" thickBot="1" x14ac:dyDescent="0.35">
      <c r="A5" s="320"/>
      <c r="B5" s="321"/>
      <c r="E5" s="308"/>
      <c r="F5" s="309"/>
      <c r="G5" s="309"/>
      <c r="H5" s="309"/>
      <c r="I5" s="310"/>
    </row>
    <row r="6" spans="1:9" ht="16" thickBot="1" x14ac:dyDescent="0.4">
      <c r="A6" s="322" t="s">
        <v>231</v>
      </c>
      <c r="B6" s="322"/>
      <c r="E6" s="311"/>
      <c r="F6" s="312"/>
      <c r="G6" s="312"/>
      <c r="H6" s="312"/>
      <c r="I6" s="313"/>
    </row>
    <row r="7" spans="1:9" x14ac:dyDescent="0.3">
      <c r="A7" s="314" t="s">
        <v>232</v>
      </c>
      <c r="B7" s="315"/>
    </row>
    <row r="8" spans="1:9" ht="13.5" thickBot="1" x14ac:dyDescent="0.35">
      <c r="A8" s="229" t="s">
        <v>233</v>
      </c>
      <c r="B8" s="230" t="s">
        <v>234</v>
      </c>
    </row>
    <row r="9" spans="1:9" x14ac:dyDescent="0.3">
      <c r="A9" s="100" t="s">
        <v>235</v>
      </c>
      <c r="B9" s="231" t="str">
        <f>'Data Sheet'!B1</f>
        <v>HERO MOTOCORP LTD</v>
      </c>
      <c r="E9" s="305" t="s">
        <v>283</v>
      </c>
      <c r="F9" s="323"/>
      <c r="G9" s="323"/>
      <c r="H9" s="323"/>
      <c r="I9" s="324"/>
    </row>
    <row r="10" spans="1:9" x14ac:dyDescent="0.3">
      <c r="A10" s="100" t="s">
        <v>236</v>
      </c>
      <c r="B10" s="232">
        <f>'Data Sheet'!B8</f>
        <v>3918.9</v>
      </c>
      <c r="E10" s="325"/>
      <c r="F10" s="326"/>
      <c r="G10" s="326"/>
      <c r="H10" s="326"/>
      <c r="I10" s="327"/>
    </row>
    <row r="11" spans="1:9" x14ac:dyDescent="0.3">
      <c r="A11" s="100" t="s">
        <v>237</v>
      </c>
      <c r="B11" s="233">
        <f>'Data Sheet'!B7</f>
        <v>2</v>
      </c>
      <c r="E11" s="325"/>
      <c r="F11" s="326"/>
      <c r="G11" s="326"/>
      <c r="H11" s="326"/>
      <c r="I11" s="327"/>
    </row>
    <row r="12" spans="1:9" ht="13.5" thickBot="1" x14ac:dyDescent="0.35">
      <c r="A12" s="100" t="s">
        <v>238</v>
      </c>
      <c r="B12" s="233">
        <f>'Data Sheet'!B6</f>
        <v>19.969685370894894</v>
      </c>
      <c r="E12" s="328"/>
      <c r="F12" s="329"/>
      <c r="G12" s="329"/>
      <c r="H12" s="329"/>
      <c r="I12" s="330"/>
    </row>
    <row r="13" spans="1:9" x14ac:dyDescent="0.3">
      <c r="A13" s="100" t="s">
        <v>239</v>
      </c>
      <c r="B13" s="232">
        <f>B10*B12</f>
        <v>78259.199999999997</v>
      </c>
    </row>
    <row r="14" spans="1:9" ht="13.5" thickBot="1" x14ac:dyDescent="0.35"/>
    <row r="15" spans="1:9" x14ac:dyDescent="0.3">
      <c r="A15" s="314" t="s">
        <v>243</v>
      </c>
      <c r="B15" s="315"/>
      <c r="E15" s="305" t="s">
        <v>284</v>
      </c>
      <c r="F15" s="306"/>
      <c r="G15" s="306"/>
      <c r="H15" s="306"/>
      <c r="I15" s="307"/>
    </row>
    <row r="16" spans="1:9" x14ac:dyDescent="0.3">
      <c r="A16" s="229" t="s">
        <v>233</v>
      </c>
      <c r="B16" s="230" t="s">
        <v>234</v>
      </c>
      <c r="E16" s="308"/>
      <c r="F16" s="309"/>
      <c r="G16" s="309"/>
      <c r="H16" s="309"/>
      <c r="I16" s="310"/>
    </row>
    <row r="17" spans="1:9" x14ac:dyDescent="0.3">
      <c r="A17" s="100" t="s">
        <v>244</v>
      </c>
      <c r="B17" s="234">
        <f>'Profit &amp; Loss'!B37</f>
        <v>0.11923386764318744</v>
      </c>
      <c r="E17" s="308"/>
      <c r="F17" s="309"/>
      <c r="G17" s="309"/>
      <c r="H17" s="309"/>
      <c r="I17" s="310"/>
    </row>
    <row r="18" spans="1:9" x14ac:dyDescent="0.3">
      <c r="A18" s="100" t="s">
        <v>245</v>
      </c>
      <c r="B18" s="234">
        <f>'Profit &amp; Loss'!B38</f>
        <v>0.14198308000928672</v>
      </c>
      <c r="E18" s="308"/>
      <c r="F18" s="309"/>
      <c r="G18" s="309"/>
      <c r="H18" s="309"/>
      <c r="I18" s="310"/>
    </row>
    <row r="19" spans="1:9" x14ac:dyDescent="0.3">
      <c r="A19" s="100" t="s">
        <v>240</v>
      </c>
      <c r="B19" s="234">
        <f>('Data Sheet'!K30/'Data Sheet'!B30)^(1/9)-1</f>
        <v>0.14895435392020695</v>
      </c>
      <c r="E19" s="308"/>
      <c r="F19" s="309"/>
      <c r="G19" s="309"/>
      <c r="H19" s="309"/>
      <c r="I19" s="310"/>
    </row>
    <row r="20" spans="1:9" x14ac:dyDescent="0.3">
      <c r="A20" s="100" t="s">
        <v>241</v>
      </c>
      <c r="B20" s="235">
        <f>AVERAGE('Balance Sheet'!G25:K25)</f>
        <v>3.5783590784474503E-2</v>
      </c>
      <c r="E20" s="308"/>
      <c r="F20" s="309"/>
      <c r="G20" s="309"/>
      <c r="H20" s="309"/>
      <c r="I20" s="310"/>
    </row>
    <row r="21" spans="1:9" x14ac:dyDescent="0.3">
      <c r="A21" s="100" t="s">
        <v>242</v>
      </c>
      <c r="B21" s="236">
        <f>AVERAGE('Balance Sheet'!G26:K26)</f>
        <v>0.37122909139447052</v>
      </c>
      <c r="E21" s="308"/>
      <c r="F21" s="309"/>
      <c r="G21" s="309"/>
      <c r="H21" s="309"/>
      <c r="I21" s="310"/>
    </row>
    <row r="22" spans="1:9" x14ac:dyDescent="0.3">
      <c r="A22" s="100" t="s">
        <v>247</v>
      </c>
      <c r="B22" s="237">
        <f>AVERAGE('Profit &amp; Loss'!G28:K28)</f>
        <v>18.782549349819551</v>
      </c>
      <c r="E22" s="308"/>
      <c r="F22" s="309"/>
      <c r="G22" s="309"/>
      <c r="H22" s="309"/>
      <c r="I22" s="310"/>
    </row>
    <row r="23" spans="1:9" ht="13.5" thickBot="1" x14ac:dyDescent="0.35">
      <c r="A23" s="238" t="s">
        <v>246</v>
      </c>
      <c r="B23" s="239">
        <f>B13/Annual[[#This Row],[Column12]]</f>
        <v>22.962976003943545</v>
      </c>
      <c r="E23" s="311"/>
      <c r="F23" s="312"/>
      <c r="G23" s="312"/>
      <c r="H23" s="312"/>
      <c r="I23" s="313"/>
    </row>
    <row r="24" spans="1:9" x14ac:dyDescent="0.3">
      <c r="A24" s="240"/>
    </row>
  </sheetData>
  <mergeCells count="7">
    <mergeCell ref="E15:I23"/>
    <mergeCell ref="A15:B15"/>
    <mergeCell ref="A1:B5"/>
    <mergeCell ref="E2:I6"/>
    <mergeCell ref="A6:B6"/>
    <mergeCell ref="A7:B7"/>
    <mergeCell ref="E9:I12"/>
  </mergeCells>
  <hyperlinks>
    <hyperlink ref="A6" r:id="rId1" xr:uid="{5B192A1A-282F-45FC-8CDA-AE3F3BAD64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B26"/>
  <sheetViews>
    <sheetView workbookViewId="0">
      <selection activeCell="A2" sqref="A2:XFD2"/>
    </sheetView>
  </sheetViews>
  <sheetFormatPr defaultColWidth="9.1796875" defaultRowHeight="12.5" x14ac:dyDescent="0.25"/>
  <cols>
    <col min="1" max="1" width="36.453125" style="8" bestFit="1" customWidth="1"/>
    <col min="2" max="2" width="96.26953125" style="8" customWidth="1"/>
    <col min="3" max="3" width="92.54296875" style="8" bestFit="1" customWidth="1"/>
    <col min="4" max="16384" width="9.1796875" style="8"/>
  </cols>
  <sheetData>
    <row r="1" spans="1:2" ht="19.5" thickBot="1" x14ac:dyDescent="0.45">
      <c r="A1" s="331" t="s">
        <v>205</v>
      </c>
      <c r="B1" s="332"/>
    </row>
    <row r="2" spans="1:2" ht="13.5" thickBot="1" x14ac:dyDescent="0.35">
      <c r="A2" s="333" t="s">
        <v>206</v>
      </c>
      <c r="B2" s="333"/>
    </row>
    <row r="3" spans="1:2" ht="13" x14ac:dyDescent="0.3">
      <c r="A3" s="167" t="s">
        <v>207</v>
      </c>
      <c r="B3" s="168" t="s">
        <v>208</v>
      </c>
    </row>
    <row r="4" spans="1:2" ht="63" thickBot="1" x14ac:dyDescent="0.3">
      <c r="A4" s="169" t="s">
        <v>209</v>
      </c>
      <c r="B4" s="170" t="s">
        <v>210</v>
      </c>
    </row>
    <row r="5" spans="1:2" ht="13" thickBot="1" x14ac:dyDescent="0.3">
      <c r="A5" s="171"/>
      <c r="B5" s="172"/>
    </row>
    <row r="6" spans="1:2" ht="75.5" thickBot="1" x14ac:dyDescent="0.3">
      <c r="A6" s="173" t="s">
        <v>211</v>
      </c>
      <c r="B6" s="174" t="s">
        <v>212</v>
      </c>
    </row>
    <row r="7" spans="1:2" ht="13.5" thickBot="1" x14ac:dyDescent="0.3">
      <c r="A7" s="175"/>
      <c r="B7" s="171"/>
    </row>
    <row r="8" spans="1:2" ht="38" thickBot="1" x14ac:dyDescent="0.3">
      <c r="A8" s="173" t="s">
        <v>213</v>
      </c>
      <c r="B8" s="174" t="s">
        <v>214</v>
      </c>
    </row>
    <row r="9" spans="1:2" ht="13.5" thickBot="1" x14ac:dyDescent="0.3">
      <c r="A9" s="175"/>
      <c r="B9" s="171"/>
    </row>
    <row r="10" spans="1:2" ht="75.5" thickBot="1" x14ac:dyDescent="0.3">
      <c r="A10" s="173" t="s">
        <v>215</v>
      </c>
      <c r="B10" s="174" t="s">
        <v>313</v>
      </c>
    </row>
    <row r="11" spans="1:2" ht="13" x14ac:dyDescent="0.25">
      <c r="A11" s="175"/>
      <c r="B11" s="171"/>
    </row>
    <row r="12" spans="1:2" ht="50" x14ac:dyDescent="0.25">
      <c r="A12" s="176" t="s">
        <v>216</v>
      </c>
      <c r="B12" s="177" t="s">
        <v>217</v>
      </c>
    </row>
    <row r="13" spans="1:2" ht="13.5" thickBot="1" x14ac:dyDescent="0.3">
      <c r="A13" s="175"/>
      <c r="B13" s="171"/>
    </row>
    <row r="14" spans="1:2" ht="50.5" thickBot="1" x14ac:dyDescent="0.3">
      <c r="A14" s="173" t="s">
        <v>218</v>
      </c>
      <c r="B14" s="174" t="s">
        <v>219</v>
      </c>
    </row>
    <row r="15" spans="1:2" ht="13.5" thickBot="1" x14ac:dyDescent="0.3">
      <c r="A15" s="175"/>
      <c r="B15" s="171"/>
    </row>
    <row r="16" spans="1:2" ht="38" thickBot="1" x14ac:dyDescent="0.3">
      <c r="A16" s="173" t="s">
        <v>220</v>
      </c>
      <c r="B16" s="174" t="s">
        <v>221</v>
      </c>
    </row>
    <row r="17" spans="1:2" ht="13.5" thickBot="1" x14ac:dyDescent="0.3">
      <c r="A17" s="175"/>
      <c r="B17" s="171"/>
    </row>
    <row r="18" spans="1:2" ht="38" thickBot="1" x14ac:dyDescent="0.3">
      <c r="A18" s="173" t="s">
        <v>222</v>
      </c>
      <c r="B18" s="174" t="s">
        <v>314</v>
      </c>
    </row>
    <row r="19" spans="1:2" ht="13.5" thickBot="1" x14ac:dyDescent="0.3">
      <c r="A19" s="175"/>
      <c r="B19" s="171"/>
    </row>
    <row r="20" spans="1:2" ht="38" thickBot="1" x14ac:dyDescent="0.3">
      <c r="A20" s="173" t="s">
        <v>223</v>
      </c>
      <c r="B20" s="174" t="s">
        <v>224</v>
      </c>
    </row>
    <row r="21" spans="1:2" ht="13.5" thickBot="1" x14ac:dyDescent="0.3">
      <c r="A21" s="175"/>
      <c r="B21" s="171"/>
    </row>
    <row r="22" spans="1:2" ht="63" thickBot="1" x14ac:dyDescent="0.3">
      <c r="A22" s="173" t="s">
        <v>225</v>
      </c>
      <c r="B22" s="174" t="s">
        <v>226</v>
      </c>
    </row>
    <row r="23" spans="1:2" ht="13" thickBot="1" x14ac:dyDescent="0.3">
      <c r="A23" s="178"/>
      <c r="B23" s="178"/>
    </row>
    <row r="24" spans="1:2" ht="50.5" thickBot="1" x14ac:dyDescent="0.3">
      <c r="A24" s="173" t="s">
        <v>227</v>
      </c>
      <c r="B24" s="174" t="s">
        <v>228</v>
      </c>
    </row>
    <row r="25" spans="1:2" ht="13" thickBot="1" x14ac:dyDescent="0.3">
      <c r="A25" s="172"/>
      <c r="B25" s="172"/>
    </row>
    <row r="26" spans="1:2" ht="13.5" thickBot="1" x14ac:dyDescent="0.3">
      <c r="A26" s="173" t="s">
        <v>229</v>
      </c>
      <c r="B26" s="174" t="s">
        <v>230</v>
      </c>
    </row>
  </sheetData>
  <mergeCells count="2">
    <mergeCell ref="A1:B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L28"/>
  <sheetViews>
    <sheetView workbookViewId="0">
      <selection activeCell="A19" sqref="A19"/>
    </sheetView>
  </sheetViews>
  <sheetFormatPr defaultColWidth="9.1796875" defaultRowHeight="12.5" x14ac:dyDescent="0.25"/>
  <cols>
    <col min="1" max="1" width="24.36328125" style="257" bestFit="1" customWidth="1"/>
    <col min="2" max="4" width="7.08984375" style="257" bestFit="1" customWidth="1"/>
    <col min="5" max="5" width="7.453125" style="257" bestFit="1" customWidth="1"/>
    <col min="6" max="7" width="7.08984375" style="257" bestFit="1" customWidth="1"/>
    <col min="8" max="11" width="7.453125" style="257" bestFit="1" customWidth="1"/>
    <col min="12" max="16384" width="9.1796875" style="257"/>
  </cols>
  <sheetData>
    <row r="1" spans="1:11" ht="19" x14ac:dyDescent="0.4">
      <c r="A1" s="334" t="s">
        <v>310</v>
      </c>
      <c r="B1" s="335"/>
      <c r="C1" s="335"/>
      <c r="D1" s="335"/>
      <c r="E1" s="335"/>
      <c r="F1" s="335"/>
      <c r="G1" s="335"/>
      <c r="H1" s="335"/>
      <c r="I1" s="335"/>
      <c r="J1" s="335"/>
      <c r="K1" s="336"/>
    </row>
    <row r="2" spans="1:11" s="256" customFormat="1" ht="13.5" thickBot="1" x14ac:dyDescent="0.35">
      <c r="A2" s="337" t="str">
        <f>'Profit &amp; Loss'!A2</f>
        <v>HERO MOTOCORP LTD</v>
      </c>
      <c r="B2" s="338"/>
      <c r="C2" s="338"/>
      <c r="D2" s="338"/>
      <c r="E2" s="338"/>
      <c r="F2" s="338"/>
      <c r="G2" s="338"/>
      <c r="H2" s="338"/>
      <c r="I2" s="338"/>
      <c r="J2" s="338"/>
      <c r="K2" s="339"/>
    </row>
    <row r="3" spans="1:11" s="258" customFormat="1" ht="13" x14ac:dyDescent="0.3">
      <c r="A3" s="271" t="s">
        <v>198</v>
      </c>
      <c r="B3" s="270">
        <f>'Data Sheet'!B56</f>
        <v>39538</v>
      </c>
      <c r="C3" s="270">
        <f>'Data Sheet'!C56</f>
        <v>39903</v>
      </c>
      <c r="D3" s="270">
        <f>'Data Sheet'!D56</f>
        <v>40268</v>
      </c>
      <c r="E3" s="270">
        <f>'Data Sheet'!E56</f>
        <v>40633</v>
      </c>
      <c r="F3" s="270">
        <f>'Data Sheet'!F56</f>
        <v>40999</v>
      </c>
      <c r="G3" s="270">
        <f>'Data Sheet'!G56</f>
        <v>41364</v>
      </c>
      <c r="H3" s="270">
        <f>'Data Sheet'!H56</f>
        <v>41729</v>
      </c>
      <c r="I3" s="270">
        <f>'Data Sheet'!I56</f>
        <v>42094</v>
      </c>
      <c r="J3" s="270">
        <f>'Data Sheet'!J56</f>
        <v>42460</v>
      </c>
      <c r="K3" s="272">
        <f>'Data Sheet'!K56</f>
        <v>42825</v>
      </c>
    </row>
    <row r="4" spans="1:11" x14ac:dyDescent="0.25">
      <c r="A4" s="273" t="s">
        <v>19</v>
      </c>
      <c r="B4" s="259">
        <f>'Data Sheet'!B57</f>
        <v>39.94</v>
      </c>
      <c r="C4" s="259">
        <f>'Data Sheet'!C57</f>
        <v>39.94</v>
      </c>
      <c r="D4" s="259">
        <f>'Data Sheet'!D57</f>
        <v>39.94</v>
      </c>
      <c r="E4" s="259">
        <f>'Data Sheet'!E57</f>
        <v>39.94</v>
      </c>
      <c r="F4" s="259">
        <f>'Data Sheet'!F57</f>
        <v>39.94</v>
      </c>
      <c r="G4" s="259">
        <f>'Data Sheet'!G57</f>
        <v>39.94</v>
      </c>
      <c r="H4" s="259">
        <f>'Data Sheet'!H57</f>
        <v>39.94</v>
      </c>
      <c r="I4" s="259">
        <f>'Data Sheet'!I57</f>
        <v>39.94</v>
      </c>
      <c r="J4" s="259">
        <f>'Data Sheet'!J57</f>
        <v>39.94</v>
      </c>
      <c r="K4" s="274">
        <f>'Data Sheet'!K57</f>
        <v>39.94</v>
      </c>
    </row>
    <row r="5" spans="1:11" x14ac:dyDescent="0.25">
      <c r="A5" s="273" t="s">
        <v>20</v>
      </c>
      <c r="B5" s="259">
        <f>'Data Sheet'!B58</f>
        <v>2946.3</v>
      </c>
      <c r="C5" s="259">
        <f>'Data Sheet'!C58</f>
        <v>3760.81</v>
      </c>
      <c r="D5" s="259">
        <f>'Data Sheet'!D58</f>
        <v>3425.08</v>
      </c>
      <c r="E5" s="259">
        <f>'Data Sheet'!E58</f>
        <v>2916.12</v>
      </c>
      <c r="F5" s="259">
        <f>'Data Sheet'!F58</f>
        <v>4249.8900000000003</v>
      </c>
      <c r="G5" s="259">
        <f>'Data Sheet'!G58</f>
        <v>4966.3</v>
      </c>
      <c r="H5" s="259">
        <f>'Data Sheet'!H58</f>
        <v>5559.93</v>
      </c>
      <c r="I5" s="259">
        <f>'Data Sheet'!I58</f>
        <v>6501.39</v>
      </c>
      <c r="J5" s="259">
        <f>'Data Sheet'!J58</f>
        <v>8794.4699999999993</v>
      </c>
      <c r="K5" s="274">
        <f>'Data Sheet'!K58</f>
        <v>10071.35</v>
      </c>
    </row>
    <row r="6" spans="1:11" x14ac:dyDescent="0.25">
      <c r="A6" s="273" t="s">
        <v>65</v>
      </c>
      <c r="B6" s="259">
        <f>'Data Sheet'!B59</f>
        <v>132</v>
      </c>
      <c r="C6" s="259">
        <f>'Data Sheet'!C59</f>
        <v>78.489999999999995</v>
      </c>
      <c r="D6" s="259">
        <f>'Data Sheet'!D59</f>
        <v>66.03</v>
      </c>
      <c r="E6" s="259">
        <f>'Data Sheet'!E59</f>
        <v>693.35</v>
      </c>
      <c r="F6" s="259">
        <f>'Data Sheet'!F59</f>
        <v>719.44</v>
      </c>
      <c r="G6" s="259">
        <f>'Data Sheet'!G59</f>
        <v>641.58000000000004</v>
      </c>
      <c r="H6" s="259">
        <f>'Data Sheet'!H59</f>
        <v>284.26</v>
      </c>
      <c r="I6" s="259">
        <f>'Data Sheet'!I59</f>
        <v>0</v>
      </c>
      <c r="J6" s="259">
        <f>'Data Sheet'!J59</f>
        <v>0</v>
      </c>
      <c r="K6" s="274">
        <f>'Data Sheet'!K59</f>
        <v>0</v>
      </c>
    </row>
    <row r="7" spans="1:11" x14ac:dyDescent="0.25">
      <c r="A7" s="273" t="s">
        <v>66</v>
      </c>
      <c r="B7" s="259">
        <f>'Data Sheet'!B60</f>
        <v>1955.33</v>
      </c>
      <c r="C7" s="259">
        <f>'Data Sheet'!C60</f>
        <v>2205.9</v>
      </c>
      <c r="D7" s="259">
        <f>'Data Sheet'!D60</f>
        <v>4992.04</v>
      </c>
      <c r="E7" s="259">
        <f>'Data Sheet'!E60</f>
        <v>7082.8</v>
      </c>
      <c r="F7" s="259">
        <f>'Data Sheet'!F60</f>
        <v>4886.1400000000003</v>
      </c>
      <c r="G7" s="259">
        <f>'Data Sheet'!G60</f>
        <v>4001.16</v>
      </c>
      <c r="H7" s="259">
        <f>'Data Sheet'!H60</f>
        <v>4217.97</v>
      </c>
      <c r="I7" s="259">
        <f>'Data Sheet'!I60</f>
        <v>3986.68</v>
      </c>
      <c r="J7" s="259">
        <f>'Data Sheet'!J60</f>
        <v>3796.17</v>
      </c>
      <c r="K7" s="274">
        <f>'Data Sheet'!K60</f>
        <v>4645.42</v>
      </c>
    </row>
    <row r="8" spans="1:11" s="256" customFormat="1" ht="13" x14ac:dyDescent="0.3">
      <c r="A8" s="275" t="s">
        <v>21</v>
      </c>
      <c r="B8" s="260">
        <f>'Data Sheet'!B61</f>
        <v>5073.57</v>
      </c>
      <c r="C8" s="260">
        <f>'Data Sheet'!C61</f>
        <v>6085.14</v>
      </c>
      <c r="D8" s="260">
        <f>'Data Sheet'!D61</f>
        <v>8523.09</v>
      </c>
      <c r="E8" s="260">
        <f>'Data Sheet'!E61</f>
        <v>10732.21</v>
      </c>
      <c r="F8" s="260">
        <f>'Data Sheet'!F61</f>
        <v>9895.41</v>
      </c>
      <c r="G8" s="260">
        <f>'Data Sheet'!G61</f>
        <v>9648.98</v>
      </c>
      <c r="H8" s="260">
        <f>'Data Sheet'!H61</f>
        <v>10102.1</v>
      </c>
      <c r="I8" s="260">
        <f>'Data Sheet'!I61</f>
        <v>10528.01</v>
      </c>
      <c r="J8" s="260">
        <f>'Data Sheet'!J61</f>
        <v>12630.58</v>
      </c>
      <c r="K8" s="276">
        <f>'Data Sheet'!K61</f>
        <v>14756.71</v>
      </c>
    </row>
    <row r="9" spans="1:11" s="256" customFormat="1" ht="13" x14ac:dyDescent="0.3">
      <c r="A9" s="275"/>
      <c r="B9" s="260"/>
      <c r="C9" s="260"/>
      <c r="D9" s="260"/>
      <c r="E9" s="260"/>
      <c r="F9" s="260"/>
      <c r="G9" s="260"/>
      <c r="H9" s="260"/>
      <c r="I9" s="260"/>
      <c r="J9" s="260"/>
      <c r="K9" s="276"/>
    </row>
    <row r="10" spans="1:11" x14ac:dyDescent="0.25">
      <c r="A10" s="273" t="s">
        <v>22</v>
      </c>
      <c r="B10" s="259">
        <f>'Data Sheet'!B62</f>
        <v>1156.26</v>
      </c>
      <c r="C10" s="259">
        <f>'Data Sheet'!C62</f>
        <v>1573.71</v>
      </c>
      <c r="D10" s="259">
        <f>'Data Sheet'!D62</f>
        <v>1658.78</v>
      </c>
      <c r="E10" s="259">
        <f>'Data Sheet'!E62</f>
        <v>4080.28</v>
      </c>
      <c r="F10" s="259">
        <f>'Data Sheet'!F62</f>
        <v>3785.51</v>
      </c>
      <c r="G10" s="259">
        <f>'Data Sheet'!G62</f>
        <v>3070.98</v>
      </c>
      <c r="H10" s="259">
        <f>'Data Sheet'!H62</f>
        <v>2243.25</v>
      </c>
      <c r="I10" s="259">
        <f>'Data Sheet'!I62</f>
        <v>2912.69</v>
      </c>
      <c r="J10" s="259">
        <f>'Data Sheet'!J62</f>
        <v>3584.35</v>
      </c>
      <c r="K10" s="274">
        <f>'Data Sheet'!K62</f>
        <v>4395.59</v>
      </c>
    </row>
    <row r="11" spans="1:11" x14ac:dyDescent="0.25">
      <c r="A11" s="273" t="s">
        <v>23</v>
      </c>
      <c r="B11" s="259">
        <f>'Data Sheet'!B63</f>
        <v>408.49</v>
      </c>
      <c r="C11" s="259">
        <f>'Data Sheet'!C63</f>
        <v>120.54</v>
      </c>
      <c r="D11" s="259">
        <f>'Data Sheet'!D63</f>
        <v>48.14</v>
      </c>
      <c r="E11" s="259">
        <f>'Data Sheet'!E63</f>
        <v>49.96</v>
      </c>
      <c r="F11" s="259">
        <f>'Data Sheet'!F63</f>
        <v>38.840000000000003</v>
      </c>
      <c r="G11" s="259">
        <f>'Data Sheet'!G63</f>
        <v>62.09</v>
      </c>
      <c r="H11" s="259">
        <f>'Data Sheet'!H63</f>
        <v>854.11</v>
      </c>
      <c r="I11" s="259">
        <f>'Data Sheet'!I63</f>
        <v>712.55</v>
      </c>
      <c r="J11" s="259">
        <f>'Data Sheet'!J63</f>
        <v>605.4</v>
      </c>
      <c r="K11" s="274">
        <f>'Data Sheet'!K63</f>
        <v>465.05</v>
      </c>
    </row>
    <row r="12" spans="1:11" x14ac:dyDescent="0.25">
      <c r="A12" s="273" t="s">
        <v>24</v>
      </c>
      <c r="B12" s="259">
        <f>'Data Sheet'!B64</f>
        <v>2566.8200000000002</v>
      </c>
      <c r="C12" s="259">
        <f>'Data Sheet'!C64</f>
        <v>3368.75</v>
      </c>
      <c r="D12" s="259">
        <f>'Data Sheet'!D64</f>
        <v>3925.71</v>
      </c>
      <c r="E12" s="259">
        <f>'Data Sheet'!E64</f>
        <v>5128.75</v>
      </c>
      <c r="F12" s="259">
        <f>'Data Sheet'!F64</f>
        <v>3964.26</v>
      </c>
      <c r="G12" s="259">
        <f>'Data Sheet'!G64</f>
        <v>3623.83</v>
      </c>
      <c r="H12" s="259">
        <f>'Data Sheet'!H64</f>
        <v>4088.77</v>
      </c>
      <c r="I12" s="259">
        <f>'Data Sheet'!I64</f>
        <v>3154.11</v>
      </c>
      <c r="J12" s="259">
        <f>'Data Sheet'!J64</f>
        <v>4581.0200000000004</v>
      </c>
      <c r="K12" s="274">
        <f>'Data Sheet'!K64</f>
        <v>5889.85</v>
      </c>
    </row>
    <row r="13" spans="1:11" x14ac:dyDescent="0.25">
      <c r="A13" s="273" t="s">
        <v>67</v>
      </c>
      <c r="B13" s="259">
        <f>'Data Sheet'!B65</f>
        <v>942</v>
      </c>
      <c r="C13" s="259">
        <f>'Data Sheet'!C65</f>
        <v>1022.14</v>
      </c>
      <c r="D13" s="259">
        <f>'Data Sheet'!D65</f>
        <v>2890.46</v>
      </c>
      <c r="E13" s="259">
        <f>'Data Sheet'!E65</f>
        <v>1473.22</v>
      </c>
      <c r="F13" s="259">
        <f>'Data Sheet'!F65</f>
        <v>2106.8000000000002</v>
      </c>
      <c r="G13" s="259">
        <f>'Data Sheet'!G65</f>
        <v>2892.08</v>
      </c>
      <c r="H13" s="259">
        <f>'Data Sheet'!H65</f>
        <v>2915.97</v>
      </c>
      <c r="I13" s="259">
        <f>'Data Sheet'!I65</f>
        <v>3748.66</v>
      </c>
      <c r="J13" s="259">
        <f>'Data Sheet'!J65</f>
        <v>3859.81</v>
      </c>
      <c r="K13" s="274">
        <f>'Data Sheet'!K65</f>
        <v>4006.22</v>
      </c>
    </row>
    <row r="14" spans="1:11" s="256" customFormat="1" ht="13" x14ac:dyDescent="0.3">
      <c r="A14" s="275" t="s">
        <v>21</v>
      </c>
      <c r="B14" s="260">
        <f>'Data Sheet'!B66</f>
        <v>5073.57</v>
      </c>
      <c r="C14" s="260">
        <f>'Data Sheet'!C66</f>
        <v>6085.14</v>
      </c>
      <c r="D14" s="260">
        <f>'Data Sheet'!D66</f>
        <v>8523.09</v>
      </c>
      <c r="E14" s="260">
        <f>'Data Sheet'!E66</f>
        <v>10732.21</v>
      </c>
      <c r="F14" s="260">
        <f>'Data Sheet'!F66</f>
        <v>9895.41</v>
      </c>
      <c r="G14" s="260">
        <f>'Data Sheet'!G66</f>
        <v>9648.98</v>
      </c>
      <c r="H14" s="260">
        <f>'Data Sheet'!H66</f>
        <v>10102.1</v>
      </c>
      <c r="I14" s="260">
        <f>'Data Sheet'!I66</f>
        <v>10528.01</v>
      </c>
      <c r="J14" s="260">
        <f>'Data Sheet'!J66</f>
        <v>12630.58</v>
      </c>
      <c r="K14" s="276">
        <f>'Data Sheet'!K66</f>
        <v>14756.71</v>
      </c>
    </row>
    <row r="15" spans="1:11" x14ac:dyDescent="0.25">
      <c r="A15" s="273"/>
      <c r="B15" s="261"/>
      <c r="C15" s="261"/>
      <c r="D15" s="261"/>
      <c r="E15" s="261"/>
      <c r="F15" s="261"/>
      <c r="G15" s="261"/>
      <c r="H15" s="261"/>
      <c r="I15" s="261"/>
      <c r="J15" s="261"/>
      <c r="K15" s="277"/>
    </row>
    <row r="16" spans="1:11" x14ac:dyDescent="0.25">
      <c r="A16" s="278" t="s">
        <v>25</v>
      </c>
      <c r="B16" s="261">
        <f>B13-B7</f>
        <v>-1013.3299999999999</v>
      </c>
      <c r="C16" s="261">
        <f t="shared" ref="C16:K16" si="0">C13-C7</f>
        <v>-1183.7600000000002</v>
      </c>
      <c r="D16" s="261">
        <f t="shared" si="0"/>
        <v>-2101.58</v>
      </c>
      <c r="E16" s="261">
        <f t="shared" si="0"/>
        <v>-5609.58</v>
      </c>
      <c r="F16" s="261">
        <f t="shared" si="0"/>
        <v>-2779.34</v>
      </c>
      <c r="G16" s="261">
        <f t="shared" si="0"/>
        <v>-1109.08</v>
      </c>
      <c r="H16" s="261">
        <f t="shared" si="0"/>
        <v>-1302.0000000000005</v>
      </c>
      <c r="I16" s="261">
        <f t="shared" si="0"/>
        <v>-238.01999999999998</v>
      </c>
      <c r="J16" s="261">
        <f t="shared" si="0"/>
        <v>63.639999999999873</v>
      </c>
      <c r="K16" s="277">
        <f t="shared" si="0"/>
        <v>-639.20000000000027</v>
      </c>
    </row>
    <row r="17" spans="1:12" x14ac:dyDescent="0.25">
      <c r="A17" s="273" t="s">
        <v>39</v>
      </c>
      <c r="B17" s="261">
        <f>'Data Sheet'!B67</f>
        <v>297.44</v>
      </c>
      <c r="C17" s="261">
        <f>'Data Sheet'!C67</f>
        <v>149.94</v>
      </c>
      <c r="D17" s="261">
        <f>'Data Sheet'!D67</f>
        <v>108.39</v>
      </c>
      <c r="E17" s="261">
        <f>'Data Sheet'!E67</f>
        <v>130.59</v>
      </c>
      <c r="F17" s="261">
        <f>'Data Sheet'!F67</f>
        <v>272.31</v>
      </c>
      <c r="G17" s="261">
        <f>'Data Sheet'!G67</f>
        <v>665</v>
      </c>
      <c r="H17" s="261">
        <f>'Data Sheet'!H67</f>
        <v>920.58</v>
      </c>
      <c r="I17" s="261">
        <f>'Data Sheet'!I67</f>
        <v>1389.59</v>
      </c>
      <c r="J17" s="261">
        <f>'Data Sheet'!J67</f>
        <v>1282.8</v>
      </c>
      <c r="K17" s="277">
        <f>'Data Sheet'!K67</f>
        <v>1561.87</v>
      </c>
    </row>
    <row r="18" spans="1:12" x14ac:dyDescent="0.25">
      <c r="A18" s="273" t="s">
        <v>40</v>
      </c>
      <c r="B18" s="261">
        <f>'Data Sheet'!B68</f>
        <v>317.10000000000002</v>
      </c>
      <c r="C18" s="261">
        <f>'Data Sheet'!C68</f>
        <v>326.83</v>
      </c>
      <c r="D18" s="261">
        <f>'Data Sheet'!D68</f>
        <v>436.4</v>
      </c>
      <c r="E18" s="261">
        <f>'Data Sheet'!E68</f>
        <v>524.92999999999995</v>
      </c>
      <c r="F18" s="261">
        <f>'Data Sheet'!F68</f>
        <v>675.57</v>
      </c>
      <c r="G18" s="261">
        <f>'Data Sheet'!G68</f>
        <v>636.76</v>
      </c>
      <c r="H18" s="261">
        <f>'Data Sheet'!H68</f>
        <v>669.55</v>
      </c>
      <c r="I18" s="261">
        <f>'Data Sheet'!I68</f>
        <v>815.49</v>
      </c>
      <c r="J18" s="261">
        <f>'Data Sheet'!J68</f>
        <v>672.98</v>
      </c>
      <c r="K18" s="277">
        <f>'Data Sheet'!K68</f>
        <v>656.31</v>
      </c>
    </row>
    <row r="19" spans="1:12" ht="13" thickBot="1" x14ac:dyDescent="0.3">
      <c r="A19" s="279" t="s">
        <v>248</v>
      </c>
      <c r="B19" s="280"/>
      <c r="C19" s="280"/>
      <c r="D19" s="280"/>
      <c r="E19" s="280">
        <f>71.52+4663.29</f>
        <v>4734.8100000000004</v>
      </c>
      <c r="F19" s="280">
        <f>76.82+3290.3</f>
        <v>3367.1200000000003</v>
      </c>
      <c r="G19" s="280">
        <f>181.04+3009.36</f>
        <v>3190.4</v>
      </c>
      <c r="H19" s="280">
        <f>117.5+3275.89</f>
        <v>3393.39</v>
      </c>
      <c r="I19" s="280">
        <f>127.22+2477.63</f>
        <v>2604.85</v>
      </c>
      <c r="J19" s="280">
        <f>74.68+3471.57</f>
        <v>3546.25</v>
      </c>
      <c r="K19" s="281">
        <f>74.06+4544.06</f>
        <v>4618.1200000000008</v>
      </c>
    </row>
    <row r="20" spans="1:12" ht="13" x14ac:dyDescent="0.3">
      <c r="A20" s="266" t="s">
        <v>288</v>
      </c>
      <c r="B20" s="262"/>
      <c r="C20" s="262"/>
      <c r="D20" s="262"/>
      <c r="E20" s="262"/>
      <c r="F20" s="262"/>
      <c r="G20" s="262"/>
      <c r="H20" s="262"/>
      <c r="I20" s="262"/>
      <c r="J20" s="262"/>
      <c r="K20" s="262"/>
    </row>
    <row r="21" spans="1:12" ht="13" thickBot="1" x14ac:dyDescent="0.3">
      <c r="B21" s="262"/>
      <c r="C21" s="262"/>
      <c r="D21" s="262"/>
      <c r="E21" s="262"/>
      <c r="F21" s="262"/>
      <c r="G21" s="262"/>
      <c r="H21" s="262"/>
      <c r="I21" s="262"/>
      <c r="J21" s="262"/>
      <c r="K21" s="262"/>
    </row>
    <row r="22" spans="1:12" ht="13" x14ac:dyDescent="0.3">
      <c r="A22" s="282" t="s">
        <v>41</v>
      </c>
      <c r="B22" s="283">
        <f>IF('Profit &amp; Loss'!B4&gt;0,'Balance Sheet'!B17/('Profit &amp; Loss'!B4/365),0)</f>
        <v>10.507907625002421</v>
      </c>
      <c r="C22" s="283">
        <f>IF('Profit &amp; Loss'!C4&gt;0,'Balance Sheet'!C17/('Profit &amp; Loss'!C4/365),0)</f>
        <v>4.4425332328932585</v>
      </c>
      <c r="D22" s="283">
        <f>IF('Profit &amp; Loss'!D4&gt;0,'Balance Sheet'!D17/('Profit &amp; Loss'!D4/365),0)</f>
        <v>2.5105913246326668</v>
      </c>
      <c r="E22" s="283">
        <f>IF('Profit &amp; Loss'!E4&gt;0,'Balance Sheet'!E17/('Profit &amp; Loss'!E4/365),0)</f>
        <v>2.4572389940576134</v>
      </c>
      <c r="F22" s="283">
        <f>IF('Profit &amp; Loss'!F4&gt;0,'Balance Sheet'!F17/('Profit &amp; Loss'!F4/365),0)</f>
        <v>4.2153197141697518</v>
      </c>
      <c r="G22" s="283">
        <f>IF('Profit &amp; Loss'!G4&gt;0,'Balance Sheet'!G17/('Profit &amp; Loss'!G4/365),0)</f>
        <v>10.212212918906888</v>
      </c>
      <c r="H22" s="283">
        <f>IF('Profit &amp; Loss'!H4&gt;0,'Balance Sheet'!H17/('Profit &amp; Loss'!H4/365),0)</f>
        <v>13.293984246385923</v>
      </c>
      <c r="I22" s="283">
        <f>IF('Profit &amp; Loss'!I4&gt;0,'Balance Sheet'!I17/('Profit &amp; Loss'!I4/365),0)</f>
        <v>18.386617147538722</v>
      </c>
      <c r="J22" s="283">
        <f>IF('Profit &amp; Loss'!J4&gt;0,'Balance Sheet'!J17/('Profit &amp; Loss'!J4/365),0)</f>
        <v>16.461939267369129</v>
      </c>
      <c r="K22" s="284">
        <f>IF('Profit &amp; Loss'!K4&gt;0,'Balance Sheet'!K17/('Profit &amp; Loss'!K4/365),0)</f>
        <v>20.020465327643659</v>
      </c>
    </row>
    <row r="23" spans="1:12" ht="13" x14ac:dyDescent="0.3">
      <c r="A23" s="285" t="s">
        <v>42</v>
      </c>
      <c r="B23" s="263">
        <f>IF('Balance Sheet'!B18&gt;0,'Profit &amp; Loss'!B4/'Balance Sheet'!B18,0)</f>
        <v>32.582150741091134</v>
      </c>
      <c r="C23" s="263">
        <f>IF('Balance Sheet'!C18&gt;0,'Profit &amp; Loss'!C4/'Balance Sheet'!C18,0)</f>
        <v>37.692745464002698</v>
      </c>
      <c r="D23" s="263">
        <f>IF('Balance Sheet'!D18&gt;0,'Profit &amp; Loss'!D4/'Balance Sheet'!D18,0)</f>
        <v>36.10948670944088</v>
      </c>
      <c r="E23" s="263">
        <f>IF('Balance Sheet'!E18&gt;0,'Profit &amp; Loss'!E4/'Balance Sheet'!E18,0)</f>
        <v>36.953365210599515</v>
      </c>
      <c r="F23" s="263">
        <f>IF('Balance Sheet'!F18&gt;0,'Profit &amp; Loss'!F4/'Balance Sheet'!F18,0)</f>
        <v>34.902423138978932</v>
      </c>
      <c r="G23" s="263">
        <f>IF('Balance Sheet'!G18&gt;0,'Profit &amp; Loss'!G4/'Balance Sheet'!G18,0)</f>
        <v>37.326637979772599</v>
      </c>
      <c r="H23" s="263">
        <f>IF('Balance Sheet'!H18&gt;0,'Profit &amp; Loss'!H4/'Balance Sheet'!H18,0)</f>
        <v>37.749936524531407</v>
      </c>
      <c r="I23" s="263">
        <f>IF('Balance Sheet'!I18&gt;0,'Profit &amp; Loss'!I4/'Balance Sheet'!I18,0)</f>
        <v>33.826656366111173</v>
      </c>
      <c r="J23" s="263">
        <f>IF('Balance Sheet'!J18&gt;0,'Profit &amp; Loss'!J4/'Balance Sheet'!J18,0)</f>
        <v>42.263811703170973</v>
      </c>
      <c r="K23" s="286">
        <f>IF('Balance Sheet'!K18&gt;0,'Profit &amp; Loss'!K4/'Balance Sheet'!K18,0)</f>
        <v>43.386494187198132</v>
      </c>
    </row>
    <row r="24" spans="1:12" ht="13" x14ac:dyDescent="0.3">
      <c r="A24" s="285" t="s">
        <v>101</v>
      </c>
      <c r="B24" s="264">
        <f>'Profit &amp; Loss'!B4/'Balance Sheet'!B10</f>
        <v>8.9355335305208161</v>
      </c>
      <c r="C24" s="264">
        <f>'Profit &amp; Loss'!C4/'Balance Sheet'!C10</f>
        <v>7.8280750583017209</v>
      </c>
      <c r="D24" s="264">
        <f>'Profit &amp; Loss'!D4/'Balance Sheet'!D10</f>
        <v>9.4998613438792372</v>
      </c>
      <c r="E24" s="264">
        <f>'Profit &amp; Loss'!E4/'Balance Sheet'!E10</f>
        <v>4.7540683482506099</v>
      </c>
      <c r="F24" s="264">
        <f>'Profit &amp; Loss'!F4/'Balance Sheet'!F10</f>
        <v>6.2287591368137969</v>
      </c>
      <c r="G24" s="264">
        <f>'Profit &amp; Loss'!G4/'Balance Sheet'!G10</f>
        <v>7.7395847579599995</v>
      </c>
      <c r="H24" s="264">
        <f>'Profit &amp; Loss'!H4/'Balance Sheet'!H10</f>
        <v>11.267344254987185</v>
      </c>
      <c r="I24" s="264">
        <f>'Profit &amp; Loss'!I4/'Balance Sheet'!I10</f>
        <v>9.4707298064675598</v>
      </c>
      <c r="J24" s="264">
        <f>'Profit &amp; Loss'!J4/'Balance Sheet'!J10</f>
        <v>7.9352462789627136</v>
      </c>
      <c r="K24" s="287">
        <f>'Profit &amp; Loss'!K4/'Balance Sheet'!K10</f>
        <v>6.4780814407167187</v>
      </c>
    </row>
    <row r="25" spans="1:12" ht="13" x14ac:dyDescent="0.3">
      <c r="A25" s="285" t="s">
        <v>102</v>
      </c>
      <c r="B25" s="264">
        <f>B6/(B4+B5)</f>
        <v>4.4202743249035573E-2</v>
      </c>
      <c r="C25" s="264">
        <f t="shared" ref="C25:K25" si="1">C6/(C4+C5)</f>
        <v>2.0651187265671247E-2</v>
      </c>
      <c r="D25" s="264">
        <f t="shared" si="1"/>
        <v>1.9056167063970772E-2</v>
      </c>
      <c r="E25" s="264">
        <f t="shared" si="1"/>
        <v>0.2345520726913527</v>
      </c>
      <c r="F25" s="264">
        <f t="shared" si="1"/>
        <v>0.16770827748418937</v>
      </c>
      <c r="G25" s="264">
        <f t="shared" si="1"/>
        <v>0.12815606123557802</v>
      </c>
      <c r="H25" s="264">
        <f t="shared" si="1"/>
        <v>5.0761892686794513E-2</v>
      </c>
      <c r="I25" s="264">
        <f t="shared" si="1"/>
        <v>0</v>
      </c>
      <c r="J25" s="264">
        <f t="shared" si="1"/>
        <v>0</v>
      </c>
      <c r="K25" s="287">
        <f t="shared" si="1"/>
        <v>0</v>
      </c>
    </row>
    <row r="26" spans="1:12" s="256" customFormat="1" ht="13" x14ac:dyDescent="0.3">
      <c r="A26" s="285" t="s">
        <v>55</v>
      </c>
      <c r="B26" s="265">
        <f>IF(SUM('Balance Sheet'!B4:B5)&gt;0,'Profit &amp; Loss'!B23/SUM('Balance Sheet'!B4:B5),"")</f>
        <v>0.32411326618088293</v>
      </c>
      <c r="C26" s="265">
        <f>IF(SUM('Balance Sheet'!C4:C5)&gt;0,'Profit &amp; Loss'!C23/SUM('Balance Sheet'!C4:C5),"")</f>
        <v>0.33723870288758806</v>
      </c>
      <c r="D26" s="265">
        <f>IF(SUM('Balance Sheet'!D4:D5)&gt;0,'Profit &amp; Loss'!D23/SUM('Balance Sheet'!D4:D5),"")</f>
        <v>0.64410306434017739</v>
      </c>
      <c r="E26" s="265">
        <f>IF(SUM('Balance Sheet'!E4:E5)&gt;0,'Profit &amp; Loss'!E23/SUM('Balance Sheet'!E4:E5),"")</f>
        <v>0.65218567958701856</v>
      </c>
      <c r="F26" s="265">
        <f>IF(SUM('Balance Sheet'!F4:F5)&gt;0,'Profit &amp; Loss'!F23/SUM('Balance Sheet'!F4:F5),"")</f>
        <v>0.55436462517162666</v>
      </c>
      <c r="G26" s="265">
        <f>IF(SUM('Balance Sheet'!G4:G5)&gt;0,'Profit &amp; Loss'!G23/SUM('Balance Sheet'!G4:G5),"")</f>
        <v>0.42310396625012059</v>
      </c>
      <c r="H26" s="265">
        <f>IF(SUM('Balance Sheet'!H4:H5)&gt;0,'Profit &amp; Loss'!H23/SUM('Balance Sheet'!H4:H5),"")</f>
        <v>0.37663017177184493</v>
      </c>
      <c r="I26" s="265">
        <f>IF(SUM('Balance Sheet'!I4:I5)&gt;0,'Profit &amp; Loss'!I23/SUM('Balance Sheet'!I4:I5),"")</f>
        <v>0.36470259106328512</v>
      </c>
      <c r="J26" s="265">
        <f>IF(SUM('Balance Sheet'!J4:J5)&gt;0,'Profit &amp; Loss'!J23/SUM('Balance Sheet'!J4:J5),"")</f>
        <v>0.35771375790799842</v>
      </c>
      <c r="K26" s="288">
        <f>IF(SUM('Balance Sheet'!K4:K5)&gt;0,'Profit &amp; Loss'!K23/SUM('Balance Sheet'!K4:K5),"")</f>
        <v>0.33399496997910344</v>
      </c>
      <c r="L26" s="257"/>
    </row>
    <row r="27" spans="1:12" s="256" customFormat="1" ht="13.5" thickBot="1" x14ac:dyDescent="0.35">
      <c r="A27" s="289" t="s">
        <v>100</v>
      </c>
      <c r="B27" s="290">
        <f>IF(('Balance Sheet'!B10+'Balance Sheet'!B16)&gt;0,('Profit &amp; Loss'!B12-'Profit &amp; Loss'!B16-'Profit &amp; Loss'!B22)/('Balance Sheet'!B10+'Balance Sheet'!B16),"")</f>
        <v>5.0871755404743562</v>
      </c>
      <c r="C27" s="290">
        <f>IF(('Balance Sheet'!C10+'Balance Sheet'!C16)&gt;0,('Profit &amp; Loss'!C12-'Profit &amp; Loss'!C16-'Profit &amp; Loss'!C22)/('Balance Sheet'!C10+'Balance Sheet'!C16),"")</f>
        <v>2.5746634183869745</v>
      </c>
      <c r="D27" s="290" t="str">
        <f>IF(('Balance Sheet'!D10+'Balance Sheet'!D16)&gt;0,('Profit &amp; Loss'!D12-'Profit &amp; Loss'!D16-'Profit &amp; Loss'!D22)/('Balance Sheet'!D10+'Balance Sheet'!D16),"")</f>
        <v/>
      </c>
      <c r="E27" s="290" t="str">
        <f>IF(('Balance Sheet'!E10+'Balance Sheet'!E16)&gt;0,('Profit &amp; Loss'!E12-'Profit &amp; Loss'!E16-'Profit &amp; Loss'!E22)/('Balance Sheet'!E10+'Balance Sheet'!E16),"")</f>
        <v/>
      </c>
      <c r="F27" s="290">
        <f>IF(('Balance Sheet'!F10+'Balance Sheet'!F16)&gt;0,('Profit &amp; Loss'!F12-'Profit &amp; Loss'!F16-'Profit &amp; Loss'!F22)/('Balance Sheet'!F10+'Balance Sheet'!F16),"")</f>
        <v>2.0223819036544506</v>
      </c>
      <c r="G27" s="290">
        <f>IF(('Balance Sheet'!G10+'Balance Sheet'!G16)&gt;0,('Profit &amp; Loss'!G12-'Profit &amp; Loss'!G16-'Profit &amp; Loss'!G22)/('Balance Sheet'!G10+'Balance Sheet'!G16),"")</f>
        <v>0.88265966664967799</v>
      </c>
      <c r="H27" s="290">
        <f>IF(('Balance Sheet'!H10+'Balance Sheet'!H16)&gt;0,('Profit &amp; Loss'!H12-'Profit &amp; Loss'!H16-'Profit &amp; Loss'!H22)/('Balance Sheet'!H10+'Balance Sheet'!H16),"")</f>
        <v>1.779038512616204</v>
      </c>
      <c r="I27" s="290">
        <f>IF(('Balance Sheet'!I10+'Balance Sheet'!I16)&gt;0,('Profit &amp; Loss'!I12-'Profit &amp; Loss'!I16-'Profit &amp; Loss'!I22)/('Balance Sheet'!I10+'Balance Sheet'!I16),"")</f>
        <v>0.71185978083277535</v>
      </c>
      <c r="J27" s="290">
        <f>IF(('Balance Sheet'!J10+'Balance Sheet'!J16)&gt;0,('Profit &amp; Loss'!J12-'Profit &amp; Loss'!J16-'Profit &amp; Loss'!J22)/('Balance Sheet'!J10+'Balance Sheet'!J16),"")</f>
        <v>0.75182497759039957</v>
      </c>
      <c r="K27" s="291">
        <f>IF(('Balance Sheet'!K10+'Balance Sheet'!K16)&gt;0,('Profit &amp; Loss'!K12-'Profit &amp; Loss'!K16-'Profit &amp; Loss'!K22)/('Balance Sheet'!K10+'Balance Sheet'!K16),"")</f>
        <v>0.76156629104007012</v>
      </c>
      <c r="L27" s="257"/>
    </row>
    <row r="28" spans="1:12" s="258" customFormat="1" x14ac:dyDescent="0.25"/>
  </sheetData>
  <mergeCells count="2">
    <mergeCell ref="A1:K1"/>
    <mergeCell ref="A2:K2"/>
  </mergeCells>
  <printOptions gridLines="1"/>
  <pageMargins left="0.7" right="0.7" top="0.75" bottom="0.75" header="0.3" footer="0.3"/>
  <pageSetup paperSize="9" orientation="landscape" horizontalDpi="0" verticalDpi="0" r:id="rId1"/>
  <extLst>
    <ext xmlns:x14="http://schemas.microsoft.com/office/spreadsheetml/2009/9/main" uri="{05C60535-1F16-4fd2-B633-F4F36F0B64E0}">
      <x14:sparklineGroups xmlns:xm="http://schemas.microsoft.com/office/excel/2006/main">
        <x14:sparklineGroup type="column" displayEmptyCellsAs="gap" xr2:uid="{0A035670-A727-405C-899E-AD0948A76599}">
          <x14:colorSeries rgb="FFC00000"/>
          <x14:colorNegative rgb="FFD00000"/>
          <x14:colorAxis rgb="FF000000"/>
          <x14:colorMarkers rgb="FFD00000"/>
          <x14:colorFirst rgb="FFD00000"/>
          <x14:colorLast rgb="FFD00000"/>
          <x14:colorHigh rgb="FFD00000"/>
          <x14:colorLow rgb="FFD00000"/>
          <x14:sparklines>
            <x14:sparkline>
              <xm:f>'Balance Sheet'!G26:K26</xm:f>
              <xm:sqref>L26</xm:sqref>
            </x14:sparkline>
            <x14:sparkline>
              <xm:f>'Balance Sheet'!G27:K27</xm:f>
              <xm:sqref>L27</xm:sqref>
            </x14:sparkline>
          </x14:sparklines>
        </x14:sparklineGroup>
        <x14:sparklineGroup type="column" displayEmptyCellsAs="gap" xr2:uid="{B062919B-1B9E-4F85-9F98-EEBE56C8C994}">
          <x14:colorSeries rgb="FFC00000"/>
          <x14:colorNegative rgb="FFD00000"/>
          <x14:colorAxis rgb="FF000000"/>
          <x14:colorMarkers rgb="FFD00000"/>
          <x14:colorFirst rgb="FFD00000"/>
          <x14:colorLast rgb="FFD00000"/>
          <x14:colorHigh rgb="FFD00000"/>
          <x14:colorLow rgb="FFD00000"/>
          <x14:sparklines>
            <x14:sparkline>
              <xm:f>'Balance Sheet'!G22:K22</xm:f>
              <xm:sqref>L22</xm:sqref>
            </x14:sparkline>
            <x14:sparkline>
              <xm:f>'Balance Sheet'!G23:K23</xm:f>
              <xm:sqref>L23</xm:sqref>
            </x14:sparkline>
            <x14:sparkline>
              <xm:f>'Balance Sheet'!G24:K24</xm:f>
              <xm:sqref>L24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44"/>
  <sheetViews>
    <sheetView zoomScaleSheetLayoutView="100" workbookViewId="0">
      <selection activeCell="A9" sqref="A9"/>
    </sheetView>
  </sheetViews>
  <sheetFormatPr defaultColWidth="9.453125" defaultRowHeight="12.5" x14ac:dyDescent="0.25"/>
  <cols>
    <col min="1" max="1" width="25.54296875" style="183" bestFit="1" customWidth="1"/>
    <col min="2" max="2" width="9.36328125" style="183" bestFit="1" customWidth="1"/>
    <col min="3" max="5" width="8.36328125" style="183" bestFit="1" customWidth="1"/>
    <col min="6" max="12" width="7.453125" style="183" bestFit="1" customWidth="1"/>
    <col min="13" max="13" width="13" style="183" bestFit="1" customWidth="1"/>
    <col min="14" max="14" width="9.453125" style="183"/>
    <col min="15" max="15" width="10.54296875" style="183" customWidth="1"/>
    <col min="16" max="16384" width="9.453125" style="183"/>
  </cols>
  <sheetData>
    <row r="1" spans="1:15" ht="19" x14ac:dyDescent="0.4">
      <c r="A1" s="334" t="s">
        <v>275</v>
      </c>
      <c r="B1" s="335"/>
      <c r="C1" s="335"/>
      <c r="D1" s="335"/>
      <c r="E1" s="335"/>
      <c r="F1" s="335"/>
      <c r="G1" s="335"/>
      <c r="H1" s="335"/>
      <c r="I1" s="335"/>
      <c r="J1" s="335"/>
      <c r="K1" s="335"/>
      <c r="L1" s="336"/>
    </row>
    <row r="2" spans="1:15" s="184" customFormat="1" ht="13.5" thickBot="1" x14ac:dyDescent="0.35">
      <c r="A2" s="342" t="str">
        <f>'Data Sheet'!B1</f>
        <v>HERO MOTOCORP LTD</v>
      </c>
      <c r="B2" s="343"/>
      <c r="C2" s="343"/>
      <c r="D2" s="343"/>
      <c r="E2" s="343"/>
      <c r="F2" s="343"/>
      <c r="G2" s="343"/>
      <c r="H2" s="343"/>
      <c r="I2" s="343"/>
      <c r="J2" s="343"/>
      <c r="K2" s="343"/>
      <c r="L2" s="344"/>
    </row>
    <row r="3" spans="1:15" s="188" customFormat="1" ht="13" x14ac:dyDescent="0.3">
      <c r="A3" s="185" t="s">
        <v>198</v>
      </c>
      <c r="B3" s="186">
        <f>'Data Sheet'!B16</f>
        <v>39538</v>
      </c>
      <c r="C3" s="186">
        <f>'Data Sheet'!C16</f>
        <v>39903</v>
      </c>
      <c r="D3" s="186">
        <f>'Data Sheet'!D16</f>
        <v>40268</v>
      </c>
      <c r="E3" s="186">
        <f>'Data Sheet'!E16</f>
        <v>40633</v>
      </c>
      <c r="F3" s="186">
        <f>'Data Sheet'!F16</f>
        <v>40999</v>
      </c>
      <c r="G3" s="186">
        <f>'Data Sheet'!G16</f>
        <v>41364</v>
      </c>
      <c r="H3" s="186">
        <f>'Data Sheet'!H16</f>
        <v>41729</v>
      </c>
      <c r="I3" s="186">
        <f>'Data Sheet'!I16</f>
        <v>42094</v>
      </c>
      <c r="J3" s="186">
        <f>'Data Sheet'!J16</f>
        <v>42460</v>
      </c>
      <c r="K3" s="186">
        <f>'Data Sheet'!K16</f>
        <v>42825</v>
      </c>
      <c r="L3" s="187" t="s">
        <v>3</v>
      </c>
    </row>
    <row r="4" spans="1:15" s="184" customFormat="1" ht="13" x14ac:dyDescent="0.3">
      <c r="A4" s="189" t="s">
        <v>4</v>
      </c>
      <c r="B4" s="190">
        <f>'Data Sheet'!B17</f>
        <v>10331.799999999999</v>
      </c>
      <c r="C4" s="190">
        <f>'Data Sheet'!C17</f>
        <v>12319.12</v>
      </c>
      <c r="D4" s="190">
        <f>'Data Sheet'!D17</f>
        <v>15758.18</v>
      </c>
      <c r="E4" s="190">
        <f>'Data Sheet'!E17</f>
        <v>19397.93</v>
      </c>
      <c r="F4" s="190">
        <f>'Data Sheet'!F17</f>
        <v>23579.03</v>
      </c>
      <c r="G4" s="190">
        <f>'Data Sheet'!G17</f>
        <v>23768.11</v>
      </c>
      <c r="H4" s="190">
        <f>'Data Sheet'!H17</f>
        <v>25275.47</v>
      </c>
      <c r="I4" s="190">
        <f>'Data Sheet'!I17</f>
        <v>27585.3</v>
      </c>
      <c r="J4" s="190">
        <f>'Data Sheet'!J17</f>
        <v>28442.7</v>
      </c>
      <c r="K4" s="190">
        <f>'Data Sheet'!K17</f>
        <v>28474.99</v>
      </c>
      <c r="L4" s="191">
        <f>SUM(Quarters!H4:K4)</f>
        <v>29047.660000000003</v>
      </c>
    </row>
    <row r="5" spans="1:15" s="184" customFormat="1" ht="13" x14ac:dyDescent="0.3">
      <c r="A5" s="192" t="s">
        <v>96</v>
      </c>
      <c r="B5" s="193"/>
      <c r="C5" s="194">
        <f>C4/B4-1</f>
        <v>0.19234983255579885</v>
      </c>
      <c r="D5" s="194">
        <f t="shared" ref="D5:K5" si="0">D4/C4-1</f>
        <v>0.27916442083525439</v>
      </c>
      <c r="E5" s="194">
        <f t="shared" si="0"/>
        <v>0.23097527760185499</v>
      </c>
      <c r="F5" s="194">
        <f t="shared" si="0"/>
        <v>0.21554361728287486</v>
      </c>
      <c r="G5" s="194">
        <f t="shared" si="0"/>
        <v>8.0189897548796907E-3</v>
      </c>
      <c r="H5" s="194">
        <f t="shared" si="0"/>
        <v>6.3419430489003892E-2</v>
      </c>
      <c r="I5" s="194">
        <f t="shared" si="0"/>
        <v>9.1386233371723469E-2</v>
      </c>
      <c r="J5" s="194">
        <f t="shared" si="0"/>
        <v>3.1081771813248338E-2</v>
      </c>
      <c r="K5" s="194">
        <f t="shared" si="0"/>
        <v>1.1352649361699996E-3</v>
      </c>
      <c r="L5" s="195"/>
    </row>
    <row r="6" spans="1:15" x14ac:dyDescent="0.25">
      <c r="A6" s="196" t="s">
        <v>5</v>
      </c>
      <c r="B6" s="197">
        <f>SUM('Data Sheet'!B18,'Data Sheet'!B20:B24, -1*'Data Sheet'!B19)</f>
        <v>9001.9699999999993</v>
      </c>
      <c r="C6" s="197">
        <f>SUM('Data Sheet'!C18,'Data Sheet'!C20:C24, -1*'Data Sheet'!C19)</f>
        <v>10634.77</v>
      </c>
      <c r="D6" s="197">
        <f>SUM('Data Sheet'!D18,'Data Sheet'!D20:D24, -1*'Data Sheet'!D19)</f>
        <v>13096.21</v>
      </c>
      <c r="E6" s="197">
        <f>SUM('Data Sheet'!E18,'Data Sheet'!E20:E24, -1*'Data Sheet'!E19)</f>
        <v>16865.239999999998</v>
      </c>
      <c r="F6" s="197">
        <f>SUM('Data Sheet'!F18,'Data Sheet'!F20:F24, -1*'Data Sheet'!F19)</f>
        <v>19960.25</v>
      </c>
      <c r="G6" s="197">
        <f>SUM('Data Sheet'!G18,'Data Sheet'!G20:G24, -1*'Data Sheet'!G19)</f>
        <v>20483.629999999997</v>
      </c>
      <c r="H6" s="197">
        <f>SUM('Data Sheet'!H18,'Data Sheet'!H20:H24, -1*'Data Sheet'!H19)</f>
        <v>21735.41</v>
      </c>
      <c r="I6" s="197">
        <f>SUM('Data Sheet'!I18,'Data Sheet'!I20:I24, -1*'Data Sheet'!I19)</f>
        <v>24198.16</v>
      </c>
      <c r="J6" s="197">
        <f>SUM('Data Sheet'!J18,'Data Sheet'!J20:J24, -1*'Data Sheet'!J19)</f>
        <v>23987.73</v>
      </c>
      <c r="K6" s="197">
        <f>SUM('Data Sheet'!K18,'Data Sheet'!K20:K24, -1*'Data Sheet'!K19)</f>
        <v>23840.179999999993</v>
      </c>
      <c r="L6" s="198">
        <f>SUM(Quarters!H6:K6)</f>
        <v>24346.019999999997</v>
      </c>
      <c r="M6" s="340" t="s">
        <v>108</v>
      </c>
      <c r="N6" s="340"/>
      <c r="O6" s="340"/>
    </row>
    <row r="7" spans="1:15" ht="13" x14ac:dyDescent="0.3">
      <c r="A7" s="199" t="s">
        <v>106</v>
      </c>
      <c r="B7" s="200">
        <f>'Data Sheet'!B18/'Data Sheet'!B17</f>
        <v>0.71544551772198461</v>
      </c>
      <c r="C7" s="200">
        <f>'Data Sheet'!C18/'Data Sheet'!C17</f>
        <v>0.71110761158264546</v>
      </c>
      <c r="D7" s="200">
        <f>'Data Sheet'!D18/'Data Sheet'!D17</f>
        <v>0.6809422154081245</v>
      </c>
      <c r="E7" s="200">
        <f>'Data Sheet'!E18/'Data Sheet'!E17</f>
        <v>0.72869476279169998</v>
      </c>
      <c r="F7" s="200">
        <f>'Data Sheet'!F18/'Data Sheet'!F17</f>
        <v>0.73647686100742904</v>
      </c>
      <c r="G7" s="200">
        <f>'Data Sheet'!G18/'Data Sheet'!G17</f>
        <v>0.73059490216092071</v>
      </c>
      <c r="H7" s="200">
        <f>'Data Sheet'!H18/'Data Sheet'!H17</f>
        <v>0.72091755365973409</v>
      </c>
      <c r="I7" s="200">
        <f>'Data Sheet'!I18/'Data Sheet'!I17</f>
        <v>0.71718922759585724</v>
      </c>
      <c r="J7" s="200">
        <f>'Data Sheet'!J18/'Data Sheet'!J17</f>
        <v>0.67932088022585757</v>
      </c>
      <c r="K7" s="200">
        <f>'Data Sheet'!K18/'Data Sheet'!K17</f>
        <v>0.6654485216676107</v>
      </c>
      <c r="L7" s="201"/>
      <c r="M7" s="340"/>
      <c r="N7" s="340"/>
      <c r="O7" s="340"/>
    </row>
    <row r="8" spans="1:15" ht="13" x14ac:dyDescent="0.3">
      <c r="A8" s="199" t="s">
        <v>76</v>
      </c>
      <c r="B8" s="200">
        <f>'Data Sheet'!B20/'Data Sheet'!B17</f>
        <v>5.4733928260322501E-3</v>
      </c>
      <c r="C8" s="200">
        <f>'Data Sheet'!C20/'Data Sheet'!C17</f>
        <v>5.9825701835845412E-3</v>
      </c>
      <c r="D8" s="200">
        <f>'Data Sheet'!D20/'Data Sheet'!D17</f>
        <v>5.1433604642160454E-3</v>
      </c>
      <c r="E8" s="200">
        <f>'Data Sheet'!E20/'Data Sheet'!E17</f>
        <v>5.1794186286887312E-3</v>
      </c>
      <c r="F8" s="200">
        <f>'Data Sheet'!F20/'Data Sheet'!F17</f>
        <v>4.7779743271881836E-3</v>
      </c>
      <c r="G8" s="200">
        <f>'Data Sheet'!G20/'Data Sheet'!G17</f>
        <v>5.4350135538753395E-3</v>
      </c>
      <c r="H8" s="200">
        <f>'Data Sheet'!H20/'Data Sheet'!H17</f>
        <v>5.4384745367741924E-3</v>
      </c>
      <c r="I8" s="200">
        <f>'Data Sheet'!I20/'Data Sheet'!I17</f>
        <v>5.744726357879015E-3</v>
      </c>
      <c r="J8" s="200">
        <f>'Data Sheet'!J20/'Data Sheet'!J17</f>
        <v>4.2938961490997692E-3</v>
      </c>
      <c r="K8" s="200">
        <f>'Data Sheet'!K20/'Data Sheet'!K17</f>
        <v>3.9550496769270157E-3</v>
      </c>
      <c r="L8" s="201"/>
      <c r="M8" s="340"/>
      <c r="N8" s="340"/>
      <c r="O8" s="340"/>
    </row>
    <row r="9" spans="1:15" ht="13" x14ac:dyDescent="0.3">
      <c r="A9" s="199" t="s">
        <v>77</v>
      </c>
      <c r="B9" s="200">
        <f>'Data Sheet'!B21/'Data Sheet'!B17</f>
        <v>9.2578253547300586E-3</v>
      </c>
      <c r="C9" s="200">
        <f>'Data Sheet'!C21/'Data Sheet'!C17</f>
        <v>9.1995207449882769E-3</v>
      </c>
      <c r="D9" s="200">
        <f>'Data Sheet'!D21/'Data Sheet'!D17</f>
        <v>9.1057469834714411E-3</v>
      </c>
      <c r="E9" s="200">
        <f>'Data Sheet'!E21/'Data Sheet'!E17</f>
        <v>8.4972984230791641E-3</v>
      </c>
      <c r="F9" s="200">
        <f>'Data Sheet'!F21/'Data Sheet'!F17</f>
        <v>7.9545256950773642E-3</v>
      </c>
      <c r="G9" s="200">
        <f>'Data Sheet'!G21/'Data Sheet'!G17</f>
        <v>9.001977860250563E-3</v>
      </c>
      <c r="H9" s="200">
        <f>'Data Sheet'!H21/'Data Sheet'!H17</f>
        <v>9.2029940491709945E-3</v>
      </c>
      <c r="I9" s="200">
        <f>'Data Sheet'!I21/'Data Sheet'!I17</f>
        <v>8.8960424573957878E-3</v>
      </c>
      <c r="J9" s="200">
        <f>'Data Sheet'!J21/'Data Sheet'!J17</f>
        <v>7.377991540887468E-3</v>
      </c>
      <c r="K9" s="200">
        <f>'Data Sheet'!K21/'Data Sheet'!K17</f>
        <v>7.1856039282191149E-3</v>
      </c>
      <c r="L9" s="201"/>
      <c r="M9" s="340"/>
      <c r="N9" s="340"/>
      <c r="O9" s="340"/>
    </row>
    <row r="10" spans="1:15" ht="13" x14ac:dyDescent="0.3">
      <c r="A10" s="199" t="s">
        <v>78</v>
      </c>
      <c r="B10" s="200">
        <f>'Data Sheet'!B22/'Data Sheet'!B17</f>
        <v>3.1084612555411454E-2</v>
      </c>
      <c r="C10" s="200">
        <f>'Data Sheet'!C22/'Data Sheet'!C17</f>
        <v>3.0092246848800883E-2</v>
      </c>
      <c r="D10" s="200">
        <f>'Data Sheet'!D22/'Data Sheet'!D17</f>
        <v>2.7784299963574472E-2</v>
      </c>
      <c r="E10" s="200">
        <f>'Data Sheet'!E22/'Data Sheet'!E17</f>
        <v>3.19080437964257E-2</v>
      </c>
      <c r="F10" s="200">
        <f>'Data Sheet'!F22/'Data Sheet'!F17</f>
        <v>3.1193819253803063E-2</v>
      </c>
      <c r="G10" s="200">
        <f>'Data Sheet'!G22/'Data Sheet'!G17</f>
        <v>3.4538715951752154E-2</v>
      </c>
      <c r="H10" s="200">
        <f>'Data Sheet'!H22/'Data Sheet'!H17</f>
        <v>3.6796150576032804E-2</v>
      </c>
      <c r="I10" s="200">
        <f>'Data Sheet'!I22/'Data Sheet'!I17</f>
        <v>4.2517935277122235E-2</v>
      </c>
      <c r="J10" s="200">
        <f>'Data Sheet'!J22/'Data Sheet'!J17</f>
        <v>4.6266001469621378E-2</v>
      </c>
      <c r="K10" s="200">
        <f>'Data Sheet'!K22/'Data Sheet'!K17</f>
        <v>4.902582933303927E-2</v>
      </c>
      <c r="L10" s="201"/>
      <c r="M10" s="340"/>
      <c r="N10" s="340"/>
      <c r="O10" s="340"/>
    </row>
    <row r="11" spans="1:15" ht="13" x14ac:dyDescent="0.3">
      <c r="A11" s="199" t="s">
        <v>105</v>
      </c>
      <c r="B11" s="200">
        <f>'Data Sheet'!B23/'Data Sheet'!B17</f>
        <v>8.7471689347451559E-2</v>
      </c>
      <c r="C11" s="200">
        <f>'Data Sheet'!C23/'Data Sheet'!C17</f>
        <v>8.501175408633084E-2</v>
      </c>
      <c r="D11" s="200">
        <f>'Data Sheet'!D23/'Data Sheet'!D17</f>
        <v>8.8935397361878082E-2</v>
      </c>
      <c r="E11" s="200">
        <f>'Data Sheet'!E23/'Data Sheet'!E17</f>
        <v>7.1996857396639732E-2</v>
      </c>
      <c r="F11" s="200">
        <f>'Data Sheet'!F23/'Data Sheet'!F17</f>
        <v>4.8999895245902821E-2</v>
      </c>
      <c r="G11" s="200">
        <f>'Data Sheet'!G23/'Data Sheet'!G17</f>
        <v>5.8570917081753653E-2</v>
      </c>
      <c r="H11" s="200">
        <f>'Data Sheet'!H23/'Data Sheet'!H17</f>
        <v>6.2980035583908023E-2</v>
      </c>
      <c r="I11" s="200">
        <f>'Data Sheet'!I23/'Data Sheet'!I17</f>
        <v>7.0073553668076841E-2</v>
      </c>
      <c r="J11" s="200">
        <f>'Data Sheet'!J23/'Data Sheet'!J17</f>
        <v>7.2832747945870108E-2</v>
      </c>
      <c r="K11" s="200">
        <f>'Data Sheet'!K23/'Data Sheet'!K17</f>
        <v>7.5941729918078987E-2</v>
      </c>
      <c r="L11" s="201"/>
      <c r="M11" s="340"/>
      <c r="N11" s="340"/>
      <c r="O11" s="340"/>
    </row>
    <row r="12" spans="1:15" s="184" customFormat="1" ht="13" x14ac:dyDescent="0.3">
      <c r="A12" s="189" t="s">
        <v>6</v>
      </c>
      <c r="B12" s="190">
        <f>B4-B6</f>
        <v>1329.83</v>
      </c>
      <c r="C12" s="190">
        <f t="shared" ref="C12:L12" si="1">C4-C6</f>
        <v>1684.3500000000004</v>
      </c>
      <c r="D12" s="190">
        <f t="shared" si="1"/>
        <v>2661.9700000000012</v>
      </c>
      <c r="E12" s="190">
        <f t="shared" si="1"/>
        <v>2532.6900000000023</v>
      </c>
      <c r="F12" s="190">
        <f t="shared" si="1"/>
        <v>3618.7799999999988</v>
      </c>
      <c r="G12" s="190">
        <f t="shared" si="1"/>
        <v>3284.4800000000032</v>
      </c>
      <c r="H12" s="190">
        <f t="shared" si="1"/>
        <v>3540.0600000000013</v>
      </c>
      <c r="I12" s="190">
        <f t="shared" si="1"/>
        <v>3387.1399999999994</v>
      </c>
      <c r="J12" s="190">
        <f t="shared" si="1"/>
        <v>4454.9700000000012</v>
      </c>
      <c r="K12" s="190">
        <f t="shared" si="1"/>
        <v>4634.8100000000086</v>
      </c>
      <c r="L12" s="191">
        <f t="shared" si="1"/>
        <v>4701.6400000000067</v>
      </c>
    </row>
    <row r="13" spans="1:15" s="184" customFormat="1" ht="13" x14ac:dyDescent="0.3">
      <c r="A13" s="192" t="s">
        <v>94</v>
      </c>
      <c r="B13" s="194">
        <f t="shared" ref="B13:L13" si="2">B12/B4</f>
        <v>0.12871232505468552</v>
      </c>
      <c r="C13" s="194">
        <f t="shared" si="2"/>
        <v>0.13672648695686057</v>
      </c>
      <c r="D13" s="194">
        <f t="shared" si="2"/>
        <v>0.16892623386710909</v>
      </c>
      <c r="E13" s="194">
        <f t="shared" si="2"/>
        <v>0.13056496234392032</v>
      </c>
      <c r="F13" s="194">
        <f t="shared" si="2"/>
        <v>0.15347450679692926</v>
      </c>
      <c r="G13" s="194">
        <f t="shared" si="2"/>
        <v>0.13818852235200876</v>
      </c>
      <c r="H13" s="194">
        <f t="shared" si="2"/>
        <v>0.14005911660594247</v>
      </c>
      <c r="I13" s="194">
        <f t="shared" si="2"/>
        <v>0.12278786165095176</v>
      </c>
      <c r="J13" s="194">
        <f t="shared" si="2"/>
        <v>0.15662964486493902</v>
      </c>
      <c r="K13" s="194">
        <f t="shared" si="2"/>
        <v>0.16276774811861244</v>
      </c>
      <c r="L13" s="195">
        <f t="shared" si="2"/>
        <v>0.16185950950954417</v>
      </c>
    </row>
    <row r="14" spans="1:15" x14ac:dyDescent="0.25">
      <c r="A14" s="196" t="s">
        <v>7</v>
      </c>
      <c r="B14" s="197">
        <f>'Data Sheet'!B25</f>
        <v>242.77</v>
      </c>
      <c r="C14" s="197">
        <f>'Data Sheet'!C25</f>
        <v>280.3</v>
      </c>
      <c r="D14" s="197">
        <f>'Data Sheet'!D25</f>
        <v>363.33</v>
      </c>
      <c r="E14" s="197">
        <f>'Data Sheet'!E25</f>
        <v>289.62</v>
      </c>
      <c r="F14" s="197">
        <f>'Data Sheet'!F25</f>
        <v>364.57</v>
      </c>
      <c r="G14" s="197">
        <f>'Data Sheet'!G25</f>
        <v>398.38</v>
      </c>
      <c r="H14" s="197">
        <f>'Data Sheet'!H25</f>
        <v>446.38</v>
      </c>
      <c r="I14" s="197">
        <f>'Data Sheet'!I25</f>
        <v>492.74</v>
      </c>
      <c r="J14" s="197">
        <f>'Data Sheet'!J25</f>
        <v>422.43</v>
      </c>
      <c r="K14" s="197">
        <f>'Data Sheet'!K25</f>
        <v>522.42999999999995</v>
      </c>
      <c r="L14" s="198">
        <f>SUM(Quarters!H8:K8)</f>
        <v>534.17000000000007</v>
      </c>
    </row>
    <row r="15" spans="1:15" ht="13" x14ac:dyDescent="0.3">
      <c r="A15" s="192" t="s">
        <v>203</v>
      </c>
      <c r="B15" s="202">
        <f>B14/B4</f>
        <v>2.3497357672428814E-2</v>
      </c>
      <c r="C15" s="202">
        <f t="shared" ref="C15:L15" si="3">C14/C4</f>
        <v>2.2753248608666853E-2</v>
      </c>
      <c r="D15" s="202">
        <f t="shared" si="3"/>
        <v>2.3056596637428942E-2</v>
      </c>
      <c r="E15" s="202">
        <f t="shared" si="3"/>
        <v>1.4930459074756946E-2</v>
      </c>
      <c r="F15" s="202">
        <f t="shared" si="3"/>
        <v>1.5461619922448041E-2</v>
      </c>
      <c r="G15" s="202">
        <f t="shared" si="3"/>
        <v>1.6761113946376048E-2</v>
      </c>
      <c r="H15" s="202">
        <f t="shared" si="3"/>
        <v>1.7660601365671932E-2</v>
      </c>
      <c r="I15" s="202">
        <f t="shared" si="3"/>
        <v>1.7862412226801957E-2</v>
      </c>
      <c r="J15" s="202">
        <f t="shared" si="3"/>
        <v>1.4851965530698561E-2</v>
      </c>
      <c r="K15" s="202">
        <f t="shared" si="3"/>
        <v>1.8346977470404729E-2</v>
      </c>
      <c r="L15" s="203">
        <f t="shared" si="3"/>
        <v>1.8389433090307446E-2</v>
      </c>
    </row>
    <row r="16" spans="1:15" x14ac:dyDescent="0.25">
      <c r="A16" s="196" t="s">
        <v>8</v>
      </c>
      <c r="B16" s="197">
        <f>'Data Sheet'!B26</f>
        <v>160.32</v>
      </c>
      <c r="C16" s="197">
        <f>'Data Sheet'!C26</f>
        <v>180.66</v>
      </c>
      <c r="D16" s="197">
        <f>'Data Sheet'!D26</f>
        <v>191.47</v>
      </c>
      <c r="E16" s="197">
        <f>'Data Sheet'!E26</f>
        <v>402.38</v>
      </c>
      <c r="F16" s="197">
        <f>'Data Sheet'!F26</f>
        <v>1097.3399999999999</v>
      </c>
      <c r="G16" s="197">
        <f>'Data Sheet'!G26</f>
        <v>1141.75</v>
      </c>
      <c r="H16" s="197">
        <f>'Data Sheet'!H26</f>
        <v>1107.3699999999999</v>
      </c>
      <c r="I16" s="197">
        <f>'Data Sheet'!I26</f>
        <v>539.97</v>
      </c>
      <c r="J16" s="197">
        <f>'Data Sheet'!J26</f>
        <v>437.64</v>
      </c>
      <c r="K16" s="197">
        <f>'Data Sheet'!K26</f>
        <v>492.73</v>
      </c>
      <c r="L16" s="198">
        <f>SUM(Quarters!H9:K9)</f>
        <v>511.86</v>
      </c>
    </row>
    <row r="17" spans="1:13" x14ac:dyDescent="0.25">
      <c r="A17" s="196" t="s">
        <v>9</v>
      </c>
      <c r="B17" s="197">
        <f>'Data Sheet'!B27</f>
        <v>2</v>
      </c>
      <c r="C17" s="197">
        <f>'Data Sheet'!C27</f>
        <v>2.5299999999999998</v>
      </c>
      <c r="D17" s="197">
        <f>'Data Sheet'!D27</f>
        <v>2.1</v>
      </c>
      <c r="E17" s="197">
        <f>'Data Sheet'!E27</f>
        <v>15.17</v>
      </c>
      <c r="F17" s="197">
        <f>'Data Sheet'!F27</f>
        <v>21.3</v>
      </c>
      <c r="G17" s="197">
        <f>'Data Sheet'!G27</f>
        <v>11.91</v>
      </c>
      <c r="H17" s="197">
        <f>'Data Sheet'!H27</f>
        <v>11.82</v>
      </c>
      <c r="I17" s="197">
        <f>'Data Sheet'!I27</f>
        <v>11.09</v>
      </c>
      <c r="J17" s="197">
        <f>'Data Sheet'!J27</f>
        <v>4.8899999999999997</v>
      </c>
      <c r="K17" s="197">
        <f>'Data Sheet'!K27</f>
        <v>6.05</v>
      </c>
      <c r="L17" s="198">
        <f>SUM(Quarters!H10:K10)</f>
        <v>6.1300000000000008</v>
      </c>
    </row>
    <row r="18" spans="1:13" ht="13" x14ac:dyDescent="0.3">
      <c r="A18" s="192" t="s">
        <v>103</v>
      </c>
      <c r="B18" s="204">
        <f>(B19+B17)/B17</f>
        <v>706.14</v>
      </c>
      <c r="C18" s="204">
        <f t="shared" ref="C18:L18" si="4">(C19+C17)/C17</f>
        <v>705.13438735177886</v>
      </c>
      <c r="D18" s="204">
        <f t="shared" si="4"/>
        <v>1349.4428571428577</v>
      </c>
      <c r="E18" s="204">
        <f t="shared" si="4"/>
        <v>159.52076466710628</v>
      </c>
      <c r="F18" s="204">
        <f t="shared" si="4"/>
        <v>135.4934272300469</v>
      </c>
      <c r="G18" s="204">
        <f t="shared" si="4"/>
        <v>213.35936188077272</v>
      </c>
      <c r="H18" s="204">
        <f t="shared" si="4"/>
        <v>243.57614213197982</v>
      </c>
      <c r="I18" s="204">
        <f t="shared" si="4"/>
        <v>301.16411181244354</v>
      </c>
      <c r="J18" s="204">
        <f t="shared" si="4"/>
        <v>907.92638036809842</v>
      </c>
      <c r="K18" s="204">
        <f t="shared" si="4"/>
        <v>770.99338842975362</v>
      </c>
      <c r="L18" s="205">
        <f t="shared" si="4"/>
        <v>770.62805872757042</v>
      </c>
    </row>
    <row r="19" spans="1:13" ht="13" x14ac:dyDescent="0.3">
      <c r="A19" s="196" t="s">
        <v>107</v>
      </c>
      <c r="B19" s="197">
        <f>B12+B14-B16-B17</f>
        <v>1410.28</v>
      </c>
      <c r="C19" s="197">
        <f t="shared" ref="C19:L19" si="5">C12+C14-C16-C17</f>
        <v>1781.4600000000003</v>
      </c>
      <c r="D19" s="197">
        <f t="shared" si="5"/>
        <v>2831.7300000000014</v>
      </c>
      <c r="E19" s="197">
        <f t="shared" si="5"/>
        <v>2404.760000000002</v>
      </c>
      <c r="F19" s="197">
        <f t="shared" si="5"/>
        <v>2864.7099999999991</v>
      </c>
      <c r="G19" s="197">
        <f t="shared" si="5"/>
        <v>2529.2000000000035</v>
      </c>
      <c r="H19" s="197">
        <f t="shared" si="5"/>
        <v>2867.2500000000014</v>
      </c>
      <c r="I19" s="197">
        <f t="shared" si="5"/>
        <v>3328.8199999999988</v>
      </c>
      <c r="J19" s="197">
        <f t="shared" si="5"/>
        <v>4434.8700000000008</v>
      </c>
      <c r="K19" s="197">
        <f t="shared" si="5"/>
        <v>4658.4600000000091</v>
      </c>
      <c r="L19" s="198">
        <f t="shared" si="5"/>
        <v>4717.820000000007</v>
      </c>
      <c r="M19" s="184"/>
    </row>
    <row r="20" spans="1:13" s="184" customFormat="1" ht="13" x14ac:dyDescent="0.3">
      <c r="A20" s="192" t="s">
        <v>96</v>
      </c>
      <c r="B20" s="193"/>
      <c r="C20" s="194">
        <f>C19/B19-1</f>
        <v>0.26319596108574195</v>
      </c>
      <c r="D20" s="194">
        <f t="shared" ref="D20" si="6">D19/C19-1</f>
        <v>0.58955575763699497</v>
      </c>
      <c r="E20" s="194">
        <f t="shared" ref="E20" si="7">E19/D19-1</f>
        <v>-0.15078061820865662</v>
      </c>
      <c r="F20" s="194">
        <f t="shared" ref="F20" si="8">F19/E19-1</f>
        <v>0.19126648813187042</v>
      </c>
      <c r="G20" s="194">
        <f t="shared" ref="G20" si="9">G19/F19-1</f>
        <v>-0.11711831215026858</v>
      </c>
      <c r="H20" s="194">
        <f t="shared" ref="H20" si="10">H19/G19-1</f>
        <v>0.13365886446307029</v>
      </c>
      <c r="I20" s="194">
        <f t="shared" ref="I20" si="11">I19/H19-1</f>
        <v>0.16098003313279174</v>
      </c>
      <c r="J20" s="194">
        <f t="shared" ref="J20" si="12">J19/I19-1</f>
        <v>0.33226488665653364</v>
      </c>
      <c r="K20" s="194">
        <f t="shared" ref="K20" si="13">K19/J19-1</f>
        <v>5.0416359442330583E-2</v>
      </c>
      <c r="L20" s="195"/>
    </row>
    <row r="21" spans="1:13" ht="13" x14ac:dyDescent="0.3">
      <c r="A21" s="192" t="s">
        <v>104</v>
      </c>
      <c r="B21" s="194">
        <f t="shared" ref="B21:L21" si="14">B19/B4</f>
        <v>0.13649896436245379</v>
      </c>
      <c r="C21" s="194">
        <f t="shared" si="14"/>
        <v>0.14460935521368409</v>
      </c>
      <c r="D21" s="194">
        <f t="shared" si="14"/>
        <v>0.17969905154021601</v>
      </c>
      <c r="E21" s="194">
        <f t="shared" si="14"/>
        <v>0.12396992875012963</v>
      </c>
      <c r="F21" s="194">
        <f t="shared" si="14"/>
        <v>0.12149397155014431</v>
      </c>
      <c r="G21" s="194">
        <f t="shared" si="14"/>
        <v>0.1064114900175068</v>
      </c>
      <c r="H21" s="194">
        <f t="shared" si="14"/>
        <v>0.11344002703016012</v>
      </c>
      <c r="I21" s="194">
        <f t="shared" si="14"/>
        <v>0.12067369214762931</v>
      </c>
      <c r="J21" s="194">
        <f t="shared" si="14"/>
        <v>0.1559229609003365</v>
      </c>
      <c r="K21" s="194">
        <f t="shared" si="14"/>
        <v>0.16359830152705968</v>
      </c>
      <c r="L21" s="195">
        <f t="shared" si="14"/>
        <v>0.16241652511768612</v>
      </c>
    </row>
    <row r="22" spans="1:13" x14ac:dyDescent="0.25">
      <c r="A22" s="196" t="s">
        <v>11</v>
      </c>
      <c r="B22" s="197">
        <f>'Data Sheet'!B29</f>
        <v>442.4</v>
      </c>
      <c r="C22" s="197">
        <f>'Data Sheet'!C29</f>
        <v>499.7</v>
      </c>
      <c r="D22" s="197">
        <f>'Data Sheet'!D29</f>
        <v>599.9</v>
      </c>
      <c r="E22" s="197">
        <f>'Data Sheet'!E29</f>
        <v>476.86</v>
      </c>
      <c r="F22" s="197">
        <f>'Data Sheet'!F29</f>
        <v>486.58</v>
      </c>
      <c r="G22" s="197">
        <f>'Data Sheet'!G29</f>
        <v>411.04</v>
      </c>
      <c r="H22" s="197">
        <f>'Data Sheet'!H29</f>
        <v>758.17</v>
      </c>
      <c r="I22" s="197">
        <f>'Data Sheet'!I29</f>
        <v>943.18</v>
      </c>
      <c r="J22" s="197">
        <f>'Data Sheet'!J29</f>
        <v>1274.68</v>
      </c>
      <c r="K22" s="197">
        <f>'Data Sheet'!K29</f>
        <v>1281.3399999999999</v>
      </c>
      <c r="L22" s="198">
        <f>SUM(Quarters!H14:K14)</f>
        <v>1309.76</v>
      </c>
    </row>
    <row r="23" spans="1:13" s="184" customFormat="1" ht="13" x14ac:dyDescent="0.3">
      <c r="A23" s="189" t="s">
        <v>12</v>
      </c>
      <c r="B23" s="190">
        <f>B19-B22</f>
        <v>967.88</v>
      </c>
      <c r="C23" s="190">
        <f t="shared" ref="C23:L23" si="15">C19-C22</f>
        <v>1281.7600000000002</v>
      </c>
      <c r="D23" s="190">
        <f t="shared" si="15"/>
        <v>2231.8300000000013</v>
      </c>
      <c r="E23" s="190">
        <f t="shared" si="15"/>
        <v>1927.9000000000019</v>
      </c>
      <c r="F23" s="190">
        <f t="shared" si="15"/>
        <v>2378.1299999999992</v>
      </c>
      <c r="G23" s="190">
        <f t="shared" si="15"/>
        <v>2118.1600000000035</v>
      </c>
      <c r="H23" s="190">
        <f t="shared" si="15"/>
        <v>2109.0800000000013</v>
      </c>
      <c r="I23" s="190">
        <f t="shared" si="15"/>
        <v>2385.639999999999</v>
      </c>
      <c r="J23" s="190">
        <f t="shared" si="15"/>
        <v>3160.1900000000005</v>
      </c>
      <c r="K23" s="190">
        <f t="shared" si="15"/>
        <v>3377.120000000009</v>
      </c>
      <c r="L23" s="191">
        <f t="shared" si="15"/>
        <v>3408.0600000000068</v>
      </c>
    </row>
    <row r="24" spans="1:13" s="184" customFormat="1" ht="13" x14ac:dyDescent="0.3">
      <c r="A24" s="192" t="s">
        <v>96</v>
      </c>
      <c r="B24" s="193"/>
      <c r="C24" s="194">
        <f>C23/B23-1</f>
        <v>0.32429640038021268</v>
      </c>
      <c r="D24" s="194">
        <f t="shared" ref="D24" si="16">D23/C23-1</f>
        <v>0.74122300586693357</v>
      </c>
      <c r="E24" s="194">
        <f t="shared" ref="E24" si="17">E23/D23-1</f>
        <v>-0.13617972695052905</v>
      </c>
      <c r="F24" s="194">
        <f t="shared" ref="F24" si="18">F23/E23-1</f>
        <v>0.23353389698635652</v>
      </c>
      <c r="G24" s="194">
        <f t="shared" ref="G24" si="19">G23/F23-1</f>
        <v>-0.10931698435325055</v>
      </c>
      <c r="H24" s="194">
        <f t="shared" ref="H24" si="20">H23/G23-1</f>
        <v>-4.2867394342269716E-3</v>
      </c>
      <c r="I24" s="194">
        <f t="shared" ref="I24" si="21">I23/H23-1</f>
        <v>0.13112826445653902</v>
      </c>
      <c r="J24" s="194">
        <f t="shared" ref="J24" si="22">J23/I23-1</f>
        <v>0.32467178618735515</v>
      </c>
      <c r="K24" s="194">
        <f t="shared" ref="K24" si="23">K23/J23-1</f>
        <v>6.8644606811618436E-2</v>
      </c>
      <c r="L24" s="195"/>
    </row>
    <row r="25" spans="1:13" ht="13" x14ac:dyDescent="0.3">
      <c r="A25" s="192" t="s">
        <v>95</v>
      </c>
      <c r="B25" s="194">
        <f t="shared" ref="B25:L25" si="24">B23/B4</f>
        <v>9.3679707311407512E-2</v>
      </c>
      <c r="C25" s="194">
        <f t="shared" si="24"/>
        <v>0.10404639292416992</v>
      </c>
      <c r="D25" s="194">
        <f t="shared" si="24"/>
        <v>0.14162993442136093</v>
      </c>
      <c r="E25" s="194">
        <f t="shared" si="24"/>
        <v>9.9386893343774402E-2</v>
      </c>
      <c r="F25" s="194">
        <f t="shared" si="24"/>
        <v>0.10085783851159269</v>
      </c>
      <c r="G25" s="194">
        <f t="shared" si="24"/>
        <v>8.9117729596505713E-2</v>
      </c>
      <c r="H25" s="194">
        <f t="shared" si="24"/>
        <v>8.3443750007418313E-2</v>
      </c>
      <c r="I25" s="194">
        <f t="shared" si="24"/>
        <v>8.6482293105385799E-2</v>
      </c>
      <c r="J25" s="194">
        <f t="shared" si="24"/>
        <v>0.11110724368642923</v>
      </c>
      <c r="K25" s="194">
        <f t="shared" si="24"/>
        <v>0.11859951487252529</v>
      </c>
      <c r="L25" s="195">
        <f t="shared" si="24"/>
        <v>0.11732649032658762</v>
      </c>
      <c r="M25" s="184"/>
    </row>
    <row r="26" spans="1:13" x14ac:dyDescent="0.25">
      <c r="A26" s="196" t="s">
        <v>53</v>
      </c>
      <c r="B26" s="206">
        <f>IF('Data Sheet'!B93&gt;0,B23/'Data Sheet'!B93,0)</f>
        <v>48.469733959311426</v>
      </c>
      <c r="C26" s="206">
        <f>IF('Data Sheet'!C93&gt;0,C23/'Data Sheet'!C93,0)</f>
        <v>64.188294209702676</v>
      </c>
      <c r="D26" s="206">
        <f>IF('Data Sheet'!D93&gt;0,D23/'Data Sheet'!D93,0)</f>
        <v>111.76613458528958</v>
      </c>
      <c r="E26" s="206">
        <f>IF('Data Sheet'!E93&gt;0,E23/'Data Sheet'!E93,0)</f>
        <v>96.545852895148769</v>
      </c>
      <c r="F26" s="206">
        <f>IF('Data Sheet'!F93&gt;0,F23/'Data Sheet'!F93,0)</f>
        <v>119.09258215962437</v>
      </c>
      <c r="G26" s="206">
        <f>IF('Data Sheet'!G93&gt;0,G23/'Data Sheet'!G93,0)</f>
        <v>106.0737402190925</v>
      </c>
      <c r="H26" s="206">
        <f>IF('Data Sheet'!H93&gt;0,H23/'Data Sheet'!H93,0)</f>
        <v>105.61902973395938</v>
      </c>
      <c r="I26" s="206">
        <f>IF('Data Sheet'!I93&gt;0,I23/'Data Sheet'!I93,0)</f>
        <v>119.46866979655707</v>
      </c>
      <c r="J26" s="206">
        <f>IF('Data Sheet'!J93&gt;0,J23/'Data Sheet'!J93,0)</f>
        <v>158.25472519196848</v>
      </c>
      <c r="K26" s="206">
        <f>IF('Data Sheet'!K93&gt;0,K23/'Data Sheet'!K93,0)</f>
        <v>169.11234217939941</v>
      </c>
      <c r="L26" s="207">
        <f>IF('Data Sheet'!$B6&gt;0,'Profit &amp; Loss'!L23/'Data Sheet'!$B6,0)</f>
        <v>170.66167727244883</v>
      </c>
    </row>
    <row r="27" spans="1:13" s="184" customFormat="1" ht="13" x14ac:dyDescent="0.3">
      <c r="A27" s="192" t="s">
        <v>96</v>
      </c>
      <c r="B27" s="193"/>
      <c r="C27" s="194">
        <f>C26/B26-1</f>
        <v>0.32429640038021268</v>
      </c>
      <c r="D27" s="194">
        <f t="shared" ref="D27" si="25">D26/C26-1</f>
        <v>0.74122300586693357</v>
      </c>
      <c r="E27" s="194">
        <f t="shared" ref="E27" si="26">E26/D26-1</f>
        <v>-0.13617972695052893</v>
      </c>
      <c r="F27" s="194">
        <f t="shared" ref="F27" si="27">F26/E26-1</f>
        <v>0.23353389698635652</v>
      </c>
      <c r="G27" s="194">
        <f t="shared" ref="G27" si="28">G26/F26-1</f>
        <v>-0.10931698435325066</v>
      </c>
      <c r="H27" s="194">
        <f t="shared" ref="H27" si="29">H26/G26-1</f>
        <v>-4.2867394342268605E-3</v>
      </c>
      <c r="I27" s="194">
        <f t="shared" ref="I27" si="30">I26/H26-1</f>
        <v>0.13112826445653902</v>
      </c>
      <c r="J27" s="194">
        <f t="shared" ref="J27" si="31">J26/I26-1</f>
        <v>0.32465461833181952</v>
      </c>
      <c r="K27" s="194">
        <f t="shared" ref="K27" si="32">K26/J26-1</f>
        <v>6.8608485302794397E-2</v>
      </c>
      <c r="L27" s="195"/>
    </row>
    <row r="28" spans="1:13" ht="13" x14ac:dyDescent="0.3">
      <c r="A28" s="208" t="s">
        <v>13</v>
      </c>
      <c r="B28" s="209">
        <f t="shared" ref="B28:K28" si="33">IF(B29&gt;0,B29/B26,"")</f>
        <v>15.72300769465223</v>
      </c>
      <c r="C28" s="209">
        <f t="shared" si="33"/>
        <v>17.043450265650353</v>
      </c>
      <c r="D28" s="209">
        <f t="shared" si="33"/>
        <v>17.370199007092825</v>
      </c>
      <c r="E28" s="209">
        <f t="shared" si="33"/>
        <v>17.824380316665781</v>
      </c>
      <c r="F28" s="209">
        <f t="shared" si="33"/>
        <v>17.694468973521221</v>
      </c>
      <c r="G28" s="209">
        <f t="shared" si="33"/>
        <v>14.3027859380311</v>
      </c>
      <c r="H28" s="209">
        <f t="shared" si="33"/>
        <v>21.006725829508589</v>
      </c>
      <c r="I28" s="209">
        <f t="shared" si="33"/>
        <v>20.648760919501694</v>
      </c>
      <c r="J28" s="209">
        <f t="shared" si="33"/>
        <v>18.845756399262068</v>
      </c>
      <c r="K28" s="209">
        <f t="shared" si="33"/>
        <v>19.108717662794284</v>
      </c>
      <c r="L28" s="210">
        <f t="shared" ref="L28" si="34">IF(L26&gt;0,L29/L26,0)</f>
        <v>22.962976003943545</v>
      </c>
      <c r="M28" s="184"/>
    </row>
    <row r="29" spans="1:13" s="184" customFormat="1" ht="13" x14ac:dyDescent="0.3">
      <c r="A29" s="189" t="s">
        <v>54</v>
      </c>
      <c r="B29" s="190">
        <f>'Data Sheet'!B90</f>
        <v>762.09</v>
      </c>
      <c r="C29" s="190">
        <f>'Data Sheet'!C90</f>
        <v>1093.99</v>
      </c>
      <c r="D29" s="190">
        <f>'Data Sheet'!D90</f>
        <v>1941.4</v>
      </c>
      <c r="E29" s="190">
        <f>'Data Sheet'!E90</f>
        <v>1720.87</v>
      </c>
      <c r="F29" s="190">
        <f>'Data Sheet'!F90</f>
        <v>2107.2800000000002</v>
      </c>
      <c r="G29" s="190">
        <f>'Data Sheet'!G90</f>
        <v>1517.15</v>
      </c>
      <c r="H29" s="190">
        <f>'Data Sheet'!H90</f>
        <v>2218.71</v>
      </c>
      <c r="I29" s="190">
        <f>'Data Sheet'!I90</f>
        <v>2466.88</v>
      </c>
      <c r="J29" s="190">
        <f>'Data Sheet'!J90</f>
        <v>2982.43</v>
      </c>
      <c r="K29" s="190">
        <f>'Data Sheet'!K90</f>
        <v>3231.52</v>
      </c>
      <c r="L29" s="191">
        <f>'Data Sheet'!B8</f>
        <v>3918.9</v>
      </c>
    </row>
    <row r="30" spans="1:13" x14ac:dyDescent="0.25">
      <c r="A30" s="196" t="s">
        <v>14</v>
      </c>
      <c r="B30" s="211">
        <f>IF('Data Sheet'!B30&gt;0, 'Data Sheet'!B31/'Data Sheet'!B30, 0)</f>
        <v>0.39200107451336946</v>
      </c>
      <c r="C30" s="211">
        <f>IF('Data Sheet'!C30&gt;0, 'Data Sheet'!C31/'Data Sheet'!C30, 0)</f>
        <v>0.31158719261016105</v>
      </c>
      <c r="D30" s="211">
        <f>IF('Data Sheet'!D30&gt;0, 'Data Sheet'!D31/'Data Sheet'!D30, 0)</f>
        <v>0.98419682502699579</v>
      </c>
      <c r="E30" s="211">
        <f>IF('Data Sheet'!E30&gt;0, 'Data Sheet'!E31/'Data Sheet'!E30, 0)</f>
        <v>1.0875667825094661</v>
      </c>
      <c r="F30" s="211">
        <f>IF('Data Sheet'!F30&gt;0, 'Data Sheet'!F31/'Data Sheet'!F30, 0)</f>
        <v>0.37785571015882224</v>
      </c>
      <c r="G30" s="211">
        <f>IF('Data Sheet'!G30&gt;0, 'Data Sheet'!G31/'Data Sheet'!G30, 0)</f>
        <v>0.56564659893492475</v>
      </c>
      <c r="H30" s="211">
        <f>IF('Data Sheet'!H30&gt;0, 'Data Sheet'!H31/'Data Sheet'!H30, 0)</f>
        <v>0.61596999639653316</v>
      </c>
      <c r="I30" s="211">
        <f>IF('Data Sheet'!I30&gt;0, 'Data Sheet'!I31/'Data Sheet'!I30, 0)</f>
        <v>0.5022216260626079</v>
      </c>
      <c r="J30" s="211">
        <f>IF('Data Sheet'!J30&gt;0, 'Data Sheet'!J31/'Data Sheet'!J30, 0)</f>
        <v>0.18956455149848583</v>
      </c>
      <c r="K30" s="211">
        <f>IF('Data Sheet'!K30&gt;0, 'Data Sheet'!K31/'Data Sheet'!K30, 0)</f>
        <v>0.18921743971194391</v>
      </c>
      <c r="L30" s="212"/>
    </row>
    <row r="31" spans="1:13" x14ac:dyDescent="0.25">
      <c r="A31" s="196" t="s">
        <v>200</v>
      </c>
      <c r="B31" s="197">
        <f>B29*'Data Sheet'!B93</f>
        <v>15217.9846875</v>
      </c>
      <c r="C31" s="197">
        <f>C29*'Data Sheet'!C93</f>
        <v>21845.6128125</v>
      </c>
      <c r="D31" s="197">
        <f>D29*'Data Sheet'!D93</f>
        <v>38767.331250000003</v>
      </c>
      <c r="E31" s="197">
        <f>E29*'Data Sheet'!E93</f>
        <v>34363.622812499998</v>
      </c>
      <c r="F31" s="197">
        <f>F29*'Data Sheet'!F93</f>
        <v>42079.747500000005</v>
      </c>
      <c r="G31" s="197">
        <f>G29*'Data Sheet'!G93</f>
        <v>30295.589062500003</v>
      </c>
      <c r="H31" s="197">
        <f>H29*'Data Sheet'!H93</f>
        <v>44304.865312499998</v>
      </c>
      <c r="I31" s="197">
        <f>I29*'Data Sheet'!I93</f>
        <v>49260.51</v>
      </c>
      <c r="J31" s="197">
        <f>J29*'Data Sheet'!J93</f>
        <v>59556.170915383998</v>
      </c>
      <c r="K31" s="197">
        <f>K29*'Data Sheet'!K93</f>
        <v>64532.432593375997</v>
      </c>
      <c r="L31" s="198"/>
    </row>
    <row r="32" spans="1:13" x14ac:dyDescent="0.25">
      <c r="A32" s="196" t="s">
        <v>201</v>
      </c>
      <c r="B32" s="197">
        <f>B23*(1-B30)</f>
        <v>588.46999999999991</v>
      </c>
      <c r="C32" s="197">
        <f t="shared" ref="C32:K32" si="35">C23*(1-C30)</f>
        <v>882.38000000000022</v>
      </c>
      <c r="D32" s="197">
        <f t="shared" si="35"/>
        <v>35.270000000000003</v>
      </c>
      <c r="E32" s="197">
        <f t="shared" si="35"/>
        <v>-168.81999999999994</v>
      </c>
      <c r="F32" s="197">
        <f t="shared" si="35"/>
        <v>1479.5399999999995</v>
      </c>
      <c r="G32" s="197">
        <f t="shared" si="35"/>
        <v>920.03000000000134</v>
      </c>
      <c r="H32" s="197">
        <f t="shared" si="35"/>
        <v>809.95000000000039</v>
      </c>
      <c r="I32" s="197">
        <f t="shared" si="35"/>
        <v>1187.5199999999995</v>
      </c>
      <c r="J32" s="197">
        <f t="shared" si="35"/>
        <v>2561.1300000000006</v>
      </c>
      <c r="K32" s="197">
        <f t="shared" si="35"/>
        <v>2738.1100000000074</v>
      </c>
      <c r="L32" s="212"/>
    </row>
    <row r="33" spans="1:12" ht="13" thickBot="1" x14ac:dyDescent="0.3">
      <c r="A33" s="213" t="s">
        <v>202</v>
      </c>
      <c r="B33" s="214">
        <f>(K31-B31)/SUM(B32:K32)</f>
        <v>4.4694875014162179</v>
      </c>
      <c r="C33" s="215"/>
      <c r="D33" s="215"/>
      <c r="E33" s="215"/>
      <c r="F33" s="215"/>
      <c r="G33" s="215"/>
      <c r="H33" s="215"/>
      <c r="I33" s="215"/>
      <c r="J33" s="215"/>
      <c r="K33" s="215"/>
      <c r="L33" s="216"/>
    </row>
    <row r="34" spans="1:12" x14ac:dyDescent="0.25">
      <c r="B34" s="217"/>
      <c r="C34" s="217"/>
      <c r="D34" s="217"/>
      <c r="E34" s="217"/>
      <c r="F34" s="217"/>
      <c r="G34" s="217"/>
      <c r="H34" s="217"/>
      <c r="I34" s="217"/>
      <c r="J34" s="217"/>
      <c r="K34" s="217"/>
      <c r="L34" s="217"/>
    </row>
    <row r="35" spans="1:12" x14ac:dyDescent="0.25">
      <c r="B35" s="218"/>
      <c r="C35" s="218"/>
      <c r="D35" s="218"/>
      <c r="E35" s="218"/>
      <c r="F35" s="218"/>
      <c r="G35" s="218"/>
      <c r="H35" s="218"/>
      <c r="I35" s="218"/>
      <c r="J35" s="218"/>
      <c r="K35" s="218"/>
      <c r="L35" s="218"/>
    </row>
    <row r="36" spans="1:12" s="188" customFormat="1" ht="13" x14ac:dyDescent="0.3">
      <c r="A36" s="219" t="s">
        <v>16</v>
      </c>
      <c r="B36" s="219" t="s">
        <v>60</v>
      </c>
      <c r="C36" s="219" t="s">
        <v>61</v>
      </c>
      <c r="D36" s="219" t="s">
        <v>62</v>
      </c>
      <c r="E36" s="219" t="s">
        <v>63</v>
      </c>
    </row>
    <row r="37" spans="1:12" s="184" customFormat="1" ht="13" x14ac:dyDescent="0.3">
      <c r="A37" s="220" t="s">
        <v>17</v>
      </c>
      <c r="B37" s="221">
        <f>(K4/B4)^(1/9)-1</f>
        <v>0.11923386764318744</v>
      </c>
      <c r="C37" s="221">
        <f>(K4/D4)^(1/7)-1</f>
        <v>8.819873724295535E-2</v>
      </c>
      <c r="D37" s="221">
        <f>(K4/F4)^(1/5)-1</f>
        <v>3.84546349016337E-2</v>
      </c>
      <c r="E37" s="221">
        <f>(K4/H4)^(1/3)-1</f>
        <v>4.0530416829468896E-2</v>
      </c>
    </row>
    <row r="38" spans="1:12" s="184" customFormat="1" ht="13" x14ac:dyDescent="0.3">
      <c r="A38" s="220" t="s">
        <v>199</v>
      </c>
      <c r="B38" s="221">
        <f>(K19/B19)^(1/9)-1</f>
        <v>0.14198308000928672</v>
      </c>
      <c r="C38" s="221">
        <f>(K19/D19)^(1/7)-1</f>
        <v>7.3703481387023873E-2</v>
      </c>
      <c r="D38" s="221">
        <f>(K19/F19)^(1/5)-1</f>
        <v>0.10212877498041228</v>
      </c>
      <c r="E38" s="221">
        <f>(K19/H19)^(1/3)-1</f>
        <v>0.17559826499838516</v>
      </c>
    </row>
    <row r="39" spans="1:12" ht="13" x14ac:dyDescent="0.3">
      <c r="A39" s="220" t="s">
        <v>104</v>
      </c>
      <c r="B39" s="221">
        <f>AVERAGE(B21:K21)</f>
        <v>0.13663177430393203</v>
      </c>
      <c r="C39" s="221">
        <f>AVERAGE(E21:K21)</f>
        <v>0.12935862456042377</v>
      </c>
      <c r="D39" s="221">
        <f>AVERAGE(G21:K21)</f>
        <v>0.13200929432453848</v>
      </c>
      <c r="E39" s="221">
        <f>AVERAGE(I21:K21)</f>
        <v>0.1467316515250085</v>
      </c>
      <c r="F39" s="184"/>
    </row>
    <row r="40" spans="1:12" ht="13" x14ac:dyDescent="0.3">
      <c r="A40" s="220" t="s">
        <v>18</v>
      </c>
      <c r="B40" s="209">
        <f>AVERAGE(B28:K28)</f>
        <v>17.956825300668012</v>
      </c>
      <c r="C40" s="209">
        <f>AVERAGE(E28:K28)</f>
        <v>18.490228005612106</v>
      </c>
      <c r="D40" s="209">
        <f>AVERAGE(G28:K28)</f>
        <v>18.782549349819551</v>
      </c>
      <c r="E40" s="209">
        <f>AVERAGE(I28:K28)</f>
        <v>19.53441166051935</v>
      </c>
      <c r="F40" s="184"/>
    </row>
    <row r="41" spans="1:12" x14ac:dyDescent="0.25">
      <c r="A41" s="341" t="s">
        <v>276</v>
      </c>
      <c r="B41" s="341"/>
      <c r="C41" s="341"/>
      <c r="D41" s="341"/>
      <c r="E41" s="341"/>
    </row>
    <row r="42" spans="1:12" x14ac:dyDescent="0.25">
      <c r="A42" s="341"/>
      <c r="B42" s="341"/>
      <c r="C42" s="341"/>
      <c r="D42" s="341"/>
      <c r="E42" s="341"/>
    </row>
    <row r="43" spans="1:12" x14ac:dyDescent="0.25">
      <c r="A43" s="341"/>
      <c r="B43" s="341"/>
      <c r="C43" s="341"/>
      <c r="D43" s="341"/>
      <c r="E43" s="341"/>
    </row>
    <row r="44" spans="1:12" x14ac:dyDescent="0.25">
      <c r="A44" s="341"/>
      <c r="B44" s="341"/>
      <c r="C44" s="341"/>
      <c r="D44" s="341"/>
      <c r="E44" s="341"/>
    </row>
  </sheetData>
  <mergeCells count="4">
    <mergeCell ref="M6:O11"/>
    <mergeCell ref="A41:E44"/>
    <mergeCell ref="A1:L1"/>
    <mergeCell ref="A2:L2"/>
  </mergeCells>
  <printOptions gridLines="1"/>
  <pageMargins left="0.7" right="0.7" top="0.75" bottom="0.75" header="0.3" footer="0.3"/>
  <pageSetup paperSize="9" orientation="landscape" horizontalDpi="300" verticalDpi="300" r:id="rId1"/>
  <legacy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94601536-7D7C-4154-B09C-6C817ED3C9E0}">
          <x14:colorSeries rgb="FFC00000"/>
          <x14:colorNegative rgb="FFD00000"/>
          <x14:colorAxis rgb="FF000000"/>
          <x14:colorMarkers rgb="FFD00000"/>
          <x14:colorFirst rgb="FFD00000"/>
          <x14:colorLast rgb="FFD00000"/>
          <x14:colorHigh rgb="FFD00000"/>
          <x14:colorLow rgb="FFD00000"/>
          <x14:sparklines>
            <x14:sparkline>
              <xm:f>'Profit &amp; Loss'!G4:L4</xm:f>
              <xm:sqref>M4</xm:sqref>
            </x14:sparkline>
          </x14:sparklines>
        </x14:sparklineGroup>
        <x14:sparklineGroup type="column" displayEmptyCellsAs="gap" xr2:uid="{4E4C0FBF-DECA-4A6B-A41B-B74A2693260A}">
          <x14:colorSeries rgb="FFC00000"/>
          <x14:colorNegative rgb="FFD00000"/>
          <x14:colorAxis rgb="FF000000"/>
          <x14:colorMarkers rgb="FFD00000"/>
          <x14:colorFirst rgb="FFD00000"/>
          <x14:colorLast rgb="FFD00000"/>
          <x14:colorHigh rgb="FFD00000"/>
          <x14:colorLow rgb="FFD00000"/>
          <x14:sparklines>
            <x14:sparkline>
              <xm:f>'Profit &amp; Loss'!G12:L12</xm:f>
              <xm:sqref>M12</xm:sqref>
            </x14:sparkline>
          </x14:sparklines>
        </x14:sparklineGroup>
        <x14:sparklineGroup type="column" displayEmptyCellsAs="gap" xr2:uid="{B7A36FED-F0D9-4A2F-ABC9-662E6834AD5F}">
          <x14:colorSeries rgb="FFC00000"/>
          <x14:colorNegative rgb="FFD00000"/>
          <x14:colorAxis rgb="FF000000"/>
          <x14:colorMarkers rgb="FFD00000"/>
          <x14:colorFirst rgb="FFD00000"/>
          <x14:colorLast rgb="FFD00000"/>
          <x14:colorHigh rgb="FFD00000"/>
          <x14:colorLow rgb="FFD00000"/>
          <x14:sparklines>
            <x14:sparkline>
              <xm:f>'Profit &amp; Loss'!G19:L19</xm:f>
              <xm:sqref>M19</xm:sqref>
            </x14:sparkline>
          </x14:sparklines>
        </x14:sparklineGroup>
        <x14:sparklineGroup type="column" displayEmptyCellsAs="gap" xr2:uid="{5B52F889-DFE6-4521-AAE9-453782F932D5}">
          <x14:colorSeries rgb="FFC00000"/>
          <x14:colorNegative rgb="FFD00000"/>
          <x14:colorAxis rgb="FF000000"/>
          <x14:colorMarkers rgb="FFD00000"/>
          <x14:colorFirst rgb="FFD00000"/>
          <x14:colorLast rgb="FFD00000"/>
          <x14:colorHigh rgb="FFD00000"/>
          <x14:colorLow rgb="FFD00000"/>
          <x14:sparklines>
            <x14:sparkline>
              <xm:f>'Profit &amp; Loss'!G23:L23</xm:f>
              <xm:sqref>M23</xm:sqref>
            </x14:sparkline>
          </x14:sparklines>
        </x14:sparklineGroup>
        <x14:sparklineGroup type="column" displayEmptyCellsAs="gap" xr2:uid="{64E9220B-C344-496E-BFB5-655119B3D7B3}">
          <x14:colorSeries rgb="FFC00000"/>
          <x14:colorNegative rgb="FFD00000"/>
          <x14:colorAxis rgb="FF000000"/>
          <x14:colorMarkers rgb="FFD00000"/>
          <x14:colorFirst rgb="FFD00000"/>
          <x14:colorLast rgb="FFD00000"/>
          <x14:colorHigh rgb="FFD00000"/>
          <x14:colorLow rgb="FFD00000"/>
          <x14:sparklines>
            <x14:sparkline>
              <xm:f>'Profit &amp; Loss'!B37:E37</xm:f>
              <xm:sqref>F37</xm:sqref>
            </x14:sparkline>
          </x14:sparklines>
        </x14:sparklineGroup>
        <x14:sparklineGroup type="column" displayEmptyCellsAs="gap" xr2:uid="{22DC0198-1B36-4056-95B7-1D2DD1F16073}">
          <x14:colorSeries rgb="FFC00000"/>
          <x14:colorNegative rgb="FFD00000"/>
          <x14:colorAxis rgb="FF000000"/>
          <x14:colorMarkers rgb="FFD00000"/>
          <x14:colorFirst rgb="FFD00000"/>
          <x14:colorLast rgb="FFD00000"/>
          <x14:colorHigh rgb="FFD00000"/>
          <x14:colorLow rgb="FFD00000"/>
          <x14:sparklines>
            <x14:sparkline>
              <xm:f>'Profit &amp; Loss'!B38:E38</xm:f>
              <xm:sqref>F38</xm:sqref>
            </x14:sparkline>
            <x14:sparkline>
              <xm:f>'Profit &amp; Loss'!B39:E39</xm:f>
              <xm:sqref>F39</xm:sqref>
            </x14:sparkline>
            <x14:sparkline>
              <xm:f>'Profit &amp; Loss'!B40:E40</xm:f>
              <xm:sqref>F40</xm:sqref>
            </x14:sparkline>
          </x14:sparklines>
        </x14:sparklineGroup>
        <x14:sparklineGroup type="column" displayEmptyCellsAs="gap" xr2:uid="{68CFE33C-4EFA-44F6-908D-C598ED18BC72}">
          <x14:colorSeries rgb="FFC00000"/>
          <x14:colorNegative rgb="FFD00000"/>
          <x14:colorAxis rgb="FF000000"/>
          <x14:colorMarkers rgb="FFD00000"/>
          <x14:colorFirst rgb="FFD00000"/>
          <x14:colorLast rgb="FFD00000"/>
          <x14:colorHigh rgb="FFD00000"/>
          <x14:colorLow rgb="FFD00000"/>
          <x14:sparklines>
            <x14:sparkline>
              <xm:f>'Profit &amp; Loss'!G25:L25</xm:f>
              <xm:sqref>M25</xm:sqref>
            </x14:sparkline>
          </x14:sparklines>
        </x14:sparklineGroup>
        <x14:sparklineGroup type="column" displayEmptyCellsAs="gap" xr2:uid="{6E7D59D1-1D98-4F28-9EF0-5E0AA5D86DF4}">
          <x14:colorSeries rgb="FFC00000"/>
          <x14:colorNegative rgb="FFD00000"/>
          <x14:colorAxis rgb="FF000000"/>
          <x14:colorMarkers rgb="FFD00000"/>
          <x14:colorFirst rgb="FFD00000"/>
          <x14:colorLast rgb="FFD00000"/>
          <x14:colorHigh rgb="FFD00000"/>
          <x14:colorLow rgb="FFD00000"/>
          <x14:sparklines>
            <x14:sparkline>
              <xm:f>'Profit &amp; Loss'!G28:L28</xm:f>
              <xm:sqref>M28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Q35"/>
  <sheetViews>
    <sheetView workbookViewId="0">
      <selection activeCell="M11" sqref="M11"/>
    </sheetView>
  </sheetViews>
  <sheetFormatPr defaultRowHeight="12.5" x14ac:dyDescent="0.25"/>
  <cols>
    <col min="1" max="1" width="21.08984375" style="8" bestFit="1" customWidth="1"/>
    <col min="2" max="11" width="6.7265625" style="8" bestFit="1" customWidth="1"/>
    <col min="12" max="16384" width="8.7265625" style="8"/>
  </cols>
  <sheetData>
    <row r="1" spans="1:17" ht="16" thickBot="1" x14ac:dyDescent="0.4">
      <c r="A1" s="345" t="s">
        <v>184</v>
      </c>
      <c r="B1" s="346"/>
      <c r="C1" s="346"/>
      <c r="D1" s="346"/>
      <c r="E1" s="346"/>
      <c r="F1" s="346"/>
      <c r="G1" s="346"/>
      <c r="H1" s="346"/>
      <c r="I1" s="346"/>
      <c r="J1" s="346"/>
      <c r="K1" s="347"/>
    </row>
    <row r="2" spans="1:17" ht="13" x14ac:dyDescent="0.3">
      <c r="A2" s="241" t="s">
        <v>198</v>
      </c>
      <c r="B2" s="139">
        <v>39538</v>
      </c>
      <c r="C2" s="139">
        <v>39903</v>
      </c>
      <c r="D2" s="139">
        <v>40268</v>
      </c>
      <c r="E2" s="139">
        <v>40633</v>
      </c>
      <c r="F2" s="139">
        <v>40999</v>
      </c>
      <c r="G2" s="139">
        <v>41364</v>
      </c>
      <c r="H2" s="139">
        <v>41729</v>
      </c>
      <c r="I2" s="139">
        <v>42094</v>
      </c>
      <c r="J2" s="139">
        <v>42460</v>
      </c>
      <c r="K2" s="242">
        <v>42825</v>
      </c>
      <c r="M2" s="348" t="s">
        <v>295</v>
      </c>
      <c r="N2" s="349"/>
      <c r="O2" s="349"/>
      <c r="P2" s="349"/>
      <c r="Q2" s="350"/>
    </row>
    <row r="3" spans="1:17" x14ac:dyDescent="0.25">
      <c r="A3" s="243" t="s">
        <v>4</v>
      </c>
      <c r="B3" s="141">
        <v>1</v>
      </c>
      <c r="C3" s="141">
        <v>1</v>
      </c>
      <c r="D3" s="141">
        <v>1</v>
      </c>
      <c r="E3" s="141">
        <v>1</v>
      </c>
      <c r="F3" s="141">
        <v>1</v>
      </c>
      <c r="G3" s="141">
        <v>1</v>
      </c>
      <c r="H3" s="141">
        <v>1</v>
      </c>
      <c r="I3" s="141">
        <v>1</v>
      </c>
      <c r="J3" s="141">
        <v>1</v>
      </c>
      <c r="K3" s="250">
        <v>1</v>
      </c>
      <c r="M3" s="351"/>
      <c r="N3" s="352"/>
      <c r="O3" s="352"/>
      <c r="P3" s="352"/>
      <c r="Q3" s="353"/>
    </row>
    <row r="4" spans="1:17" x14ac:dyDescent="0.25">
      <c r="A4" s="243" t="s">
        <v>74</v>
      </c>
      <c r="B4" s="62">
        <f>'Data Sheet'!B18/'Data Sheet'!B$17</f>
        <v>0.71544551772198461</v>
      </c>
      <c r="C4" s="62">
        <f>'Data Sheet'!C18/'Data Sheet'!C$17</f>
        <v>0.71110761158264546</v>
      </c>
      <c r="D4" s="62">
        <f>'Data Sheet'!D18/'Data Sheet'!D$17</f>
        <v>0.6809422154081245</v>
      </c>
      <c r="E4" s="62">
        <f>'Data Sheet'!E18/'Data Sheet'!E$17</f>
        <v>0.72869476279169998</v>
      </c>
      <c r="F4" s="62">
        <f>'Data Sheet'!F18/'Data Sheet'!F$17</f>
        <v>0.73647686100742904</v>
      </c>
      <c r="G4" s="62">
        <f>'Data Sheet'!G18/'Data Sheet'!G$17</f>
        <v>0.73059490216092071</v>
      </c>
      <c r="H4" s="62">
        <f>'Data Sheet'!H18/'Data Sheet'!H$17</f>
        <v>0.72091755365973409</v>
      </c>
      <c r="I4" s="62">
        <f>'Data Sheet'!I18/'Data Sheet'!I$17</f>
        <v>0.71718922759585724</v>
      </c>
      <c r="J4" s="62">
        <f>'Data Sheet'!J18/'Data Sheet'!J$17</f>
        <v>0.67932088022585757</v>
      </c>
      <c r="K4" s="244">
        <f>'Data Sheet'!K18/'Data Sheet'!K$17</f>
        <v>0.6654485216676107</v>
      </c>
      <c r="M4" s="351"/>
      <c r="N4" s="352"/>
      <c r="O4" s="352"/>
      <c r="P4" s="352"/>
      <c r="Q4" s="353"/>
    </row>
    <row r="5" spans="1:17" x14ac:dyDescent="0.25">
      <c r="A5" s="243" t="s">
        <v>75</v>
      </c>
      <c r="B5" s="62">
        <f>'Data Sheet'!B19/'Data Sheet'!B$17</f>
        <v>-1.3685901778973655E-3</v>
      </c>
      <c r="C5" s="62">
        <f>'Data Sheet'!C19/'Data Sheet'!C$17</f>
        <v>1.4781900005844573E-3</v>
      </c>
      <c r="D5" s="62">
        <f>'Data Sheet'!D19/'Data Sheet'!D$17</f>
        <v>-3.7758167504115323E-4</v>
      </c>
      <c r="E5" s="62">
        <f>'Data Sheet'!E19/'Data Sheet'!E$17</f>
        <v>1.2403385309669639E-3</v>
      </c>
      <c r="F5" s="62">
        <f>'Data Sheet'!F19/'Data Sheet'!F$17</f>
        <v>3.55570182488423E-3</v>
      </c>
      <c r="G5" s="62">
        <f>'Data Sheet'!G19/'Data Sheet'!G$17</f>
        <v>-1.3800003450000862E-3</v>
      </c>
      <c r="H5" s="62">
        <f>'Data Sheet'!H19/'Data Sheet'!H$17</f>
        <v>-3.3075547160942996E-4</v>
      </c>
      <c r="I5" s="62">
        <f>'Data Sheet'!I19/'Data Sheet'!I$17</f>
        <v>1.0864482169851335E-3</v>
      </c>
      <c r="J5" s="62">
        <f>'Data Sheet'!J19/'Data Sheet'!J$17</f>
        <v>4.1768186564566657E-4</v>
      </c>
      <c r="K5" s="244">
        <f>'Data Sheet'!K19/'Data Sheet'!K$17</f>
        <v>-2.218438004719229E-3</v>
      </c>
      <c r="M5" s="351"/>
      <c r="N5" s="352"/>
      <c r="O5" s="352"/>
      <c r="P5" s="352"/>
      <c r="Q5" s="353"/>
    </row>
    <row r="6" spans="1:17" x14ac:dyDescent="0.25">
      <c r="A6" s="243" t="s">
        <v>76</v>
      </c>
      <c r="B6" s="62">
        <f>'Data Sheet'!B20/'Data Sheet'!B$17</f>
        <v>5.4733928260322501E-3</v>
      </c>
      <c r="C6" s="62">
        <f>'Data Sheet'!C20/'Data Sheet'!C$17</f>
        <v>5.9825701835845412E-3</v>
      </c>
      <c r="D6" s="62">
        <f>'Data Sheet'!D20/'Data Sheet'!D$17</f>
        <v>5.1433604642160454E-3</v>
      </c>
      <c r="E6" s="62">
        <f>'Data Sheet'!E20/'Data Sheet'!E$17</f>
        <v>5.1794186286887312E-3</v>
      </c>
      <c r="F6" s="62">
        <f>'Data Sheet'!F20/'Data Sheet'!F$17</f>
        <v>4.7779743271881836E-3</v>
      </c>
      <c r="G6" s="62">
        <f>'Data Sheet'!G20/'Data Sheet'!G$17</f>
        <v>5.4350135538753395E-3</v>
      </c>
      <c r="H6" s="62">
        <f>'Data Sheet'!H20/'Data Sheet'!H$17</f>
        <v>5.4384745367741924E-3</v>
      </c>
      <c r="I6" s="62">
        <f>'Data Sheet'!I20/'Data Sheet'!I$17</f>
        <v>5.744726357879015E-3</v>
      </c>
      <c r="J6" s="62">
        <f>'Data Sheet'!J20/'Data Sheet'!J$17</f>
        <v>4.2938961490997692E-3</v>
      </c>
      <c r="K6" s="244">
        <f>'Data Sheet'!K20/'Data Sheet'!K$17</f>
        <v>3.9550496769270157E-3</v>
      </c>
      <c r="M6" s="351"/>
      <c r="N6" s="352"/>
      <c r="O6" s="352"/>
      <c r="P6" s="352"/>
      <c r="Q6" s="353"/>
    </row>
    <row r="7" spans="1:17" x14ac:dyDescent="0.25">
      <c r="A7" s="243" t="s">
        <v>77</v>
      </c>
      <c r="B7" s="62">
        <f>'Data Sheet'!B21/'Data Sheet'!B$17</f>
        <v>9.2578253547300586E-3</v>
      </c>
      <c r="C7" s="62">
        <f>'Data Sheet'!C21/'Data Sheet'!C$17</f>
        <v>9.1995207449882769E-3</v>
      </c>
      <c r="D7" s="62">
        <f>'Data Sheet'!D21/'Data Sheet'!D$17</f>
        <v>9.1057469834714411E-3</v>
      </c>
      <c r="E7" s="62">
        <f>'Data Sheet'!E21/'Data Sheet'!E$17</f>
        <v>8.4972984230791641E-3</v>
      </c>
      <c r="F7" s="62">
        <f>'Data Sheet'!F21/'Data Sheet'!F$17</f>
        <v>7.9545256950773642E-3</v>
      </c>
      <c r="G7" s="62">
        <f>'Data Sheet'!G21/'Data Sheet'!G$17</f>
        <v>9.001977860250563E-3</v>
      </c>
      <c r="H7" s="62">
        <f>'Data Sheet'!H21/'Data Sheet'!H$17</f>
        <v>9.2029940491709945E-3</v>
      </c>
      <c r="I7" s="62">
        <f>'Data Sheet'!I21/'Data Sheet'!I$17</f>
        <v>8.8960424573957878E-3</v>
      </c>
      <c r="J7" s="62">
        <f>'Data Sheet'!J21/'Data Sheet'!J$17</f>
        <v>7.377991540887468E-3</v>
      </c>
      <c r="K7" s="244">
        <f>'Data Sheet'!K21/'Data Sheet'!K$17</f>
        <v>7.1856039282191149E-3</v>
      </c>
      <c r="M7" s="351"/>
      <c r="N7" s="352"/>
      <c r="O7" s="352"/>
      <c r="P7" s="352"/>
      <c r="Q7" s="353"/>
    </row>
    <row r="8" spans="1:17" x14ac:dyDescent="0.25">
      <c r="A8" s="243" t="s">
        <v>78</v>
      </c>
      <c r="B8" s="62">
        <f>'Data Sheet'!B22/'Data Sheet'!B$17</f>
        <v>3.1084612555411454E-2</v>
      </c>
      <c r="C8" s="62">
        <f>'Data Sheet'!C22/'Data Sheet'!C$17</f>
        <v>3.0092246848800883E-2</v>
      </c>
      <c r="D8" s="62">
        <f>'Data Sheet'!D22/'Data Sheet'!D$17</f>
        <v>2.7784299963574472E-2</v>
      </c>
      <c r="E8" s="62">
        <f>'Data Sheet'!E22/'Data Sheet'!E$17</f>
        <v>3.19080437964257E-2</v>
      </c>
      <c r="F8" s="62">
        <f>'Data Sheet'!F22/'Data Sheet'!F$17</f>
        <v>3.1193819253803063E-2</v>
      </c>
      <c r="G8" s="62">
        <f>'Data Sheet'!G22/'Data Sheet'!G$17</f>
        <v>3.4538715951752154E-2</v>
      </c>
      <c r="H8" s="62">
        <f>'Data Sheet'!H22/'Data Sheet'!H$17</f>
        <v>3.6796150576032804E-2</v>
      </c>
      <c r="I8" s="62">
        <f>'Data Sheet'!I22/'Data Sheet'!I$17</f>
        <v>4.2517935277122235E-2</v>
      </c>
      <c r="J8" s="62">
        <f>'Data Sheet'!J22/'Data Sheet'!J$17</f>
        <v>4.6266001469621378E-2</v>
      </c>
      <c r="K8" s="244">
        <f>'Data Sheet'!K22/'Data Sheet'!K$17</f>
        <v>4.902582933303927E-2</v>
      </c>
      <c r="M8" s="351"/>
      <c r="N8" s="352"/>
      <c r="O8" s="352"/>
      <c r="P8" s="352"/>
      <c r="Q8" s="353"/>
    </row>
    <row r="9" spans="1:17" x14ac:dyDescent="0.25">
      <c r="A9" s="243" t="s">
        <v>105</v>
      </c>
      <c r="B9" s="62">
        <f>'Data Sheet'!B23/'Data Sheet'!B$17</f>
        <v>8.7471689347451559E-2</v>
      </c>
      <c r="C9" s="62">
        <f>'Data Sheet'!C23/'Data Sheet'!C$17</f>
        <v>8.501175408633084E-2</v>
      </c>
      <c r="D9" s="62">
        <f>'Data Sheet'!D23/'Data Sheet'!D$17</f>
        <v>8.8935397361878082E-2</v>
      </c>
      <c r="E9" s="62">
        <f>'Data Sheet'!E23/'Data Sheet'!E$17</f>
        <v>7.1996857396639732E-2</v>
      </c>
      <c r="F9" s="62">
        <f>'Data Sheet'!F23/'Data Sheet'!F$17</f>
        <v>4.8999895245902821E-2</v>
      </c>
      <c r="G9" s="62">
        <f>'Data Sheet'!G23/'Data Sheet'!G$17</f>
        <v>5.8570917081753653E-2</v>
      </c>
      <c r="H9" s="62">
        <f>'Data Sheet'!H23/'Data Sheet'!H$17</f>
        <v>6.2980035583908023E-2</v>
      </c>
      <c r="I9" s="62">
        <f>'Data Sheet'!I23/'Data Sheet'!I$17</f>
        <v>7.0073553668076841E-2</v>
      </c>
      <c r="J9" s="62">
        <f>'Data Sheet'!J23/'Data Sheet'!J$17</f>
        <v>7.2832747945870108E-2</v>
      </c>
      <c r="K9" s="244">
        <f>'Data Sheet'!K23/'Data Sheet'!K$17</f>
        <v>7.5941729918078987E-2</v>
      </c>
      <c r="M9" s="351"/>
      <c r="N9" s="352"/>
      <c r="O9" s="352"/>
      <c r="P9" s="352"/>
      <c r="Q9" s="353"/>
    </row>
    <row r="10" spans="1:17" ht="13" thickBot="1" x14ac:dyDescent="0.3">
      <c r="A10" s="243" t="s">
        <v>80</v>
      </c>
      <c r="B10" s="62">
        <f>'Data Sheet'!B24/'Data Sheet'!B$17</f>
        <v>2.1186046961807235E-2</v>
      </c>
      <c r="C10" s="62">
        <f>'Data Sheet'!C24/'Data Sheet'!C$17</f>
        <v>2.3357999597373835E-2</v>
      </c>
      <c r="D10" s="62">
        <f>'Data Sheet'!D24/'Data Sheet'!D$17</f>
        <v>1.8785164276585237E-2</v>
      </c>
      <c r="E10" s="62">
        <f>'Data Sheet'!E24/'Data Sheet'!E$17</f>
        <v>2.4398995150513483E-2</v>
      </c>
      <c r="F10" s="62">
        <f>'Data Sheet'!F24/'Data Sheet'!F$17</f>
        <v>2.0678119498554436E-2</v>
      </c>
      <c r="G10" s="62">
        <f>'Data Sheet'!G24/'Data Sheet'!G$17</f>
        <v>2.2289950694438891E-2</v>
      </c>
      <c r="H10" s="62">
        <f>'Data Sheet'!H24/'Data Sheet'!H$17</f>
        <v>2.4274919516827972E-2</v>
      </c>
      <c r="I10" s="62">
        <f>'Data Sheet'!I24/'Data Sheet'!I$17</f>
        <v>3.3877101209702269E-2</v>
      </c>
      <c r="J10" s="62">
        <f>'Data Sheet'!J24/'Data Sheet'!J$17</f>
        <v>3.3696519669370345E-2</v>
      </c>
      <c r="K10" s="244">
        <f>'Data Sheet'!K24/'Data Sheet'!K$17</f>
        <v>3.3457079352793455E-2</v>
      </c>
      <c r="M10" s="354"/>
      <c r="N10" s="355"/>
      <c r="O10" s="355"/>
      <c r="P10" s="355"/>
      <c r="Q10" s="356"/>
    </row>
    <row r="11" spans="1:17" x14ac:dyDescent="0.25">
      <c r="A11" s="251" t="s">
        <v>6</v>
      </c>
      <c r="B11" s="142">
        <f>('Data Sheet'!B17-'Data Sheet'!B18-'Data Sheet'!B19-'Data Sheet'!B20-'Data Sheet'!B21-'Data Sheet'!B22-'Data Sheet'!B23-'Data Sheet'!B24)/'Data Sheet'!B$17</f>
        <v>0.13144950541048014</v>
      </c>
      <c r="C11" s="142">
        <f>('Data Sheet'!C17-'Data Sheet'!C18-'Data Sheet'!C19-'Data Sheet'!C20-'Data Sheet'!C21-'Data Sheet'!C22-'Data Sheet'!C23-'Data Sheet'!C24)/'Data Sheet'!C$17</f>
        <v>0.13377010695569178</v>
      </c>
      <c r="D11" s="142">
        <f>('Data Sheet'!D17-'Data Sheet'!D18-'Data Sheet'!D19-'Data Sheet'!D20-'Data Sheet'!D21-'Data Sheet'!D22-'Data Sheet'!D23-'Data Sheet'!D24)/'Data Sheet'!D$17</f>
        <v>0.16968139721719133</v>
      </c>
      <c r="E11" s="142">
        <f>('Data Sheet'!E17-'Data Sheet'!E18-'Data Sheet'!E19-'Data Sheet'!E20-'Data Sheet'!E21-'Data Sheet'!E22-'Data Sheet'!E23-'Data Sheet'!E24)/'Data Sheet'!E$17</f>
        <v>0.12808428528198626</v>
      </c>
      <c r="F11" s="142">
        <f>('Data Sheet'!F17-'Data Sheet'!F18-'Data Sheet'!F19-'Data Sheet'!F20-'Data Sheet'!F21-'Data Sheet'!F22-'Data Sheet'!F23-'Data Sheet'!F24)/'Data Sheet'!F$17</f>
        <v>0.14636310314716081</v>
      </c>
      <c r="G11" s="142">
        <f>('Data Sheet'!G17-'Data Sheet'!G18-'Data Sheet'!G19-'Data Sheet'!G20-'Data Sheet'!G21-'Data Sheet'!G22-'Data Sheet'!G23-'Data Sheet'!G24)/'Data Sheet'!G$17</f>
        <v>0.14094852304200881</v>
      </c>
      <c r="H11" s="142">
        <f>('Data Sheet'!H17-'Data Sheet'!H18-'Data Sheet'!H19-'Data Sheet'!H20-'Data Sheet'!H21-'Data Sheet'!H22-'Data Sheet'!H23-'Data Sheet'!H24)/'Data Sheet'!H$17</f>
        <v>0.14072062754916137</v>
      </c>
      <c r="I11" s="142">
        <f>('Data Sheet'!I17-'Data Sheet'!I18-'Data Sheet'!I19-'Data Sheet'!I20-'Data Sheet'!I21-'Data Sheet'!I22-'Data Sheet'!I23-'Data Sheet'!I24)/'Data Sheet'!I$17</f>
        <v>0.12061496521698144</v>
      </c>
      <c r="J11" s="142">
        <f>('Data Sheet'!J17-'Data Sheet'!J18-'Data Sheet'!J19-'Data Sheet'!J20-'Data Sheet'!J21-'Data Sheet'!J22-'Data Sheet'!J23-'Data Sheet'!J24)/'Data Sheet'!J$17</f>
        <v>0.15579428113364768</v>
      </c>
      <c r="K11" s="252">
        <f>('Data Sheet'!K17-'Data Sheet'!K18-'Data Sheet'!K19-'Data Sheet'!K20-'Data Sheet'!K21-'Data Sheet'!K22-'Data Sheet'!K23-'Data Sheet'!K24)/'Data Sheet'!K$17</f>
        <v>0.16720462412805059</v>
      </c>
    </row>
    <row r="12" spans="1:17" x14ac:dyDescent="0.25">
      <c r="A12" s="243" t="s">
        <v>7</v>
      </c>
      <c r="B12" s="62">
        <f>'Data Sheet'!B25/'Data Sheet'!B$17</f>
        <v>2.3497357672428814E-2</v>
      </c>
      <c r="C12" s="62">
        <f>'Data Sheet'!C25/'Data Sheet'!C$17</f>
        <v>2.2753248608666853E-2</v>
      </c>
      <c r="D12" s="62">
        <f>'Data Sheet'!D25/'Data Sheet'!D$17</f>
        <v>2.3056596637428942E-2</v>
      </c>
      <c r="E12" s="62">
        <f>'Data Sheet'!E25/'Data Sheet'!E$17</f>
        <v>1.4930459074756946E-2</v>
      </c>
      <c r="F12" s="62">
        <f>'Data Sheet'!F25/'Data Sheet'!F$17</f>
        <v>1.5461619922448041E-2</v>
      </c>
      <c r="G12" s="62">
        <f>'Data Sheet'!G25/'Data Sheet'!G$17</f>
        <v>1.6761113946376048E-2</v>
      </c>
      <c r="H12" s="62">
        <f>'Data Sheet'!H25/'Data Sheet'!H$17</f>
        <v>1.7660601365671932E-2</v>
      </c>
      <c r="I12" s="62">
        <f>'Data Sheet'!I25/'Data Sheet'!I$17</f>
        <v>1.7862412226801957E-2</v>
      </c>
      <c r="J12" s="62">
        <f>'Data Sheet'!J25/'Data Sheet'!J$17</f>
        <v>1.4851965530698561E-2</v>
      </c>
      <c r="K12" s="244">
        <f>'Data Sheet'!K25/'Data Sheet'!K$17</f>
        <v>1.8346977470404729E-2</v>
      </c>
    </row>
    <row r="13" spans="1:17" x14ac:dyDescent="0.25">
      <c r="A13" s="243" t="s">
        <v>8</v>
      </c>
      <c r="B13" s="62">
        <f>'Data Sheet'!B26/'Data Sheet'!B$17</f>
        <v>1.5517141253218221E-2</v>
      </c>
      <c r="C13" s="62">
        <f>'Data Sheet'!C26/'Data Sheet'!C$17</f>
        <v>1.4665008539571008E-2</v>
      </c>
      <c r="D13" s="62">
        <f>'Data Sheet'!D26/'Data Sheet'!D$17</f>
        <v>1.2150514843719262E-2</v>
      </c>
      <c r="E13" s="62">
        <f>'Data Sheet'!E26/'Data Sheet'!E$17</f>
        <v>2.0743450460951246E-2</v>
      </c>
      <c r="F13" s="62">
        <f>'Data Sheet'!F26/'Data Sheet'!F$17</f>
        <v>4.6538810120687744E-2</v>
      </c>
      <c r="G13" s="62">
        <f>'Data Sheet'!G26/'Data Sheet'!G$17</f>
        <v>4.8037054692190502E-2</v>
      </c>
      <c r="H13" s="62">
        <f>'Data Sheet'!H26/'Data Sheet'!H$17</f>
        <v>4.3812043851212255E-2</v>
      </c>
      <c r="I13" s="62">
        <f>'Data Sheet'!I26/'Data Sheet'!I$17</f>
        <v>1.9574556013528945E-2</v>
      </c>
      <c r="J13" s="62">
        <f>'Data Sheet'!J26/'Data Sheet'!J$17</f>
        <v>1.5386724888987331E-2</v>
      </c>
      <c r="K13" s="244">
        <f>'Data Sheet'!K26/'Data Sheet'!K$17</f>
        <v>1.7303956910959407E-2</v>
      </c>
    </row>
    <row r="14" spans="1:17" x14ac:dyDescent="0.25">
      <c r="A14" s="243" t="s">
        <v>9</v>
      </c>
      <c r="B14" s="62">
        <f>'Data Sheet'!B27/'Data Sheet'!B$17</f>
        <v>1.9357711144234307E-4</v>
      </c>
      <c r="C14" s="62">
        <f>'Data Sheet'!C27/'Data Sheet'!C$17</f>
        <v>2.0537181227230515E-4</v>
      </c>
      <c r="D14" s="62">
        <f>'Data Sheet'!D27/'Data Sheet'!D$17</f>
        <v>1.3326412060275997E-4</v>
      </c>
      <c r="E14" s="62">
        <f>'Data Sheet'!E27/'Data Sheet'!E$17</f>
        <v>7.8204220759637753E-4</v>
      </c>
      <c r="F14" s="62">
        <f>'Data Sheet'!F27/'Data Sheet'!F$17</f>
        <v>9.0334504854525403E-4</v>
      </c>
      <c r="G14" s="62">
        <f>'Data Sheet'!G27/'Data Sheet'!G$17</f>
        <v>5.0109158868753129E-4</v>
      </c>
      <c r="H14" s="62">
        <f>'Data Sheet'!H27/'Data Sheet'!H$17</f>
        <v>4.6764709024204096E-4</v>
      </c>
      <c r="I14" s="62">
        <f>'Data Sheet'!I27/'Data Sheet'!I$17</f>
        <v>4.0202571659543309E-4</v>
      </c>
      <c r="J14" s="62">
        <f>'Data Sheet'!J27/'Data Sheet'!J$17</f>
        <v>1.7192460631374658E-4</v>
      </c>
      <c r="K14" s="244">
        <f>'Data Sheet'!K27/'Data Sheet'!K$17</f>
        <v>2.1246715099812149E-4</v>
      </c>
    </row>
    <row r="15" spans="1:17" x14ac:dyDescent="0.25">
      <c r="A15" s="251" t="s">
        <v>188</v>
      </c>
      <c r="B15" s="142">
        <f>'Data Sheet'!B28/'Data Sheet'!B$17</f>
        <v>0.13649896436245379</v>
      </c>
      <c r="C15" s="142">
        <f>'Data Sheet'!C28/'Data Sheet'!C$17</f>
        <v>0.14460935521368409</v>
      </c>
      <c r="D15" s="142">
        <f>'Data Sheet'!D28/'Data Sheet'!D$17</f>
        <v>0.17969905154021593</v>
      </c>
      <c r="E15" s="142">
        <f>'Data Sheet'!E28/'Data Sheet'!E$17</f>
        <v>0.12396992875012953</v>
      </c>
      <c r="F15" s="142">
        <f>'Data Sheet'!F28/'Data Sheet'!F$17</f>
        <v>0.12149397155014435</v>
      </c>
      <c r="G15" s="142">
        <f>'Data Sheet'!G28/'Data Sheet'!G$17</f>
        <v>0.10641149001750665</v>
      </c>
      <c r="H15" s="142">
        <f>'Data Sheet'!H28/'Data Sheet'!H$17</f>
        <v>0.11344002703016007</v>
      </c>
      <c r="I15" s="142">
        <f>'Data Sheet'!I28/'Data Sheet'!I$17</f>
        <v>0.12067369214762937</v>
      </c>
      <c r="J15" s="142">
        <f>'Data Sheet'!J28/'Data Sheet'!J$17</f>
        <v>0.15592296090033647</v>
      </c>
      <c r="K15" s="252">
        <f>'Data Sheet'!K28/'Data Sheet'!K$17</f>
        <v>0.16359830152705934</v>
      </c>
    </row>
    <row r="16" spans="1:17" x14ac:dyDescent="0.25">
      <c r="A16" s="243" t="s">
        <v>11</v>
      </c>
      <c r="B16" s="62">
        <f>'Data Sheet'!B29/'Data Sheet'!B$17</f>
        <v>4.2819257051046285E-2</v>
      </c>
      <c r="C16" s="62">
        <f>'Data Sheet'!C29/'Data Sheet'!C$17</f>
        <v>4.0562962289514184E-2</v>
      </c>
      <c r="D16" s="62">
        <f>'Data Sheet'!D29/'Data Sheet'!D$17</f>
        <v>3.8069117118855092E-2</v>
      </c>
      <c r="E16" s="62">
        <f>'Data Sheet'!E29/'Data Sheet'!E$17</f>
        <v>2.4583035406355213E-2</v>
      </c>
      <c r="F16" s="62">
        <f>'Data Sheet'!F29/'Data Sheet'!F$17</f>
        <v>2.0636133038551628E-2</v>
      </c>
      <c r="G16" s="62">
        <f>'Data Sheet'!G29/'Data Sheet'!G$17</f>
        <v>1.7293760421001083E-2</v>
      </c>
      <c r="H16" s="62">
        <f>'Data Sheet'!H29/'Data Sheet'!H$17</f>
        <v>2.999627702274181E-2</v>
      </c>
      <c r="I16" s="62">
        <f>'Data Sheet'!I29/'Data Sheet'!I$17</f>
        <v>3.4191399042243512E-2</v>
      </c>
      <c r="J16" s="62">
        <f>'Data Sheet'!J29/'Data Sheet'!J$17</f>
        <v>4.4815717213907258E-2</v>
      </c>
      <c r="K16" s="244">
        <f>'Data Sheet'!K29/'Data Sheet'!K$17</f>
        <v>4.4998786654534377E-2</v>
      </c>
    </row>
    <row r="17" spans="1:11" x14ac:dyDescent="0.25">
      <c r="A17" s="251" t="s">
        <v>189</v>
      </c>
      <c r="B17" s="142">
        <f>'Data Sheet'!B30/'Data Sheet'!B$17</f>
        <v>9.3679707311407512E-2</v>
      </c>
      <c r="C17" s="142">
        <f>'Data Sheet'!C30/'Data Sheet'!C$17</f>
        <v>0.10404639292416989</v>
      </c>
      <c r="D17" s="142">
        <f>'Data Sheet'!D30/'Data Sheet'!D$17</f>
        <v>0.14162993442136085</v>
      </c>
      <c r="E17" s="142">
        <f>'Data Sheet'!E30/'Data Sheet'!E$17</f>
        <v>9.9386893343774318E-2</v>
      </c>
      <c r="F17" s="142">
        <f>'Data Sheet'!F30/'Data Sheet'!F$17</f>
        <v>0.10085783851159273</v>
      </c>
      <c r="G17" s="142">
        <f>'Data Sheet'!G30/'Data Sheet'!G$17</f>
        <v>8.911772959650556E-2</v>
      </c>
      <c r="H17" s="142">
        <f>'Data Sheet'!H30/'Data Sheet'!H$17</f>
        <v>8.3443750007418258E-2</v>
      </c>
      <c r="I17" s="142">
        <f>'Data Sheet'!I30/'Data Sheet'!I$17</f>
        <v>8.6482293105385841E-2</v>
      </c>
      <c r="J17" s="142">
        <f>'Data Sheet'!J30/'Data Sheet'!J$17</f>
        <v>0.1111072436864292</v>
      </c>
      <c r="K17" s="252">
        <f>'Data Sheet'!K30/'Data Sheet'!K$17</f>
        <v>0.11859951487252497</v>
      </c>
    </row>
    <row r="18" spans="1:11" ht="13" thickBot="1" x14ac:dyDescent="0.3">
      <c r="A18" s="253" t="s">
        <v>64</v>
      </c>
      <c r="B18" s="254">
        <f>'Data Sheet'!B31/'Data Sheet'!B$17</f>
        <v>3.6722545926169692E-2</v>
      </c>
      <c r="C18" s="254">
        <f>'Data Sheet'!C31/'Data Sheet'!C$17</f>
        <v>3.2419523472455823E-2</v>
      </c>
      <c r="D18" s="254">
        <f>'Data Sheet'!D31/'Data Sheet'!D$17</f>
        <v>0.13939173178628494</v>
      </c>
      <c r="E18" s="254">
        <f>'Data Sheet'!E31/'Data Sheet'!E$17</f>
        <v>0.10808988381750011</v>
      </c>
      <c r="F18" s="254">
        <f>'Data Sheet'!F31/'Data Sheet'!F$17</f>
        <v>3.8109710195881684E-2</v>
      </c>
      <c r="G18" s="254">
        <f>'Data Sheet'!G31/'Data Sheet'!G$17</f>
        <v>5.0409140651065651E-2</v>
      </c>
      <c r="H18" s="254">
        <f>'Data Sheet'!H31/'Data Sheet'!H$17</f>
        <v>5.1398846391382633E-2</v>
      </c>
      <c r="I18" s="254">
        <f>'Data Sheet'!I31/'Data Sheet'!I$17</f>
        <v>4.343327786900994E-2</v>
      </c>
      <c r="J18" s="254">
        <f>'Data Sheet'!J31/'Data Sheet'!J$17</f>
        <v>2.1061994817650923E-2</v>
      </c>
      <c r="K18" s="255">
        <f>'Data Sheet'!K31/'Data Sheet'!K$17</f>
        <v>2.2441096555257788E-2</v>
      </c>
    </row>
    <row r="19" spans="1:11" ht="13" thickBot="1" x14ac:dyDescent="0.3"/>
    <row r="20" spans="1:11" ht="15.5" x14ac:dyDescent="0.35">
      <c r="A20" s="345" t="s">
        <v>185</v>
      </c>
      <c r="B20" s="346"/>
      <c r="C20" s="346"/>
      <c r="D20" s="346"/>
      <c r="E20" s="346"/>
      <c r="F20" s="346"/>
      <c r="G20" s="346"/>
      <c r="H20" s="346"/>
      <c r="I20" s="346"/>
      <c r="J20" s="346"/>
      <c r="K20" s="347"/>
    </row>
    <row r="21" spans="1:11" ht="13" x14ac:dyDescent="0.3">
      <c r="A21" s="241" t="s">
        <v>198</v>
      </c>
      <c r="B21" s="139">
        <v>39538</v>
      </c>
      <c r="C21" s="139">
        <v>39903</v>
      </c>
      <c r="D21" s="139">
        <v>40268</v>
      </c>
      <c r="E21" s="139">
        <v>40633</v>
      </c>
      <c r="F21" s="139">
        <v>40999</v>
      </c>
      <c r="G21" s="139">
        <v>41364</v>
      </c>
      <c r="H21" s="139">
        <v>41729</v>
      </c>
      <c r="I21" s="139">
        <v>42094</v>
      </c>
      <c r="J21" s="139">
        <v>42460</v>
      </c>
      <c r="K21" s="242">
        <v>42825</v>
      </c>
    </row>
    <row r="22" spans="1:11" x14ac:dyDescent="0.25">
      <c r="A22" s="243" t="s">
        <v>19</v>
      </c>
      <c r="B22" s="62">
        <f>'Data Sheet'!B57/'Data Sheet'!B$61</f>
        <v>7.8721689067067172E-3</v>
      </c>
      <c r="C22" s="62">
        <f>'Data Sheet'!C57/'Data Sheet'!C$61</f>
        <v>6.5635301735046349E-3</v>
      </c>
      <c r="D22" s="62">
        <f>'Data Sheet'!D57/'Data Sheet'!D$61</f>
        <v>4.6860938931772393E-3</v>
      </c>
      <c r="E22" s="62">
        <f>'Data Sheet'!E57/'Data Sheet'!E$61</f>
        <v>3.7215074993873585E-3</v>
      </c>
      <c r="F22" s="62">
        <f>'Data Sheet'!F57/'Data Sheet'!F$61</f>
        <v>4.0362147702823837E-3</v>
      </c>
      <c r="G22" s="62">
        <f>'Data Sheet'!G57/'Data Sheet'!G$61</f>
        <v>4.1392976252412174E-3</v>
      </c>
      <c r="H22" s="62">
        <f>'Data Sheet'!H57/'Data Sheet'!H$61</f>
        <v>3.9536334029558204E-3</v>
      </c>
      <c r="I22" s="62">
        <f>'Data Sheet'!I57/'Data Sheet'!I$61</f>
        <v>3.793689405690154E-3</v>
      </c>
      <c r="J22" s="62">
        <f>'Data Sheet'!J57/'Data Sheet'!J$61</f>
        <v>3.1621667413531283E-3</v>
      </c>
      <c r="K22" s="244">
        <f>'Data Sheet'!K57/'Data Sheet'!K$61</f>
        <v>2.7065653523041383E-3</v>
      </c>
    </row>
    <row r="23" spans="1:11" x14ac:dyDescent="0.25">
      <c r="A23" s="243" t="s">
        <v>20</v>
      </c>
      <c r="B23" s="62">
        <f>'Data Sheet'!B58/'Data Sheet'!B$61</f>
        <v>0.58071535427716581</v>
      </c>
      <c r="C23" s="62">
        <f>'Data Sheet'!C58/'Data Sheet'!C$61</f>
        <v>0.61803179548868226</v>
      </c>
      <c r="D23" s="62">
        <f>'Data Sheet'!D58/'Data Sheet'!D$61</f>
        <v>0.4018589502164121</v>
      </c>
      <c r="E23" s="62">
        <f>'Data Sheet'!E58/'Data Sheet'!E$61</f>
        <v>0.27171663618210973</v>
      </c>
      <c r="F23" s="62">
        <f>'Data Sheet'!F58/'Data Sheet'!F$61</f>
        <v>0.42948094116363045</v>
      </c>
      <c r="G23" s="62">
        <f>'Data Sheet'!G58/'Data Sheet'!G$61</f>
        <v>0.51469689024124832</v>
      </c>
      <c r="H23" s="62">
        <f>'Data Sheet'!H58/'Data Sheet'!H$61</f>
        <v>0.55037368467942305</v>
      </c>
      <c r="I23" s="62">
        <f>'Data Sheet'!I58/'Data Sheet'!I$61</f>
        <v>0.61753265811867586</v>
      </c>
      <c r="J23" s="62">
        <f>'Data Sheet'!J58/'Data Sheet'!J$61</f>
        <v>0.69628393945487854</v>
      </c>
      <c r="K23" s="244">
        <f>'Data Sheet'!K58/'Data Sheet'!K$61</f>
        <v>0.6824929133932971</v>
      </c>
    </row>
    <row r="24" spans="1:11" x14ac:dyDescent="0.25">
      <c r="A24" s="243" t="s">
        <v>65</v>
      </c>
      <c r="B24" s="62">
        <f>'Data Sheet'!B59/'Data Sheet'!B$61</f>
        <v>2.6017183166882493E-2</v>
      </c>
      <c r="C24" s="62">
        <f>'Data Sheet'!C59/'Data Sheet'!C$61</f>
        <v>1.2898635035512739E-2</v>
      </c>
      <c r="D24" s="62">
        <f>'Data Sheet'!D59/'Data Sheet'!D$61</f>
        <v>7.7471902795817008E-3</v>
      </c>
      <c r="E24" s="62">
        <f>'Data Sheet'!E59/'Data Sheet'!E$61</f>
        <v>6.4604587498753765E-2</v>
      </c>
      <c r="F24" s="62">
        <f>'Data Sheet'!F59/'Data Sheet'!F$61</f>
        <v>7.2704415481521234E-2</v>
      </c>
      <c r="G24" s="62">
        <f>'Data Sheet'!G59/'Data Sheet'!G$61</f>
        <v>6.6492002263451686E-2</v>
      </c>
      <c r="H24" s="62">
        <f>'Data Sheet'!H59/'Data Sheet'!H$61</f>
        <v>2.8138703833856325E-2</v>
      </c>
      <c r="I24" s="62">
        <f>'Data Sheet'!I59/'Data Sheet'!I$61</f>
        <v>0</v>
      </c>
      <c r="J24" s="62">
        <f>'Data Sheet'!J59/'Data Sheet'!J$61</f>
        <v>0</v>
      </c>
      <c r="K24" s="244">
        <f>'Data Sheet'!K59/'Data Sheet'!K$61</f>
        <v>0</v>
      </c>
    </row>
    <row r="25" spans="1:11" x14ac:dyDescent="0.25">
      <c r="A25" s="243" t="s">
        <v>66</v>
      </c>
      <c r="B25" s="62">
        <f>'Data Sheet'!B60/'Data Sheet'!B$61</f>
        <v>0.38539529364924502</v>
      </c>
      <c r="C25" s="62">
        <f>'Data Sheet'!C60/'Data Sheet'!C$61</f>
        <v>0.36250603930230035</v>
      </c>
      <c r="D25" s="62">
        <f>'Data Sheet'!D60/'Data Sheet'!D$61</f>
        <v>0.58570776561082893</v>
      </c>
      <c r="E25" s="62">
        <f>'Data Sheet'!E60/'Data Sheet'!E$61</f>
        <v>0.65995726881974925</v>
      </c>
      <c r="F25" s="62">
        <f>'Data Sheet'!F60/'Data Sheet'!F$61</f>
        <v>0.493778428584566</v>
      </c>
      <c r="G25" s="62">
        <f>'Data Sheet'!G60/'Data Sheet'!G$61</f>
        <v>0.41467180987005881</v>
      </c>
      <c r="H25" s="62">
        <f>'Data Sheet'!H60/'Data Sheet'!H$61</f>
        <v>0.41753397808376475</v>
      </c>
      <c r="I25" s="62">
        <f>'Data Sheet'!I60/'Data Sheet'!I$61</f>
        <v>0.378673652475634</v>
      </c>
      <c r="J25" s="62">
        <f>'Data Sheet'!J60/'Data Sheet'!J$61</f>
        <v>0.30055389380376835</v>
      </c>
      <c r="K25" s="244">
        <f>'Data Sheet'!K60/'Data Sheet'!K$61</f>
        <v>0.31480052125439889</v>
      </c>
    </row>
    <row r="26" spans="1:11" ht="13" x14ac:dyDescent="0.3">
      <c r="A26" s="245" t="s">
        <v>186</v>
      </c>
      <c r="B26" s="140">
        <v>1</v>
      </c>
      <c r="C26" s="140">
        <v>1</v>
      </c>
      <c r="D26" s="140">
        <v>1</v>
      </c>
      <c r="E26" s="140">
        <v>1</v>
      </c>
      <c r="F26" s="140">
        <v>1</v>
      </c>
      <c r="G26" s="140">
        <v>1</v>
      </c>
      <c r="H26" s="140">
        <v>1</v>
      </c>
      <c r="I26" s="140">
        <v>1</v>
      </c>
      <c r="J26" s="140">
        <v>1</v>
      </c>
      <c r="K26" s="246">
        <v>1</v>
      </c>
    </row>
    <row r="27" spans="1:11" x14ac:dyDescent="0.25">
      <c r="A27" s="243" t="s">
        <v>22</v>
      </c>
      <c r="B27" s="62">
        <f>'Data Sheet'!B62/'Data Sheet'!B$66</f>
        <v>0.22789869854954206</v>
      </c>
      <c r="C27" s="62">
        <f>'Data Sheet'!C62/'Data Sheet'!C$66</f>
        <v>0.25861524960806159</v>
      </c>
      <c r="D27" s="62">
        <f>'Data Sheet'!D62/'Data Sheet'!D$66</f>
        <v>0.19462190355845121</v>
      </c>
      <c r="E27" s="62">
        <f>'Data Sheet'!E62/'Data Sheet'!E$66</f>
        <v>0.38019010064096775</v>
      </c>
      <c r="F27" s="62">
        <f>'Data Sheet'!F62/'Data Sheet'!F$66</f>
        <v>0.38255211254510935</v>
      </c>
      <c r="G27" s="62">
        <f>'Data Sheet'!G62/'Data Sheet'!G$66</f>
        <v>0.31826991039467384</v>
      </c>
      <c r="H27" s="62">
        <f>'Data Sheet'!H62/'Data Sheet'!H$66</f>
        <v>0.22205778996446282</v>
      </c>
      <c r="I27" s="62">
        <f>'Data Sheet'!I62/'Data Sheet'!I$66</f>
        <v>0.27666102140860427</v>
      </c>
      <c r="J27" s="62">
        <f>'Data Sheet'!J62/'Data Sheet'!J$66</f>
        <v>0.283783484210543</v>
      </c>
      <c r="K27" s="244">
        <f>'Data Sheet'!K62/'Data Sheet'!K$66</f>
        <v>0.29787059581708936</v>
      </c>
    </row>
    <row r="28" spans="1:11" x14ac:dyDescent="0.25">
      <c r="A28" s="243" t="s">
        <v>23</v>
      </c>
      <c r="B28" s="62">
        <f>'Data Sheet'!B63/'Data Sheet'!B$66</f>
        <v>8.0513326907877492E-2</v>
      </c>
      <c r="C28" s="62">
        <f>'Data Sheet'!C63/'Data Sheet'!C$66</f>
        <v>1.9808911545173981E-2</v>
      </c>
      <c r="D28" s="62">
        <f>'Data Sheet'!D63/'Data Sheet'!D$66</f>
        <v>5.6481862798585959E-3</v>
      </c>
      <c r="E28" s="62">
        <f>'Data Sheet'!E63/'Data Sheet'!E$66</f>
        <v>4.6551455851124796E-3</v>
      </c>
      <c r="F28" s="62">
        <f>'Data Sheet'!F63/'Data Sheet'!F$66</f>
        <v>3.925052120124381E-3</v>
      </c>
      <c r="G28" s="62">
        <f>'Data Sheet'!G63/'Data Sheet'!G$66</f>
        <v>6.4348770543622234E-3</v>
      </c>
      <c r="H28" s="62">
        <f>'Data Sheet'!H63/'Data Sheet'!H$66</f>
        <v>8.4547767295908766E-2</v>
      </c>
      <c r="I28" s="62">
        <f>'Data Sheet'!I63/'Data Sheet'!I$66</f>
        <v>6.7681356685641444E-2</v>
      </c>
      <c r="J28" s="62">
        <f>'Data Sheet'!J63/'Data Sheet'!J$66</f>
        <v>4.7931290566228947E-2</v>
      </c>
      <c r="K28" s="244">
        <f>'Data Sheet'!K63/'Data Sheet'!K$66</f>
        <v>3.1514477142940402E-2</v>
      </c>
    </row>
    <row r="29" spans="1:11" x14ac:dyDescent="0.25">
      <c r="A29" s="243" t="s">
        <v>24</v>
      </c>
      <c r="B29" s="62">
        <f>'Data Sheet'!B64/'Data Sheet'!B$66</f>
        <v>0.50591989466982823</v>
      </c>
      <c r="C29" s="62">
        <f>'Data Sheet'!C64/'Data Sheet'!C$66</f>
        <v>0.55360271086614277</v>
      </c>
      <c r="D29" s="62">
        <f>'Data Sheet'!D64/'Data Sheet'!D$66</f>
        <v>0.46059703699010568</v>
      </c>
      <c r="E29" s="62">
        <f>'Data Sheet'!E64/'Data Sheet'!E$66</f>
        <v>0.47788386548530082</v>
      </c>
      <c r="F29" s="62">
        <f>'Data Sheet'!F64/'Data Sheet'!F$66</f>
        <v>0.40061604319578475</v>
      </c>
      <c r="G29" s="62">
        <f>'Data Sheet'!G64/'Data Sheet'!G$66</f>
        <v>0.37556612201496947</v>
      </c>
      <c r="H29" s="62">
        <f>'Data Sheet'!H64/'Data Sheet'!H$66</f>
        <v>0.40474455806218507</v>
      </c>
      <c r="I29" s="62">
        <f>'Data Sheet'!I64/'Data Sheet'!I$66</f>
        <v>0.29959223063048002</v>
      </c>
      <c r="J29" s="62">
        <f>'Data Sheet'!J64/'Data Sheet'!J$66</f>
        <v>0.36269276628626718</v>
      </c>
      <c r="K29" s="244">
        <f>'Data Sheet'!K64/'Data Sheet'!K$66</f>
        <v>0.39913029394763472</v>
      </c>
    </row>
    <row r="30" spans="1:11" x14ac:dyDescent="0.25">
      <c r="A30" s="243" t="s">
        <v>67</v>
      </c>
      <c r="B30" s="62">
        <f>'Data Sheet'!B65/'Data Sheet'!B$66</f>
        <v>0.18566807987275233</v>
      </c>
      <c r="C30" s="62">
        <f>'Data Sheet'!C65/'Data Sheet'!C$66</f>
        <v>0.16797312798062164</v>
      </c>
      <c r="D30" s="62">
        <f>'Data Sheet'!D65/'Data Sheet'!D$66</f>
        <v>0.33913287317158447</v>
      </c>
      <c r="E30" s="62">
        <f>'Data Sheet'!E65/'Data Sheet'!E$66</f>
        <v>0.13727088828861905</v>
      </c>
      <c r="F30" s="62">
        <f>'Data Sheet'!F65/'Data Sheet'!F$66</f>
        <v>0.21290679213898164</v>
      </c>
      <c r="G30" s="62">
        <f>'Data Sheet'!G65/'Data Sheet'!G$66</f>
        <v>0.2997290905359945</v>
      </c>
      <c r="H30" s="62">
        <f>'Data Sheet'!H65/'Data Sheet'!H$66</f>
        <v>0.28864988467744329</v>
      </c>
      <c r="I30" s="62">
        <f>'Data Sheet'!I65/'Data Sheet'!I$66</f>
        <v>0.3560653912752742</v>
      </c>
      <c r="J30" s="62">
        <f>'Data Sheet'!J65/'Data Sheet'!J$66</f>
        <v>0.30559245893696091</v>
      </c>
      <c r="K30" s="244">
        <f>'Data Sheet'!K65/'Data Sheet'!K$66</f>
        <v>0.27148463309233561</v>
      </c>
    </row>
    <row r="31" spans="1:11" ht="13" x14ac:dyDescent="0.3">
      <c r="A31" s="245" t="s">
        <v>187</v>
      </c>
      <c r="B31" s="140">
        <v>1</v>
      </c>
      <c r="C31" s="140">
        <v>1</v>
      </c>
      <c r="D31" s="140">
        <v>1</v>
      </c>
      <c r="E31" s="140">
        <v>1</v>
      </c>
      <c r="F31" s="140">
        <v>1</v>
      </c>
      <c r="G31" s="140">
        <v>1</v>
      </c>
      <c r="H31" s="140">
        <v>1</v>
      </c>
      <c r="I31" s="140">
        <v>1</v>
      </c>
      <c r="J31" s="140">
        <v>1</v>
      </c>
      <c r="K31" s="246">
        <v>1</v>
      </c>
    </row>
    <row r="32" spans="1:11" x14ac:dyDescent="0.25">
      <c r="A32" s="243" t="s">
        <v>72</v>
      </c>
      <c r="B32" s="62">
        <f>'Data Sheet'!B67/'Data Sheet'!B$66</f>
        <v>5.8625386069375215E-2</v>
      </c>
      <c r="C32" s="62">
        <f>'Data Sheet'!C67/'Data Sheet'!C$66</f>
        <v>2.4640353385460317E-2</v>
      </c>
      <c r="D32" s="62">
        <f>'Data Sheet'!D67/'Data Sheet'!D$66</f>
        <v>1.271721875516978E-2</v>
      </c>
      <c r="E32" s="62">
        <f>'Data Sheet'!E67/'Data Sheet'!E$66</f>
        <v>1.2168043674136084E-2</v>
      </c>
      <c r="F32" s="62">
        <f>'Data Sheet'!F67/'Data Sheet'!F$66</f>
        <v>2.7518819331386977E-2</v>
      </c>
      <c r="G32" s="62">
        <f>'Data Sheet'!G67/'Data Sheet'!G$66</f>
        <v>6.8919201822368797E-2</v>
      </c>
      <c r="H32" s="62">
        <f>'Data Sheet'!H67/'Data Sheet'!H$66</f>
        <v>9.1127587333326737E-2</v>
      </c>
      <c r="I32" s="62">
        <f>'Data Sheet'!I67/'Data Sheet'!I$66</f>
        <v>0.13198980624068554</v>
      </c>
      <c r="J32" s="62">
        <f>'Data Sheet'!J67/'Data Sheet'!J$66</f>
        <v>0.10156303194310949</v>
      </c>
      <c r="K32" s="244">
        <f>'Data Sheet'!K67/'Data Sheet'!K$66</f>
        <v>0.10584134268410778</v>
      </c>
    </row>
    <row r="33" spans="1:11" x14ac:dyDescent="0.25">
      <c r="A33" s="243" t="s">
        <v>40</v>
      </c>
      <c r="B33" s="62">
        <f>'Data Sheet'!B68/'Data Sheet'!B$66</f>
        <v>6.2500369562260905E-2</v>
      </c>
      <c r="C33" s="62">
        <f>'Data Sheet'!C68/'Data Sheet'!C$66</f>
        <v>5.3709528457849771E-2</v>
      </c>
      <c r="D33" s="62">
        <f>'Data Sheet'!D68/'Data Sheet'!D$66</f>
        <v>5.1202087505822412E-2</v>
      </c>
      <c r="E33" s="62">
        <f>'Data Sheet'!E68/'Data Sheet'!E$66</f>
        <v>4.8911640752463847E-2</v>
      </c>
      <c r="F33" s="62">
        <f>'Data Sheet'!F68/'Data Sheet'!F$66</f>
        <v>6.8271046879310723E-2</v>
      </c>
      <c r="G33" s="62">
        <f>'Data Sheet'!G68/'Data Sheet'!G$66</f>
        <v>6.5992467597611362E-2</v>
      </c>
      <c r="H33" s="62">
        <f>'Data Sheet'!H68/'Data Sheet'!H$66</f>
        <v>6.6278298571584113E-2</v>
      </c>
      <c r="I33" s="62">
        <f>'Data Sheet'!I68/'Data Sheet'!I$66</f>
        <v>7.7459082960597489E-2</v>
      </c>
      <c r="J33" s="62">
        <f>'Data Sheet'!J68/'Data Sheet'!J$66</f>
        <v>5.3281797035448886E-2</v>
      </c>
      <c r="K33" s="244">
        <f>'Data Sheet'!K68/'Data Sheet'!K$66</f>
        <v>4.4475360700318704E-2</v>
      </c>
    </row>
    <row r="34" spans="1:11" x14ac:dyDescent="0.25">
      <c r="A34" s="243" t="s">
        <v>81</v>
      </c>
      <c r="B34" s="62">
        <f>'Data Sheet'!B69/'Data Sheet'!B$66</f>
        <v>2.5837822282928986E-2</v>
      </c>
      <c r="C34" s="62">
        <f>'Data Sheet'!C69/'Data Sheet'!C$66</f>
        <v>3.6082982478628262E-2</v>
      </c>
      <c r="D34" s="62">
        <f>'Data Sheet'!D69/'Data Sheet'!D$66</f>
        <v>0.22376978302470113</v>
      </c>
      <c r="E34" s="62">
        <f>'Data Sheet'!E69/'Data Sheet'!E$66</f>
        <v>6.6640514861337971E-3</v>
      </c>
      <c r="F34" s="62">
        <f>'Data Sheet'!F69/'Data Sheet'!F$66</f>
        <v>7.7631952592161413E-3</v>
      </c>
      <c r="G34" s="62">
        <f>'Data Sheet'!G69/'Data Sheet'!G$66</f>
        <v>1.8762604959280671E-2</v>
      </c>
      <c r="H34" s="62">
        <f>'Data Sheet'!H69/'Data Sheet'!H$66</f>
        <v>1.1631244988665723E-2</v>
      </c>
      <c r="I34" s="62">
        <f>'Data Sheet'!I69/'Data Sheet'!I$66</f>
        <v>1.5126315419533225E-2</v>
      </c>
      <c r="J34" s="62">
        <f>'Data Sheet'!J69/'Data Sheet'!J$66</f>
        <v>1.0400155812322159E-2</v>
      </c>
      <c r="K34" s="244">
        <f>'Data Sheet'!K69/'Data Sheet'!K$66</f>
        <v>9.2656154386716282E-3</v>
      </c>
    </row>
    <row r="35" spans="1:11" ht="13" thickBot="1" x14ac:dyDescent="0.3">
      <c r="A35" s="247"/>
      <c r="B35" s="248"/>
      <c r="C35" s="248"/>
      <c r="D35" s="248"/>
      <c r="E35" s="248"/>
      <c r="F35" s="248"/>
      <c r="G35" s="248"/>
      <c r="H35" s="248"/>
      <c r="I35" s="248"/>
      <c r="J35" s="248"/>
      <c r="K35" s="249"/>
    </row>
  </sheetData>
  <mergeCells count="3">
    <mergeCell ref="A1:K1"/>
    <mergeCell ref="A20:K20"/>
    <mergeCell ref="M2:Q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M20"/>
  <sheetViews>
    <sheetView workbookViewId="0">
      <pane xSplit="1" ySplit="3" topLeftCell="B4" activePane="bottomRight" state="frozen"/>
      <selection pane="topRight" activeCell="B1" sqref="B1"/>
      <selection pane="bottomLeft" activeCell="A4" sqref="A4"/>
      <selection pane="bottomRight" activeCell="O12" sqref="O12:O13"/>
    </sheetView>
  </sheetViews>
  <sheetFormatPr defaultColWidth="13.08984375" defaultRowHeight="12.5" x14ac:dyDescent="0.25"/>
  <cols>
    <col min="1" max="1" width="31.81640625" style="13" bestFit="1" customWidth="1"/>
    <col min="2" max="3" width="6.7265625" style="13" bestFit="1" customWidth="1"/>
    <col min="4" max="11" width="7.08984375" style="13" bestFit="1" customWidth="1"/>
    <col min="12" max="12" width="8.08984375" style="13" bestFit="1" customWidth="1"/>
    <col min="13" max="16384" width="13.08984375" style="13"/>
  </cols>
  <sheetData>
    <row r="1" spans="1:13" ht="19" x14ac:dyDescent="0.4">
      <c r="A1" s="334" t="s">
        <v>311</v>
      </c>
      <c r="B1" s="335"/>
      <c r="C1" s="335"/>
      <c r="D1" s="335"/>
      <c r="E1" s="335"/>
      <c r="F1" s="335"/>
      <c r="G1" s="335"/>
      <c r="H1" s="335"/>
      <c r="I1" s="335"/>
      <c r="J1" s="335"/>
      <c r="K1" s="335"/>
      <c r="L1" s="336"/>
    </row>
    <row r="2" spans="1:13" s="7" customFormat="1" ht="13" x14ac:dyDescent="0.3">
      <c r="A2" s="360" t="str">
        <f>'Balance Sheet'!A2</f>
        <v>HERO MOTOCORP LTD</v>
      </c>
      <c r="B2" s="361"/>
      <c r="C2" s="361"/>
      <c r="D2" s="361"/>
      <c r="E2" s="361"/>
      <c r="F2" s="361"/>
      <c r="G2" s="361"/>
      <c r="H2" s="361"/>
      <c r="I2" s="361"/>
      <c r="J2" s="361"/>
      <c r="K2" s="361"/>
      <c r="L2" s="362"/>
    </row>
    <row r="3" spans="1:13" s="10" customFormat="1" ht="13" x14ac:dyDescent="0.3">
      <c r="A3" s="292" t="s">
        <v>198</v>
      </c>
      <c r="B3" s="139">
        <f>'Data Sheet'!B81</f>
        <v>39538</v>
      </c>
      <c r="C3" s="139">
        <f>'Data Sheet'!C81</f>
        <v>39903</v>
      </c>
      <c r="D3" s="139">
        <f>'Data Sheet'!D81</f>
        <v>40268</v>
      </c>
      <c r="E3" s="139">
        <f>'Data Sheet'!E81</f>
        <v>40633</v>
      </c>
      <c r="F3" s="139">
        <f>'Data Sheet'!F81</f>
        <v>40999</v>
      </c>
      <c r="G3" s="139">
        <f>'Data Sheet'!G81</f>
        <v>41364</v>
      </c>
      <c r="H3" s="139">
        <f>'Data Sheet'!H81</f>
        <v>41729</v>
      </c>
      <c r="I3" s="139">
        <f>'Data Sheet'!I81</f>
        <v>42094</v>
      </c>
      <c r="J3" s="139">
        <f>'Data Sheet'!J81</f>
        <v>42460</v>
      </c>
      <c r="K3" s="139">
        <f>'Data Sheet'!K81</f>
        <v>42825</v>
      </c>
      <c r="L3" s="242" t="s">
        <v>21</v>
      </c>
    </row>
    <row r="4" spans="1:13" s="7" customFormat="1" ht="13" x14ac:dyDescent="0.3">
      <c r="A4" s="293" t="s">
        <v>97</v>
      </c>
      <c r="B4" s="146">
        <f>'Data Sheet'!B82</f>
        <v>1211.8699999999999</v>
      </c>
      <c r="C4" s="146">
        <f>'Data Sheet'!C82</f>
        <v>1359.03</v>
      </c>
      <c r="D4" s="146">
        <f>'Data Sheet'!D82</f>
        <v>2686.64</v>
      </c>
      <c r="E4" s="146">
        <f>'Data Sheet'!E82</f>
        <v>2254.16</v>
      </c>
      <c r="F4" s="146">
        <f>'Data Sheet'!F82</f>
        <v>2359.7800000000002</v>
      </c>
      <c r="G4" s="146">
        <f>'Data Sheet'!G82</f>
        <v>1890.43</v>
      </c>
      <c r="H4" s="146">
        <f>'Data Sheet'!H82</f>
        <v>2963.41</v>
      </c>
      <c r="I4" s="146">
        <f>'Data Sheet'!I82</f>
        <v>2250</v>
      </c>
      <c r="J4" s="146">
        <f>'Data Sheet'!J82</f>
        <v>3849.14</v>
      </c>
      <c r="K4" s="146">
        <f>'Data Sheet'!K82</f>
        <v>4028.02</v>
      </c>
      <c r="L4" s="294">
        <f>SUM(B4:K4)</f>
        <v>24852.48</v>
      </c>
      <c r="M4" s="13"/>
    </row>
    <row r="5" spans="1:13" ht="13" x14ac:dyDescent="0.3">
      <c r="A5" s="116" t="s">
        <v>28</v>
      </c>
      <c r="B5" s="33">
        <f>'Data Sheet'!B83</f>
        <v>-781.01</v>
      </c>
      <c r="C5" s="33">
        <f>'Data Sheet'!C83</f>
        <v>-861.19</v>
      </c>
      <c r="D5" s="33">
        <f>'Data Sheet'!D83</f>
        <v>-528.16999999999996</v>
      </c>
      <c r="E5" s="33">
        <f>'Data Sheet'!E83</f>
        <v>-1322.31</v>
      </c>
      <c r="F5" s="33">
        <f>'Data Sheet'!F83</f>
        <v>92.79</v>
      </c>
      <c r="G5" s="33">
        <f>'Data Sheet'!G83</f>
        <v>-732.94</v>
      </c>
      <c r="H5" s="33">
        <f>'Data Sheet'!H83</f>
        <v>-1617.02</v>
      </c>
      <c r="I5" s="33">
        <f>'Data Sheet'!I83</f>
        <v>12.08</v>
      </c>
      <c r="J5" s="33">
        <f>'Data Sheet'!J83</f>
        <v>-2206.19</v>
      </c>
      <c r="K5" s="33">
        <f>'Data Sheet'!K83</f>
        <v>-1943.94</v>
      </c>
      <c r="L5" s="294">
        <f t="shared" ref="L5:L7" si="0">SUM(B5:K5)</f>
        <v>-9887.9000000000015</v>
      </c>
    </row>
    <row r="6" spans="1:13" ht="13" x14ac:dyDescent="0.3">
      <c r="A6" s="116" t="s">
        <v>29</v>
      </c>
      <c r="B6" s="33">
        <f>'Data Sheet'!B84</f>
        <v>-432.33</v>
      </c>
      <c r="C6" s="33">
        <f>'Data Sheet'!C84</f>
        <v>-499.93</v>
      </c>
      <c r="D6" s="33">
        <f>'Data Sheet'!D84</f>
        <v>-2109.31</v>
      </c>
      <c r="E6" s="33">
        <f>'Data Sheet'!E84</f>
        <v>-955.23</v>
      </c>
      <c r="F6" s="33">
        <f>'Data Sheet'!F84</f>
        <v>-2458.16</v>
      </c>
      <c r="G6" s="33">
        <f>'Data Sheet'!G84</f>
        <v>-1056.27</v>
      </c>
      <c r="H6" s="33">
        <f>'Data Sheet'!H84</f>
        <v>-1414.93</v>
      </c>
      <c r="I6" s="33">
        <f>'Data Sheet'!I84</f>
        <v>-2230.52</v>
      </c>
      <c r="J6" s="33">
        <f>'Data Sheet'!J84</f>
        <v>-1686.69</v>
      </c>
      <c r="K6" s="33">
        <f>'Data Sheet'!K84</f>
        <v>-2095.63</v>
      </c>
      <c r="L6" s="294">
        <f t="shared" si="0"/>
        <v>-14939</v>
      </c>
    </row>
    <row r="7" spans="1:13" s="7" customFormat="1" ht="13" x14ac:dyDescent="0.3">
      <c r="A7" s="293" t="s">
        <v>30</v>
      </c>
      <c r="B7" s="146">
        <f>'Data Sheet'!B85</f>
        <v>-1.47</v>
      </c>
      <c r="C7" s="146">
        <f>'Data Sheet'!C85</f>
        <v>-2.09</v>
      </c>
      <c r="D7" s="146">
        <f>'Data Sheet'!D85</f>
        <v>49.16</v>
      </c>
      <c r="E7" s="146">
        <f>'Data Sheet'!E85</f>
        <v>-23.38</v>
      </c>
      <c r="F7" s="146">
        <f>'Data Sheet'!F85</f>
        <v>-5.59</v>
      </c>
      <c r="G7" s="146">
        <f>'Data Sheet'!G85</f>
        <v>101.22</v>
      </c>
      <c r="H7" s="146">
        <f>'Data Sheet'!H85</f>
        <v>-68.540000000000006</v>
      </c>
      <c r="I7" s="146">
        <f>'Data Sheet'!I85</f>
        <v>31.56</v>
      </c>
      <c r="J7" s="146">
        <f>'Data Sheet'!J85</f>
        <v>-43.74</v>
      </c>
      <c r="K7" s="146">
        <f>'Data Sheet'!K85</f>
        <v>-11.55</v>
      </c>
      <c r="L7" s="294">
        <f t="shared" si="0"/>
        <v>25.579999999999988</v>
      </c>
    </row>
    <row r="8" spans="1:13" s="12" customFormat="1" ht="13" x14ac:dyDescent="0.3">
      <c r="A8" s="295" t="s">
        <v>98</v>
      </c>
      <c r="B8" s="145">
        <f>B4/'Profit &amp; Loss'!B4</f>
        <v>0.11729514702181613</v>
      </c>
      <c r="C8" s="145">
        <f>C4/'Profit &amp; Loss'!C4</f>
        <v>0.11031875653455765</v>
      </c>
      <c r="D8" s="145">
        <f>D4/'Profit &amp; Loss'!D4</f>
        <v>0.17049176998866619</v>
      </c>
      <c r="E8" s="145">
        <f>E4/'Profit &amp; Loss'!E4</f>
        <v>0.11620621375579765</v>
      </c>
      <c r="F8" s="145">
        <f>F4/'Profit &amp; Loss'!F4</f>
        <v>0.10007960463174272</v>
      </c>
      <c r="G8" s="145">
        <f>G4/'Profit &amp; Loss'!G4</f>
        <v>7.9536404030442473E-2</v>
      </c>
      <c r="H8" s="145">
        <f>H4/'Profit &amp; Loss'!H4</f>
        <v>0.11724450623470106</v>
      </c>
      <c r="I8" s="145">
        <f>I4/'Profit &amp; Loss'!I4</f>
        <v>8.1565181455340349E-2</v>
      </c>
      <c r="J8" s="145">
        <f>J4/'Profit &amp; Loss'!J4</f>
        <v>0.13532962763731993</v>
      </c>
      <c r="K8" s="145">
        <f>K4/'Profit &amp; Loss'!K4</f>
        <v>0.14145817083693443</v>
      </c>
      <c r="L8" s="296"/>
    </row>
    <row r="9" spans="1:13" s="12" customFormat="1" ht="13" x14ac:dyDescent="0.3">
      <c r="A9" s="295" t="s">
        <v>99</v>
      </c>
      <c r="B9" s="145">
        <f>B4/'Profit &amp; Loss'!B23</f>
        <v>1.2520870355829234</v>
      </c>
      <c r="C9" s="145">
        <f>C4/'Profit &amp; Loss'!C23</f>
        <v>1.0602842965921855</v>
      </c>
      <c r="D9" s="145">
        <f>D4/'Profit &amp; Loss'!D23</f>
        <v>1.2037834422872702</v>
      </c>
      <c r="E9" s="145">
        <f>E4/'Profit &amp; Loss'!E23</f>
        <v>1.169230769230768</v>
      </c>
      <c r="F9" s="145">
        <f>F4/'Profit &amp; Loss'!F23</f>
        <v>0.99228385327967816</v>
      </c>
      <c r="G9" s="145">
        <f>G4/'Profit &amp; Loss'!G23</f>
        <v>0.89248687540129024</v>
      </c>
      <c r="H9" s="145">
        <f>H4/'Profit &amp; Loss'!H23</f>
        <v>1.4050723538225189</v>
      </c>
      <c r="I9" s="145">
        <f>I4/'Profit &amp; Loss'!I23</f>
        <v>0.94314313978638897</v>
      </c>
      <c r="J9" s="145">
        <f>J4/'Profit &amp; Loss'!J23</f>
        <v>1.2180090437600268</v>
      </c>
      <c r="K9" s="145">
        <f>K4/'Profit &amp; Loss'!K23</f>
        <v>1.1927381911214257</v>
      </c>
      <c r="L9" s="296"/>
    </row>
    <row r="10" spans="1:13" ht="13" x14ac:dyDescent="0.3">
      <c r="A10" s="297" t="s">
        <v>255</v>
      </c>
      <c r="B10" s="148">
        <v>374.92</v>
      </c>
      <c r="C10" s="148">
        <v>315.08</v>
      </c>
      <c r="D10" s="148">
        <v>211.57</v>
      </c>
      <c r="E10" s="148">
        <v>364.12</v>
      </c>
      <c r="F10" s="147">
        <v>565</v>
      </c>
      <c r="G10" s="147">
        <v>607</v>
      </c>
      <c r="H10" s="147">
        <v>937</v>
      </c>
      <c r="I10" s="147">
        <v>1156</v>
      </c>
      <c r="J10" s="147">
        <v>1638</v>
      </c>
      <c r="K10" s="147">
        <v>1238</v>
      </c>
      <c r="L10" s="298"/>
    </row>
    <row r="11" spans="1:13" ht="13" x14ac:dyDescent="0.3">
      <c r="A11" s="116" t="s">
        <v>146</v>
      </c>
      <c r="B11" s="149">
        <f t="shared" ref="B11:E11" si="1">B4-B10</f>
        <v>836.94999999999982</v>
      </c>
      <c r="C11" s="149">
        <f t="shared" si="1"/>
        <v>1043.95</v>
      </c>
      <c r="D11" s="149">
        <f t="shared" si="1"/>
        <v>2475.0699999999997</v>
      </c>
      <c r="E11" s="149">
        <f t="shared" si="1"/>
        <v>1890.04</v>
      </c>
      <c r="F11" s="149">
        <f>F4-F10</f>
        <v>1794.7800000000002</v>
      </c>
      <c r="G11" s="149">
        <f>G4-G10</f>
        <v>1283.43</v>
      </c>
      <c r="H11" s="149">
        <f t="shared" ref="H11:K11" si="2">H4-H10</f>
        <v>2026.4099999999999</v>
      </c>
      <c r="I11" s="149">
        <f t="shared" si="2"/>
        <v>1094</v>
      </c>
      <c r="J11" s="149">
        <f t="shared" si="2"/>
        <v>2211.14</v>
      </c>
      <c r="K11" s="149">
        <f t="shared" si="2"/>
        <v>2790.02</v>
      </c>
      <c r="L11" s="298">
        <f t="shared" ref="L11" si="3">SUM(B11:K11)</f>
        <v>17445.789999999997</v>
      </c>
      <c r="M11" s="7"/>
    </row>
    <row r="12" spans="1:13" ht="14.5" customHeight="1" x14ac:dyDescent="0.3">
      <c r="A12" s="299" t="s">
        <v>147</v>
      </c>
      <c r="B12" s="357">
        <f>AVERAGE(I11:K11)</f>
        <v>2031.72</v>
      </c>
      <c r="C12" s="358"/>
      <c r="D12" s="358"/>
      <c r="E12" s="358"/>
      <c r="F12" s="358"/>
      <c r="G12" s="358"/>
      <c r="H12" s="358"/>
      <c r="I12" s="358"/>
      <c r="J12" s="358"/>
      <c r="K12" s="359"/>
      <c r="L12" s="300"/>
    </row>
    <row r="13" spans="1:13" ht="13" x14ac:dyDescent="0.3">
      <c r="A13" s="299" t="s">
        <v>190</v>
      </c>
      <c r="B13" s="145">
        <f>B11/'Data Sheet'!B17</f>
        <v>8.10071817108345E-2</v>
      </c>
      <c r="C13" s="145">
        <f>C11/'Data Sheet'!C17</f>
        <v>8.4742254316866786E-2</v>
      </c>
      <c r="D13" s="145">
        <f>D11/'Data Sheet'!D17</f>
        <v>0.15706572713346337</v>
      </c>
      <c r="E13" s="145">
        <f>E11/'Data Sheet'!E17</f>
        <v>9.7435138697788887E-2</v>
      </c>
      <c r="F13" s="145">
        <f>F11/'Data Sheet'!F17</f>
        <v>7.6117635034180814E-2</v>
      </c>
      <c r="G13" s="145">
        <f>G11/'Data Sheet'!G17</f>
        <v>5.3997983011690877E-2</v>
      </c>
      <c r="H13" s="145">
        <f>H11/'Data Sheet'!H17</f>
        <v>8.017298985933792E-2</v>
      </c>
      <c r="I13" s="145">
        <f>I11/'Data Sheet'!I17</f>
        <v>3.9658803783174372E-2</v>
      </c>
      <c r="J13" s="145">
        <f>J11/'Data Sheet'!J17</f>
        <v>7.7740158283144706E-2</v>
      </c>
      <c r="K13" s="145">
        <f>K11/'Data Sheet'!K17</f>
        <v>9.7981421591368426E-2</v>
      </c>
      <c r="L13" s="300"/>
    </row>
    <row r="14" spans="1:13" ht="13.5" thickBot="1" x14ac:dyDescent="0.35">
      <c r="A14" s="301" t="s">
        <v>191</v>
      </c>
      <c r="B14" s="302">
        <f>B11/'Data Sheet'!B30</f>
        <v>0.86472496590486403</v>
      </c>
      <c r="C14" s="302">
        <f>C11/'Data Sheet'!C30</f>
        <v>0.81446604668580702</v>
      </c>
      <c r="D14" s="302">
        <f>D11/'Data Sheet'!D30</f>
        <v>1.1089867955892696</v>
      </c>
      <c r="E14" s="302">
        <f>E11/'Data Sheet'!E30</f>
        <v>0.98036205197365001</v>
      </c>
      <c r="F14" s="302">
        <f>F11/'Data Sheet'!F30</f>
        <v>0.75470222401634901</v>
      </c>
      <c r="G14" s="302">
        <f>G11/'Data Sheet'!G30</f>
        <v>0.60591740000755379</v>
      </c>
      <c r="H14" s="302">
        <f>H11/'Data Sheet'!H30</f>
        <v>0.9608028144973163</v>
      </c>
      <c r="I14" s="302">
        <f>I11/'Data Sheet'!I30</f>
        <v>0.45857715330058185</v>
      </c>
      <c r="J14" s="302">
        <f>J11/'Data Sheet'!J30</f>
        <v>0.69968577838674251</v>
      </c>
      <c r="K14" s="302">
        <f>K11/'Data Sheet'!K30</f>
        <v>0.82615364570995409</v>
      </c>
      <c r="L14" s="303"/>
    </row>
    <row r="16" spans="1:13" ht="104" x14ac:dyDescent="0.3">
      <c r="A16" s="267" t="s">
        <v>289</v>
      </c>
    </row>
    <row r="20" s="27" customFormat="1" x14ac:dyDescent="0.25"/>
  </sheetData>
  <mergeCells count="3">
    <mergeCell ref="B12:K12"/>
    <mergeCell ref="A1:L1"/>
    <mergeCell ref="A2:L2"/>
  </mergeCells>
  <printOptions gridLines="1"/>
  <pageMargins left="0.7" right="0.7" top="0.75" bottom="0.75" header="0.3" footer="0.3"/>
  <pageSetup paperSize="9" orientation="landscape" r:id="rId1"/>
  <extLst>
    <ext xmlns:x14="http://schemas.microsoft.com/office/spreadsheetml/2009/9/main" uri="{05C60535-1F16-4fd2-B633-F4F36F0B64E0}">
      <x14:sparklineGroups xmlns:xm="http://schemas.microsoft.com/office/excel/2006/main">
        <x14:sparklineGroup type="column" displayEmptyCellsAs="gap" xr2:uid="{31B158BE-32FD-443C-9A7A-34A49A256DB6}">
          <x14:colorSeries rgb="FFC00000"/>
          <x14:colorNegative rgb="FFD00000"/>
          <x14:colorAxis rgb="FF000000"/>
          <x14:colorMarkers rgb="FFD00000"/>
          <x14:colorFirst rgb="FFD00000"/>
          <x14:colorLast rgb="FFD00000"/>
          <x14:colorHigh rgb="FFD00000"/>
          <x14:colorLow rgb="FFD00000"/>
          <x14:sparklines>
            <x14:sparkline>
              <xm:f>'Cash Flow'!G11:K11</xm:f>
              <xm:sqref>M11</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FE2FC-E217-4C3F-BA44-BE1AD0FC8F27}">
  <dimension ref="A1:L47"/>
  <sheetViews>
    <sheetView workbookViewId="0">
      <selection activeCell="A3" sqref="A3:L4"/>
    </sheetView>
  </sheetViews>
  <sheetFormatPr defaultRowHeight="12.5" x14ac:dyDescent="0.25"/>
  <cols>
    <col min="1" max="1" width="32.08984375" style="8" customWidth="1"/>
    <col min="2" max="2" width="7.54296875" style="8" customWidth="1"/>
    <col min="3" max="7" width="7.453125" style="8" bestFit="1" customWidth="1"/>
    <col min="8" max="8" width="16.81640625" style="8" bestFit="1" customWidth="1"/>
    <col min="9" max="9" width="7.453125" style="8" bestFit="1" customWidth="1"/>
    <col min="10" max="10" width="10.08984375" style="8" bestFit="1" customWidth="1"/>
    <col min="11" max="12" width="9.26953125" style="8" bestFit="1" customWidth="1"/>
    <col min="13" max="16384" width="8.7265625" style="8"/>
  </cols>
  <sheetData>
    <row r="1" spans="1:12" ht="19" x14ac:dyDescent="0.4">
      <c r="A1" s="366" t="s">
        <v>109</v>
      </c>
      <c r="B1" s="367"/>
      <c r="C1" s="367"/>
      <c r="D1" s="367"/>
      <c r="E1" s="367"/>
      <c r="F1" s="367"/>
      <c r="G1" s="367"/>
      <c r="H1" s="367"/>
      <c r="I1" s="367"/>
      <c r="J1" s="367"/>
      <c r="K1" s="367"/>
      <c r="L1" s="368"/>
    </row>
    <row r="2" spans="1:12" ht="13" x14ac:dyDescent="0.3">
      <c r="A2" s="370" t="s">
        <v>300</v>
      </c>
      <c r="B2" s="371"/>
      <c r="C2" s="371"/>
      <c r="D2" s="371"/>
      <c r="E2" s="371"/>
      <c r="F2" s="371"/>
      <c r="G2" s="371"/>
      <c r="H2" s="371"/>
      <c r="I2" s="371"/>
      <c r="J2" s="371"/>
      <c r="K2" s="371"/>
      <c r="L2" s="372"/>
    </row>
    <row r="3" spans="1:12" ht="13" customHeight="1" x14ac:dyDescent="0.25">
      <c r="A3" s="374" t="s">
        <v>303</v>
      </c>
      <c r="B3" s="375"/>
      <c r="C3" s="375"/>
      <c r="D3" s="375"/>
      <c r="E3" s="375"/>
      <c r="F3" s="375"/>
      <c r="G3" s="375"/>
      <c r="H3" s="375"/>
      <c r="I3" s="375"/>
      <c r="J3" s="375"/>
      <c r="K3" s="375"/>
      <c r="L3" s="376"/>
    </row>
    <row r="4" spans="1:12" ht="13" customHeight="1" thickBot="1" x14ac:dyDescent="0.3">
      <c r="A4" s="377"/>
      <c r="B4" s="378"/>
      <c r="C4" s="378"/>
      <c r="D4" s="378"/>
      <c r="E4" s="378"/>
      <c r="F4" s="378"/>
      <c r="G4" s="378"/>
      <c r="H4" s="378"/>
      <c r="I4" s="378"/>
      <c r="J4" s="378"/>
      <c r="K4" s="378"/>
      <c r="L4" s="379"/>
    </row>
    <row r="6" spans="1:12" x14ac:dyDescent="0.25">
      <c r="A6" s="15" t="s">
        <v>93</v>
      </c>
      <c r="B6" s="380" t="str">
        <f>'Profit &amp; Loss'!A2</f>
        <v>HERO MOTOCORP LTD</v>
      </c>
      <c r="C6" s="380"/>
      <c r="D6" s="380"/>
      <c r="E6" s="380"/>
    </row>
    <row r="7" spans="1:12" x14ac:dyDescent="0.25">
      <c r="A7" s="15" t="s">
        <v>119</v>
      </c>
      <c r="B7" s="268">
        <f>'Profit &amp; Loss'!K3</f>
        <v>42825</v>
      </c>
    </row>
    <row r="8" spans="1:12" x14ac:dyDescent="0.25">
      <c r="A8" s="13"/>
      <c r="B8" s="13"/>
    </row>
    <row r="9" spans="1:12" ht="15.5" x14ac:dyDescent="0.35">
      <c r="A9" s="373" t="s">
        <v>257</v>
      </c>
      <c r="B9" s="373"/>
      <c r="C9" s="373"/>
      <c r="D9" s="373"/>
      <c r="E9" s="373"/>
      <c r="F9" s="373"/>
      <c r="H9" s="364" t="s">
        <v>116</v>
      </c>
      <c r="I9" s="364"/>
      <c r="J9" s="364"/>
      <c r="K9" s="364"/>
      <c r="L9" s="364"/>
    </row>
    <row r="10" spans="1:12" ht="13" x14ac:dyDescent="0.3">
      <c r="A10" s="52" t="s">
        <v>124</v>
      </c>
      <c r="B10" s="53">
        <f>'Profit &amp; Loss'!G3</f>
        <v>41364</v>
      </c>
      <c r="C10" s="53">
        <f>'Profit &amp; Loss'!H3</f>
        <v>41729</v>
      </c>
      <c r="D10" s="53">
        <f>'Profit &amp; Loss'!I3</f>
        <v>42094</v>
      </c>
      <c r="E10" s="53">
        <f>'Profit &amp; Loss'!J3</f>
        <v>42460</v>
      </c>
      <c r="F10" s="53">
        <f>'Profit &amp; Loss'!K3</f>
        <v>42825</v>
      </c>
      <c r="H10" s="54" t="s">
        <v>136</v>
      </c>
      <c r="I10" s="55" t="s">
        <v>90</v>
      </c>
      <c r="J10" s="179" t="s">
        <v>250</v>
      </c>
      <c r="K10" s="55" t="s">
        <v>115</v>
      </c>
      <c r="L10" s="55" t="s">
        <v>114</v>
      </c>
    </row>
    <row r="11" spans="1:12" x14ac:dyDescent="0.25">
      <c r="A11" s="15" t="s">
        <v>4</v>
      </c>
      <c r="B11" s="35">
        <f>'Data Sheet'!G17</f>
        <v>23768.11</v>
      </c>
      <c r="C11" s="35">
        <f>'Data Sheet'!H17</f>
        <v>25275.47</v>
      </c>
      <c r="D11" s="35">
        <f>'Data Sheet'!I17</f>
        <v>27585.3</v>
      </c>
      <c r="E11" s="35">
        <f>'Data Sheet'!J17</f>
        <v>28442.7</v>
      </c>
      <c r="F11" s="35">
        <f>'Data Sheet'!K17</f>
        <v>28474.99</v>
      </c>
      <c r="H11" s="46">
        <v>0.1</v>
      </c>
      <c r="I11" s="33">
        <f>$F$20/H11</f>
        <v>26232.285786335313</v>
      </c>
      <c r="J11" s="42">
        <f>'Balance Sheet'!K19-'Balance Sheet'!K6</f>
        <v>4618.1200000000008</v>
      </c>
      <c r="K11" s="36">
        <f>I11+J11</f>
        <v>30850.405786335315</v>
      </c>
      <c r="L11" s="42">
        <f>K11/'Data Sheet'!B6</f>
        <v>1544.8618850699913</v>
      </c>
    </row>
    <row r="12" spans="1:12" x14ac:dyDescent="0.25">
      <c r="A12" s="15" t="s">
        <v>87</v>
      </c>
      <c r="B12" s="16">
        <f>'Data Sheet'!G28+'Data Sheet'!G27</f>
        <v>2541.1099999999997</v>
      </c>
      <c r="C12" s="16">
        <f>'Data Sheet'!H28+'Data Sheet'!H27</f>
        <v>2879.07</v>
      </c>
      <c r="D12" s="16">
        <f>'Data Sheet'!I28+'Data Sheet'!I27</f>
        <v>3339.9100000000003</v>
      </c>
      <c r="E12" s="16">
        <f>'Data Sheet'!J28+'Data Sheet'!J27</f>
        <v>4439.76</v>
      </c>
      <c r="F12" s="16">
        <f>'Data Sheet'!K28+'Data Sheet'!K27</f>
        <v>4664.51</v>
      </c>
      <c r="H12" s="144">
        <v>0.12</v>
      </c>
      <c r="I12" s="47">
        <f>$F$20/H12</f>
        <v>21860.238155279429</v>
      </c>
      <c r="J12" s="47">
        <f>J11</f>
        <v>4618.1200000000008</v>
      </c>
      <c r="K12" s="48">
        <f t="shared" ref="K12:K13" si="0">I12+J12</f>
        <v>26478.358155279428</v>
      </c>
      <c r="L12" s="47">
        <f>K12/'Data Sheet'!B6</f>
        <v>1325.9276580226292</v>
      </c>
    </row>
    <row r="13" spans="1:12" ht="13" x14ac:dyDescent="0.3">
      <c r="A13" s="137" t="s">
        <v>112</v>
      </c>
      <c r="B13" s="143">
        <f>B12*0.5%</f>
        <v>12.705549999999999</v>
      </c>
      <c r="C13" s="143">
        <f t="shared" ref="C13:F13" si="1">C12*0.5%</f>
        <v>14.395350000000001</v>
      </c>
      <c r="D13" s="143">
        <f t="shared" si="1"/>
        <v>16.699550000000002</v>
      </c>
      <c r="E13" s="143">
        <f t="shared" si="1"/>
        <v>22.198800000000002</v>
      </c>
      <c r="F13" s="143">
        <f t="shared" si="1"/>
        <v>23.322550000000003</v>
      </c>
      <c r="H13" s="46">
        <v>0.15</v>
      </c>
      <c r="I13" s="33">
        <f>$F$20/H13</f>
        <v>17488.190524223544</v>
      </c>
      <c r="J13" s="42">
        <f>J12</f>
        <v>4618.1200000000008</v>
      </c>
      <c r="K13" s="36">
        <f t="shared" si="0"/>
        <v>22106.310524223547</v>
      </c>
      <c r="L13" s="42">
        <f>K13/'Data Sheet'!B6</f>
        <v>1106.9934309752675</v>
      </c>
    </row>
    <row r="14" spans="1:12" x14ac:dyDescent="0.25">
      <c r="A14" s="15" t="s">
        <v>192</v>
      </c>
      <c r="B14" s="16">
        <f>B12-B13</f>
        <v>2528.4044499999995</v>
      </c>
      <c r="C14" s="16">
        <f t="shared" ref="C14:F14" si="2">C12-C13</f>
        <v>2864.6746500000004</v>
      </c>
      <c r="D14" s="16">
        <f t="shared" si="2"/>
        <v>3323.2104500000005</v>
      </c>
      <c r="E14" s="16">
        <f t="shared" si="2"/>
        <v>4417.5612000000001</v>
      </c>
      <c r="F14" s="16">
        <f t="shared" si="2"/>
        <v>4641.1874500000004</v>
      </c>
      <c r="H14" s="365" t="s">
        <v>121</v>
      </c>
      <c r="I14" s="365"/>
      <c r="J14" s="365"/>
      <c r="K14" s="47">
        <f>'Data Sheet'!B9</f>
        <v>78259.199999999997</v>
      </c>
      <c r="L14" s="15"/>
    </row>
    <row r="15" spans="1:12" x14ac:dyDescent="0.25">
      <c r="A15" s="45" t="s">
        <v>193</v>
      </c>
      <c r="B15" s="32">
        <f>B14/B11</f>
        <v>0.10637801869816318</v>
      </c>
      <c r="C15" s="32">
        <f t="shared" ref="C15:F15" si="3">C14/C11</f>
        <v>0.11333813574980012</v>
      </c>
      <c r="D15" s="32">
        <f t="shared" si="3"/>
        <v>0.12047033927490368</v>
      </c>
      <c r="E15" s="32">
        <f t="shared" si="3"/>
        <v>0.15531441107911695</v>
      </c>
      <c r="F15" s="32">
        <f t="shared" si="3"/>
        <v>0.16299171483466721</v>
      </c>
      <c r="H15" s="365" t="s">
        <v>118</v>
      </c>
      <c r="I15" s="365"/>
      <c r="J15" s="365"/>
      <c r="K15" s="49">
        <f>K12/K14</f>
        <v>0.33834179438685075</v>
      </c>
      <c r="L15" s="15"/>
    </row>
    <row r="16" spans="1:12" x14ac:dyDescent="0.25">
      <c r="A16" s="45" t="s">
        <v>113</v>
      </c>
      <c r="B16" s="32">
        <f>'Data Sheet'!G29/'Data Sheet'!G28</f>
        <v>0.1625177921872529</v>
      </c>
      <c r="C16" s="32">
        <f>'Data Sheet'!H29/'Data Sheet'!H28</f>
        <v>0.26442409974714448</v>
      </c>
      <c r="D16" s="32">
        <f>'Data Sheet'!I29/'Data Sheet'!I28</f>
        <v>0.28333763916342725</v>
      </c>
      <c r="E16" s="32">
        <f>'Data Sheet'!J29/'Data Sheet'!J28</f>
        <v>0.28742217922960539</v>
      </c>
      <c r="F16" s="32">
        <f>'Data Sheet'!K29/'Data Sheet'!K28</f>
        <v>0.27505656375712145</v>
      </c>
    </row>
    <row r="17" spans="1:12" x14ac:dyDescent="0.25">
      <c r="A17" s="45" t="s">
        <v>256</v>
      </c>
      <c r="B17" s="37">
        <f>B14*(1-B16)</f>
        <v>2117.4937410295743</v>
      </c>
      <c r="C17" s="37">
        <f t="shared" ref="C17:F17" si="4">C14*(1-C16)</f>
        <v>2107.1856346052841</v>
      </c>
      <c r="D17" s="37">
        <f t="shared" si="4"/>
        <v>2381.6198466537699</v>
      </c>
      <c r="E17" s="37">
        <f t="shared" si="4"/>
        <v>3147.8561330158491</v>
      </c>
      <c r="F17" s="37">
        <f t="shared" si="4"/>
        <v>3364.5983782503235</v>
      </c>
      <c r="H17" s="369" t="s">
        <v>249</v>
      </c>
      <c r="I17" s="369"/>
      <c r="J17" s="369"/>
      <c r="K17" s="369"/>
      <c r="L17" s="369"/>
    </row>
    <row r="18" spans="1:12" ht="13" customHeight="1" x14ac:dyDescent="0.25">
      <c r="A18" s="45" t="s">
        <v>8</v>
      </c>
      <c r="B18" s="37">
        <f>'Data Sheet'!G26</f>
        <v>1141.75</v>
      </c>
      <c r="C18" s="37">
        <f>'Data Sheet'!H26</f>
        <v>1107.3699999999999</v>
      </c>
      <c r="D18" s="37">
        <f>'Data Sheet'!I26</f>
        <v>539.97</v>
      </c>
      <c r="E18" s="37">
        <f>'Data Sheet'!J26</f>
        <v>437.64</v>
      </c>
      <c r="F18" s="37">
        <f>'Data Sheet'!K26</f>
        <v>492.73</v>
      </c>
      <c r="H18" s="369"/>
      <c r="I18" s="369"/>
      <c r="J18" s="369"/>
      <c r="K18" s="369"/>
      <c r="L18" s="369"/>
    </row>
    <row r="19" spans="1:12" ht="12.5" customHeight="1" x14ac:dyDescent="0.25">
      <c r="A19" s="45" t="s">
        <v>265</v>
      </c>
      <c r="B19" s="37">
        <f>B40</f>
        <v>584.16166341105964</v>
      </c>
      <c r="C19" s="37">
        <f>C40</f>
        <v>754.93106071131319</v>
      </c>
      <c r="D19" s="37">
        <f>D40</f>
        <v>877.00341123740395</v>
      </c>
      <c r="E19" s="37">
        <f>E40</f>
        <v>1534.4375407692123</v>
      </c>
      <c r="F19" s="37">
        <f>F40</f>
        <v>1234.0997996167923</v>
      </c>
      <c r="H19" s="369"/>
      <c r="I19" s="369"/>
      <c r="J19" s="369"/>
      <c r="K19" s="369"/>
      <c r="L19" s="369"/>
    </row>
    <row r="20" spans="1:12" x14ac:dyDescent="0.25">
      <c r="A20" s="45" t="s">
        <v>261</v>
      </c>
      <c r="B20" s="37">
        <f>B17+B18-B19</f>
        <v>2675.0820776185146</v>
      </c>
      <c r="C20" s="37">
        <f>C17+C18-C19</f>
        <v>2459.6245738939706</v>
      </c>
      <c r="D20" s="37">
        <f>D17+D18-D19</f>
        <v>2044.5864354163662</v>
      </c>
      <c r="E20" s="37">
        <f>E17+E18-E19</f>
        <v>2051.0585922466366</v>
      </c>
      <c r="F20" s="180">
        <f>F17+F18-F19</f>
        <v>2623.2285786335315</v>
      </c>
    </row>
    <row r="21" spans="1:12" x14ac:dyDescent="0.25">
      <c r="A21" s="45" t="s">
        <v>194</v>
      </c>
      <c r="B21" s="37">
        <f>'Data Sheet'!G30</f>
        <v>2118.16</v>
      </c>
      <c r="C21" s="37">
        <f>'Data Sheet'!H30</f>
        <v>2109.08</v>
      </c>
      <c r="D21" s="37">
        <f>'Data Sheet'!I30</f>
        <v>2385.64</v>
      </c>
      <c r="E21" s="37">
        <f>'Data Sheet'!J30</f>
        <v>3160.19</v>
      </c>
      <c r="F21" s="37">
        <f>'Data Sheet'!K30</f>
        <v>3377.12</v>
      </c>
    </row>
    <row r="22" spans="1:12" ht="13" x14ac:dyDescent="0.3">
      <c r="A22" s="38"/>
      <c r="B22" s="39"/>
      <c r="C22" s="39"/>
      <c r="D22" s="39"/>
      <c r="E22" s="39"/>
      <c r="F22" s="39"/>
      <c r="G22" s="27"/>
    </row>
    <row r="23" spans="1:12" ht="13" x14ac:dyDescent="0.3">
      <c r="A23" s="269" t="s">
        <v>263</v>
      </c>
      <c r="B23" s="39"/>
      <c r="C23" s="39"/>
      <c r="D23" s="39"/>
      <c r="E23" s="39"/>
      <c r="F23" s="39"/>
      <c r="G23" s="27"/>
    </row>
    <row r="24" spans="1:12" x14ac:dyDescent="0.25">
      <c r="A24" s="17" t="s">
        <v>258</v>
      </c>
      <c r="B24" s="39"/>
      <c r="C24" s="39"/>
      <c r="D24" s="39"/>
      <c r="E24" s="39"/>
      <c r="F24" s="39"/>
      <c r="G24" s="39"/>
    </row>
    <row r="25" spans="1:12" x14ac:dyDescent="0.25">
      <c r="A25" s="8" t="s">
        <v>296</v>
      </c>
      <c r="B25" s="39"/>
      <c r="C25" s="39"/>
      <c r="D25" s="39"/>
      <c r="E25" s="39"/>
      <c r="F25" s="39"/>
      <c r="G25" s="17"/>
    </row>
    <row r="26" spans="1:12" x14ac:dyDescent="0.25">
      <c r="A26" s="8" t="s">
        <v>260</v>
      </c>
      <c r="B26" s="39"/>
      <c r="C26" s="39"/>
      <c r="D26" s="39"/>
      <c r="E26" s="39"/>
      <c r="F26" s="39"/>
      <c r="G26" s="17"/>
    </row>
    <row r="27" spans="1:12" x14ac:dyDescent="0.25">
      <c r="A27" s="8" t="s">
        <v>259</v>
      </c>
      <c r="B27" s="39"/>
      <c r="C27" s="39"/>
      <c r="D27" s="39"/>
      <c r="E27" s="39"/>
      <c r="F27" s="39"/>
      <c r="G27" s="17"/>
    </row>
    <row r="28" spans="1:12" x14ac:dyDescent="0.25">
      <c r="A28" s="8" t="s">
        <v>262</v>
      </c>
      <c r="B28" s="39"/>
      <c r="C28" s="39"/>
      <c r="D28" s="39"/>
      <c r="E28" s="39"/>
      <c r="F28" s="39"/>
      <c r="G28" s="17"/>
      <c r="H28" s="17"/>
    </row>
    <row r="29" spans="1:12" x14ac:dyDescent="0.25">
      <c r="A29" s="8" t="s">
        <v>302</v>
      </c>
      <c r="B29" s="39"/>
      <c r="C29" s="39"/>
      <c r="D29" s="39"/>
      <c r="E29" s="39"/>
      <c r="F29" s="39"/>
      <c r="G29" s="17"/>
      <c r="H29" s="17"/>
    </row>
    <row r="30" spans="1:12" x14ac:dyDescent="0.25">
      <c r="A30" s="8" t="s">
        <v>301</v>
      </c>
      <c r="B30" s="39"/>
      <c r="C30" s="39"/>
      <c r="D30" s="39"/>
      <c r="E30" s="39"/>
      <c r="F30" s="39"/>
      <c r="G30" s="17"/>
      <c r="H30" s="17"/>
    </row>
    <row r="31" spans="1:12" ht="13" x14ac:dyDescent="0.3">
      <c r="A31" s="38"/>
      <c r="B31" s="39"/>
      <c r="C31" s="39"/>
      <c r="D31" s="39"/>
      <c r="E31" s="39"/>
      <c r="F31" s="39"/>
      <c r="G31" s="17"/>
      <c r="H31" s="17"/>
    </row>
    <row r="32" spans="1:12" ht="15.5" x14ac:dyDescent="0.35">
      <c r="A32" s="363" t="s">
        <v>117</v>
      </c>
      <c r="B32" s="363"/>
      <c r="C32" s="363"/>
      <c r="D32" s="363"/>
      <c r="E32" s="363"/>
      <c r="F32" s="363"/>
    </row>
    <row r="33" spans="1:9" ht="13" x14ac:dyDescent="0.3">
      <c r="A33" s="52" t="s">
        <v>124</v>
      </c>
      <c r="B33" s="56">
        <f>'Data Sheet'!G16</f>
        <v>41364</v>
      </c>
      <c r="C33" s="56">
        <f>'Data Sheet'!H16</f>
        <v>41729</v>
      </c>
      <c r="D33" s="56">
        <f>'Data Sheet'!I16</f>
        <v>42094</v>
      </c>
      <c r="E33" s="56">
        <f>'Data Sheet'!J16</f>
        <v>42460</v>
      </c>
      <c r="F33" s="56">
        <f>'Data Sheet'!K16</f>
        <v>42825</v>
      </c>
    </row>
    <row r="34" spans="1:9" x14ac:dyDescent="0.25">
      <c r="A34" s="40" t="s">
        <v>252</v>
      </c>
      <c r="B34" s="42">
        <f>'Data Sheet'!G62</f>
        <v>3070.98</v>
      </c>
      <c r="C34" s="42">
        <f>'Data Sheet'!H62</f>
        <v>2243.25</v>
      </c>
      <c r="D34" s="42">
        <f>'Data Sheet'!I62</f>
        <v>2912.69</v>
      </c>
      <c r="E34" s="42">
        <f>'Data Sheet'!J62</f>
        <v>3584.35</v>
      </c>
      <c r="F34" s="42">
        <f>'Data Sheet'!K62</f>
        <v>4395.59</v>
      </c>
      <c r="H34" s="34"/>
      <c r="I34" s="34"/>
    </row>
    <row r="35" spans="1:9" x14ac:dyDescent="0.25">
      <c r="A35" s="40" t="s">
        <v>110</v>
      </c>
      <c r="B35" s="42">
        <f>'Data Sheet'!G17</f>
        <v>23768.11</v>
      </c>
      <c r="C35" s="42">
        <f>'Data Sheet'!H17</f>
        <v>25275.47</v>
      </c>
      <c r="D35" s="42">
        <f>'Data Sheet'!I17</f>
        <v>27585.3</v>
      </c>
      <c r="E35" s="42">
        <f>'Data Sheet'!J17</f>
        <v>28442.7</v>
      </c>
      <c r="F35" s="42">
        <f>'Data Sheet'!K17</f>
        <v>28474.99</v>
      </c>
      <c r="G35" s="34"/>
      <c r="H35" s="34"/>
      <c r="I35" s="34"/>
    </row>
    <row r="36" spans="1:9" x14ac:dyDescent="0.25">
      <c r="A36" s="40" t="s">
        <v>254</v>
      </c>
      <c r="B36" s="44">
        <f t="shared" ref="B36:F36" si="5">B34/B35</f>
        <v>0.12920589815513309</v>
      </c>
      <c r="C36" s="44">
        <f t="shared" si="5"/>
        <v>8.8752058814336579E-2</v>
      </c>
      <c r="D36" s="44">
        <f t="shared" si="5"/>
        <v>0.10558848372140235</v>
      </c>
      <c r="E36" s="44">
        <f t="shared" si="5"/>
        <v>0.12602003325985225</v>
      </c>
      <c r="F36" s="44">
        <f t="shared" si="5"/>
        <v>0.15436669161253436</v>
      </c>
      <c r="G36" s="34"/>
    </row>
    <row r="37" spans="1:9" x14ac:dyDescent="0.25">
      <c r="A37" s="66" t="s">
        <v>253</v>
      </c>
      <c r="B37" s="67">
        <f>(B11-'Data Sheet'!F17)</f>
        <v>189.08000000000175</v>
      </c>
      <c r="C37" s="67">
        <f>(C11-B11)</f>
        <v>1507.3600000000006</v>
      </c>
      <c r="D37" s="67">
        <f>(D11-C11)</f>
        <v>2309.8299999999981</v>
      </c>
      <c r="E37" s="67">
        <f>(E11-D11)</f>
        <v>857.40000000000146</v>
      </c>
      <c r="F37" s="67">
        <f>(F11-E11)</f>
        <v>32.290000000000873</v>
      </c>
    </row>
    <row r="38" spans="1:9" x14ac:dyDescent="0.25">
      <c r="A38" s="66" t="s">
        <v>111</v>
      </c>
      <c r="B38" s="67">
        <f>'Cash Flow'!G10</f>
        <v>607</v>
      </c>
      <c r="C38" s="67">
        <f>'Cash Flow'!H10</f>
        <v>937</v>
      </c>
      <c r="D38" s="67">
        <f>'Cash Flow'!I10</f>
        <v>1156</v>
      </c>
      <c r="E38" s="67">
        <f>'Cash Flow'!J10</f>
        <v>1638</v>
      </c>
      <c r="F38" s="67">
        <f>'Cash Flow'!K10</f>
        <v>1238</v>
      </c>
    </row>
    <row r="39" spans="1:9" x14ac:dyDescent="0.25">
      <c r="A39" s="40" t="s">
        <v>88</v>
      </c>
      <c r="B39" s="41">
        <f>B37*AVERAGE($B$36:$F$36)</f>
        <v>22.8383365889404</v>
      </c>
      <c r="C39" s="41">
        <f>C37*AVERAGE($B$36:$F$36)</f>
        <v>182.06893928868678</v>
      </c>
      <c r="D39" s="41">
        <f>D37*AVERAGE($B$36:$F$36)</f>
        <v>278.9965887625961</v>
      </c>
      <c r="E39" s="41">
        <f>E37*AVERAGE($B$36:$F$36)</f>
        <v>103.56245923078777</v>
      </c>
      <c r="F39" s="41">
        <f>F37*AVERAGE($B$36:$F$36)</f>
        <v>3.9002003832076295</v>
      </c>
    </row>
    <row r="40" spans="1:9" x14ac:dyDescent="0.25">
      <c r="A40" s="40" t="s">
        <v>89</v>
      </c>
      <c r="B40" s="43">
        <f>B38-B39</f>
        <v>584.16166341105964</v>
      </c>
      <c r="C40" s="43">
        <f>C38-C39</f>
        <v>754.93106071131319</v>
      </c>
      <c r="D40" s="43">
        <f>D38-D39</f>
        <v>877.00341123740395</v>
      </c>
      <c r="E40" s="43">
        <f>E38-E39</f>
        <v>1534.4375407692123</v>
      </c>
      <c r="F40" s="43">
        <f>F38-F39</f>
        <v>1234.0997996167923</v>
      </c>
    </row>
    <row r="41" spans="1:9" x14ac:dyDescent="0.25">
      <c r="A41" s="17"/>
      <c r="B41" s="17"/>
      <c r="C41" s="17"/>
      <c r="D41" s="17"/>
      <c r="E41" s="17"/>
      <c r="F41" s="17"/>
    </row>
    <row r="42" spans="1:9" ht="13" x14ac:dyDescent="0.3">
      <c r="A42" s="269" t="s">
        <v>264</v>
      </c>
    </row>
    <row r="43" spans="1:9" x14ac:dyDescent="0.25">
      <c r="A43" s="17" t="s">
        <v>297</v>
      </c>
    </row>
    <row r="44" spans="1:9" x14ac:dyDescent="0.25">
      <c r="A44" s="17" t="s">
        <v>251</v>
      </c>
    </row>
    <row r="45" spans="1:9" x14ac:dyDescent="0.25">
      <c r="A45" s="17" t="s">
        <v>298</v>
      </c>
    </row>
    <row r="46" spans="1:9" ht="13" x14ac:dyDescent="0.3">
      <c r="A46" s="17" t="s">
        <v>299</v>
      </c>
      <c r="C46" s="34"/>
      <c r="D46" s="34"/>
      <c r="E46" s="34"/>
      <c r="F46" s="34"/>
    </row>
    <row r="47" spans="1:9" x14ac:dyDescent="0.25">
      <c r="C47" s="34"/>
      <c r="D47" s="34"/>
      <c r="E47" s="34"/>
      <c r="F47" s="34"/>
    </row>
  </sheetData>
  <mergeCells count="10">
    <mergeCell ref="A32:F32"/>
    <mergeCell ref="H9:L9"/>
    <mergeCell ref="H14:J14"/>
    <mergeCell ref="H15:J15"/>
    <mergeCell ref="A1:L1"/>
    <mergeCell ref="H17:L19"/>
    <mergeCell ref="A2:L2"/>
    <mergeCell ref="A9:F9"/>
    <mergeCell ref="A3:L4"/>
    <mergeCell ref="B6:E6"/>
  </mergeCells>
  <hyperlinks>
    <hyperlink ref="A2:L2" r:id="rId1" display="Read the book - Value Investing: From Graham to Buffett and Beyond by Bruce Greenwald" xr:uid="{5365D6CB-73E8-4A7A-880E-32486C7C3B32}"/>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7"/>
  <sheetViews>
    <sheetView workbookViewId="0">
      <selection activeCell="C18" sqref="C18"/>
    </sheetView>
  </sheetViews>
  <sheetFormatPr defaultRowHeight="12.5" x14ac:dyDescent="0.25"/>
  <cols>
    <col min="1" max="1" width="4.7265625" style="8" bestFit="1" customWidth="1"/>
    <col min="2" max="2" width="9.36328125" style="8" customWidth="1"/>
    <col min="3" max="3" width="10.90625" style="8" bestFit="1" customWidth="1"/>
    <col min="4" max="4" width="16.1796875" style="8" bestFit="1" customWidth="1"/>
    <col min="5" max="5" width="13" style="8" bestFit="1" customWidth="1"/>
    <col min="6" max="6" width="6.81640625" style="8" customWidth="1"/>
    <col min="7" max="7" width="8.7265625" style="8"/>
    <col min="8" max="8" width="4.7265625" style="8" bestFit="1" customWidth="1"/>
    <col min="9" max="9" width="8.453125" style="8" customWidth="1"/>
    <col min="10" max="10" width="10.90625" style="8" bestFit="1" customWidth="1"/>
    <col min="11" max="11" width="16.1796875" style="8" bestFit="1" customWidth="1"/>
    <col min="12" max="12" width="13" style="8" bestFit="1" customWidth="1"/>
    <col min="13" max="13" width="7" style="8" customWidth="1"/>
    <col min="14" max="16384" width="8.7265625" style="8"/>
  </cols>
  <sheetData>
    <row r="1" spans="1:13" ht="19" x14ac:dyDescent="0.4">
      <c r="A1" s="366" t="s">
        <v>277</v>
      </c>
      <c r="B1" s="367"/>
      <c r="C1" s="367"/>
      <c r="D1" s="367"/>
      <c r="E1" s="367"/>
      <c r="F1" s="367"/>
      <c r="G1" s="367"/>
      <c r="H1" s="367"/>
      <c r="I1" s="367"/>
      <c r="J1" s="367"/>
      <c r="K1" s="367"/>
      <c r="L1" s="367"/>
      <c r="M1" s="368"/>
    </row>
    <row r="2" spans="1:13" ht="13.5" thickBot="1" x14ac:dyDescent="0.35">
      <c r="A2" s="389" t="s">
        <v>278</v>
      </c>
      <c r="B2" s="390"/>
      <c r="C2" s="390"/>
      <c r="D2" s="390"/>
      <c r="E2" s="390"/>
      <c r="F2" s="390"/>
      <c r="G2" s="390"/>
      <c r="H2" s="390"/>
      <c r="I2" s="390"/>
      <c r="J2" s="390"/>
      <c r="K2" s="390"/>
      <c r="L2" s="390"/>
      <c r="M2" s="391"/>
    </row>
    <row r="4" spans="1:13" ht="13" x14ac:dyDescent="0.3">
      <c r="A4" s="395" t="str">
        <f>'Data Sheet'!B1</f>
        <v>HERO MOTOCORP LTD</v>
      </c>
      <c r="B4" s="395"/>
      <c r="C4" s="395"/>
      <c r="D4" s="395"/>
      <c r="H4" s="395" t="str">
        <f>A4</f>
        <v>HERO MOTOCORP LTD</v>
      </c>
      <c r="I4" s="395"/>
      <c r="J4" s="395"/>
      <c r="K4" s="395"/>
    </row>
    <row r="5" spans="1:13" ht="13" x14ac:dyDescent="0.3">
      <c r="A5" s="395" t="s">
        <v>279</v>
      </c>
      <c r="B5" s="395"/>
      <c r="C5" s="395"/>
      <c r="D5" s="395"/>
      <c r="E5" s="393"/>
      <c r="F5" s="394"/>
      <c r="H5" s="395" t="s">
        <v>280</v>
      </c>
      <c r="I5" s="395"/>
      <c r="J5" s="395"/>
      <c r="K5" s="395"/>
      <c r="L5" s="393"/>
      <c r="M5" s="394"/>
    </row>
    <row r="6" spans="1:13" ht="13" x14ac:dyDescent="0.3">
      <c r="A6" s="63" t="s">
        <v>125</v>
      </c>
      <c r="B6" s="64"/>
      <c r="C6" s="65" t="s">
        <v>126</v>
      </c>
      <c r="D6" s="64" t="s">
        <v>127</v>
      </c>
      <c r="E6" s="392" t="s">
        <v>128</v>
      </c>
      <c r="F6" s="392"/>
      <c r="H6" s="63" t="s">
        <v>125</v>
      </c>
      <c r="I6" s="64"/>
      <c r="J6" s="65" t="s">
        <v>126</v>
      </c>
      <c r="K6" s="64" t="s">
        <v>127</v>
      </c>
      <c r="L6" s="392" t="s">
        <v>128</v>
      </c>
      <c r="M6" s="392"/>
    </row>
    <row r="7" spans="1:13" ht="13" x14ac:dyDescent="0.3">
      <c r="A7" s="58">
        <v>0</v>
      </c>
      <c r="B7" s="15" t="s">
        <v>145</v>
      </c>
      <c r="C7" s="59"/>
      <c r="D7" s="61">
        <f>'Balance Sheet'!K19</f>
        <v>4618.1200000000008</v>
      </c>
      <c r="E7" s="57" t="s">
        <v>129</v>
      </c>
      <c r="F7" s="68">
        <v>0.15</v>
      </c>
      <c r="H7" s="58">
        <v>0</v>
      </c>
      <c r="I7" s="15" t="s">
        <v>145</v>
      </c>
      <c r="J7" s="59"/>
      <c r="K7" s="61">
        <f>D7</f>
        <v>4618.1200000000008</v>
      </c>
      <c r="L7" s="57" t="s">
        <v>129</v>
      </c>
      <c r="M7" s="68">
        <v>0.2</v>
      </c>
    </row>
    <row r="8" spans="1:13" ht="13" x14ac:dyDescent="0.3">
      <c r="A8" s="58">
        <v>1</v>
      </c>
      <c r="B8" s="15" t="s">
        <v>130</v>
      </c>
      <c r="C8" s="60">
        <f>'Cash Flow'!B12*(1+$F$7)</f>
        <v>2336.4780000000001</v>
      </c>
      <c r="D8" s="61">
        <f>C8/((1+$F$10)^A8)</f>
        <v>2086.1410714285712</v>
      </c>
      <c r="E8" s="57" t="s">
        <v>131</v>
      </c>
      <c r="F8" s="68">
        <v>0.1</v>
      </c>
      <c r="H8" s="58">
        <v>1</v>
      </c>
      <c r="I8" s="15" t="s">
        <v>130</v>
      </c>
      <c r="J8" s="60">
        <f>'Cash Flow'!B12*(1+$M$7)</f>
        <v>2438.0639999999999</v>
      </c>
      <c r="K8" s="61">
        <f>J8/((1+$M$10)^H8)</f>
        <v>2176.8428571428567</v>
      </c>
      <c r="L8" s="57" t="s">
        <v>131</v>
      </c>
      <c r="M8" s="68">
        <v>0.15</v>
      </c>
    </row>
    <row r="9" spans="1:13" ht="13" x14ac:dyDescent="0.3">
      <c r="A9" s="58">
        <v>2</v>
      </c>
      <c r="B9" s="15" t="s">
        <v>132</v>
      </c>
      <c r="C9" s="60">
        <f>C8*(1+$F$7)</f>
        <v>2686.9496999999997</v>
      </c>
      <c r="D9" s="61">
        <f t="shared" ref="D9:D18" si="0">C9/((1+$F$10)^A9)</f>
        <v>2142.0198501275504</v>
      </c>
      <c r="E9" s="57" t="s">
        <v>133</v>
      </c>
      <c r="F9" s="68">
        <v>0.05</v>
      </c>
      <c r="H9" s="58">
        <v>2</v>
      </c>
      <c r="I9" s="15" t="s">
        <v>132</v>
      </c>
      <c r="J9" s="60">
        <f>J8*(1+$M$7)</f>
        <v>2925.6767999999997</v>
      </c>
      <c r="K9" s="61">
        <f t="shared" ref="K9:K18" si="1">J9/((1+$M$10)^H9)</f>
        <v>2332.3316326530608</v>
      </c>
      <c r="L9" s="57" t="s">
        <v>133</v>
      </c>
      <c r="M9" s="68">
        <v>0.1</v>
      </c>
    </row>
    <row r="10" spans="1:13" ht="13" x14ac:dyDescent="0.3">
      <c r="A10" s="58">
        <v>3</v>
      </c>
      <c r="B10" s="15" t="s">
        <v>134</v>
      </c>
      <c r="C10" s="60">
        <f>C9*(1+$F$7)</f>
        <v>3089.9921549999995</v>
      </c>
      <c r="D10" s="61">
        <f t="shared" si="0"/>
        <v>2199.3953818273953</v>
      </c>
      <c r="E10" s="57" t="s">
        <v>136</v>
      </c>
      <c r="F10" s="68">
        <v>0.12</v>
      </c>
      <c r="H10" s="58">
        <v>3</v>
      </c>
      <c r="I10" s="15" t="s">
        <v>134</v>
      </c>
      <c r="J10" s="60">
        <f>J9*(1+$M$7)</f>
        <v>3510.8121599999995</v>
      </c>
      <c r="K10" s="61">
        <f t="shared" si="1"/>
        <v>2498.926749271136</v>
      </c>
      <c r="L10" s="57" t="s">
        <v>136</v>
      </c>
      <c r="M10" s="68">
        <v>0.12</v>
      </c>
    </row>
    <row r="11" spans="1:13" x14ac:dyDescent="0.25">
      <c r="A11" s="58">
        <v>4</v>
      </c>
      <c r="B11" s="15" t="s">
        <v>135</v>
      </c>
      <c r="C11" s="60">
        <f>C10*(1+$F$8)</f>
        <v>3398.9913704999999</v>
      </c>
      <c r="D11" s="61">
        <f t="shared" si="0"/>
        <v>2160.1204642947637</v>
      </c>
      <c r="H11" s="58">
        <v>4</v>
      </c>
      <c r="I11" s="15" t="s">
        <v>135</v>
      </c>
      <c r="J11" s="60">
        <f>J10*(1+$M$8)</f>
        <v>4037.4339839999993</v>
      </c>
      <c r="K11" s="61">
        <f t="shared" si="1"/>
        <v>2565.8622871980415</v>
      </c>
    </row>
    <row r="12" spans="1:13" ht="13" x14ac:dyDescent="0.3">
      <c r="A12" s="58">
        <v>5</v>
      </c>
      <c r="B12" s="15" t="s">
        <v>137</v>
      </c>
      <c r="C12" s="60">
        <f t="shared" ref="C12:C13" si="2">C11*(1+$F$8)</f>
        <v>3738.8905075500002</v>
      </c>
      <c r="D12" s="61">
        <f t="shared" si="0"/>
        <v>2121.5468845752143</v>
      </c>
      <c r="E12" s="399" t="s">
        <v>304</v>
      </c>
      <c r="F12" s="399"/>
      <c r="G12" s="13"/>
      <c r="H12" s="58">
        <v>5</v>
      </c>
      <c r="I12" s="15" t="s">
        <v>137</v>
      </c>
      <c r="J12" s="60">
        <f t="shared" ref="J12:J13" si="3">J11*(1+$M$8)</f>
        <v>4643.0490815999992</v>
      </c>
      <c r="K12" s="61">
        <f t="shared" si="1"/>
        <v>2634.5907413194172</v>
      </c>
    </row>
    <row r="13" spans="1:13" ht="13" x14ac:dyDescent="0.3">
      <c r="A13" s="58">
        <v>6</v>
      </c>
      <c r="B13" s="15" t="s">
        <v>138</v>
      </c>
      <c r="C13" s="60">
        <f t="shared" si="2"/>
        <v>4112.7795583050001</v>
      </c>
      <c r="D13" s="61">
        <f t="shared" si="0"/>
        <v>2083.662118779228</v>
      </c>
      <c r="E13" s="137" t="s">
        <v>4</v>
      </c>
      <c r="F13" s="145">
        <f>('Profit &amp; Loss'!K4/'Profit &amp; Loss'!F4)^(1/5)-1</f>
        <v>3.84546349016337E-2</v>
      </c>
      <c r="H13" s="58">
        <v>6</v>
      </c>
      <c r="I13" s="15" t="s">
        <v>138</v>
      </c>
      <c r="J13" s="60">
        <f t="shared" si="3"/>
        <v>5339.5064438399986</v>
      </c>
      <c r="K13" s="61">
        <f t="shared" si="1"/>
        <v>2705.1601361761868</v>
      </c>
    </row>
    <row r="14" spans="1:13" ht="13" x14ac:dyDescent="0.3">
      <c r="A14" s="58">
        <v>7</v>
      </c>
      <c r="B14" s="15" t="s">
        <v>139</v>
      </c>
      <c r="C14" s="60">
        <f>C13*(1+$F$9)</f>
        <v>4318.4185362202506</v>
      </c>
      <c r="D14" s="61">
        <f t="shared" si="0"/>
        <v>1953.4332363555263</v>
      </c>
      <c r="E14" s="137" t="s">
        <v>148</v>
      </c>
      <c r="F14" s="145">
        <f>('Profit &amp; Loss'!K19/'Profit &amp; Loss'!F19)^(1/5)-1</f>
        <v>0.10212877498041228</v>
      </c>
      <c r="H14" s="58">
        <v>7</v>
      </c>
      <c r="I14" s="15" t="s">
        <v>139</v>
      </c>
      <c r="J14" s="60">
        <f>J13*(1+$M$9)</f>
        <v>5873.4570882239987</v>
      </c>
      <c r="K14" s="61">
        <f t="shared" si="1"/>
        <v>2656.8537051730409</v>
      </c>
    </row>
    <row r="15" spans="1:13" ht="13" x14ac:dyDescent="0.3">
      <c r="A15" s="58">
        <v>8</v>
      </c>
      <c r="B15" s="15" t="s">
        <v>140</v>
      </c>
      <c r="C15" s="60">
        <f t="shared" ref="C15:C17" si="4">C14*(1+$F$9)</f>
        <v>4534.3394630312632</v>
      </c>
      <c r="D15" s="61">
        <f t="shared" si="0"/>
        <v>1831.3436590833057</v>
      </c>
      <c r="E15" s="137" t="s">
        <v>146</v>
      </c>
      <c r="F15" s="145">
        <f>('Cash Flow'!K11/'Cash Flow'!F11)^(1/5)-1</f>
        <v>9.224287162066136E-2</v>
      </c>
      <c r="H15" s="58">
        <v>8</v>
      </c>
      <c r="I15" s="15" t="s">
        <v>140</v>
      </c>
      <c r="J15" s="60">
        <f t="shared" ref="J15:J17" si="5">J14*(1+$M$9)</f>
        <v>6460.8027970463991</v>
      </c>
      <c r="K15" s="61">
        <f t="shared" si="1"/>
        <v>2609.4098890092364</v>
      </c>
    </row>
    <row r="16" spans="1:13" x14ac:dyDescent="0.25">
      <c r="A16" s="58">
        <v>9</v>
      </c>
      <c r="B16" s="15" t="s">
        <v>141</v>
      </c>
      <c r="C16" s="60">
        <f t="shared" si="4"/>
        <v>4761.0564361828265</v>
      </c>
      <c r="D16" s="61">
        <f t="shared" si="0"/>
        <v>1716.8846803905992</v>
      </c>
      <c r="H16" s="58">
        <v>9</v>
      </c>
      <c r="I16" s="15" t="s">
        <v>141</v>
      </c>
      <c r="J16" s="60">
        <f t="shared" si="5"/>
        <v>7106.8830767510399</v>
      </c>
      <c r="K16" s="61">
        <f t="shared" si="1"/>
        <v>2562.8132838483575</v>
      </c>
    </row>
    <row r="17" spans="1:11" x14ac:dyDescent="0.25">
      <c r="A17" s="58">
        <v>10</v>
      </c>
      <c r="B17" s="15" t="s">
        <v>142</v>
      </c>
      <c r="C17" s="60">
        <f t="shared" si="4"/>
        <v>4999.1092579919678</v>
      </c>
      <c r="D17" s="61">
        <f t="shared" si="0"/>
        <v>1609.5793878661866</v>
      </c>
      <c r="H17" s="58">
        <v>10</v>
      </c>
      <c r="I17" s="15" t="s">
        <v>142</v>
      </c>
      <c r="J17" s="60">
        <f t="shared" si="5"/>
        <v>7817.5713844261445</v>
      </c>
      <c r="K17" s="61">
        <f t="shared" si="1"/>
        <v>2517.0487609224938</v>
      </c>
    </row>
    <row r="18" spans="1:11" ht="13" x14ac:dyDescent="0.3">
      <c r="A18" s="58">
        <v>10</v>
      </c>
      <c r="B18" s="15"/>
      <c r="C18" s="70">
        <f>C17*10</f>
        <v>49991.092579919678</v>
      </c>
      <c r="D18" s="61">
        <f t="shared" si="0"/>
        <v>16095.793878661865</v>
      </c>
      <c r="H18" s="58">
        <v>10</v>
      </c>
      <c r="I18" s="15"/>
      <c r="J18" s="69">
        <f>J17*15</f>
        <v>117263.57076639216</v>
      </c>
      <c r="K18" s="61">
        <f t="shared" si="1"/>
        <v>37755.731413837406</v>
      </c>
    </row>
    <row r="19" spans="1:11" x14ac:dyDescent="0.25">
      <c r="A19" s="396" t="s">
        <v>149</v>
      </c>
      <c r="B19" s="397"/>
      <c r="C19" s="398"/>
      <c r="D19" s="71">
        <f>SUM(D7:D18)</f>
        <v>40618.0406133902</v>
      </c>
      <c r="H19" s="396" t="s">
        <v>149</v>
      </c>
      <c r="I19" s="397"/>
      <c r="J19" s="398"/>
      <c r="K19" s="71">
        <f>SUM(K7:K18)</f>
        <v>67633.691456551227</v>
      </c>
    </row>
    <row r="20" spans="1:11" x14ac:dyDescent="0.25">
      <c r="A20" s="396" t="s">
        <v>143</v>
      </c>
      <c r="B20" s="397"/>
      <c r="C20" s="398"/>
      <c r="D20" s="72">
        <f>'Data Sheet'!B9</f>
        <v>78259.199999999997</v>
      </c>
      <c r="H20" s="396" t="s">
        <v>143</v>
      </c>
      <c r="I20" s="397"/>
      <c r="J20" s="398"/>
      <c r="K20" s="72">
        <f>D20</f>
        <v>78259.199999999997</v>
      </c>
    </row>
    <row r="21" spans="1:11" x14ac:dyDescent="0.25">
      <c r="A21" s="396" t="s">
        <v>144</v>
      </c>
      <c r="B21" s="397"/>
      <c r="C21" s="398"/>
      <c r="D21" s="62">
        <f>D20/D19-1</f>
        <v>0.92671036854990385</v>
      </c>
      <c r="H21" s="396" t="s">
        <v>144</v>
      </c>
      <c r="I21" s="397"/>
      <c r="J21" s="398"/>
      <c r="K21" s="62">
        <f>K20/K19-1</f>
        <v>0.1571037794125838</v>
      </c>
    </row>
    <row r="23" spans="1:11" ht="13" x14ac:dyDescent="0.3">
      <c r="A23" s="181" t="s">
        <v>204</v>
      </c>
    </row>
    <row r="24" spans="1:11" ht="13" thickBot="1" x14ac:dyDescent="0.3"/>
    <row r="25" spans="1:11" ht="13" customHeight="1" x14ac:dyDescent="0.25">
      <c r="A25" s="348" t="s">
        <v>316</v>
      </c>
      <c r="B25" s="381"/>
      <c r="C25" s="381"/>
      <c r="D25" s="381"/>
      <c r="E25" s="381"/>
      <c r="F25" s="381"/>
      <c r="G25" s="381"/>
      <c r="H25" s="381"/>
      <c r="I25" s="381"/>
      <c r="J25" s="381"/>
      <c r="K25" s="382"/>
    </row>
    <row r="26" spans="1:11" x14ac:dyDescent="0.25">
      <c r="A26" s="383"/>
      <c r="B26" s="384"/>
      <c r="C26" s="384"/>
      <c r="D26" s="384"/>
      <c r="E26" s="384"/>
      <c r="F26" s="384"/>
      <c r="G26" s="384"/>
      <c r="H26" s="384"/>
      <c r="I26" s="384"/>
      <c r="J26" s="384"/>
      <c r="K26" s="385"/>
    </row>
    <row r="27" spans="1:11" ht="13" thickBot="1" x14ac:dyDescent="0.3">
      <c r="A27" s="386"/>
      <c r="B27" s="387"/>
      <c r="C27" s="387"/>
      <c r="D27" s="387"/>
      <c r="E27" s="387"/>
      <c r="F27" s="387"/>
      <c r="G27" s="387"/>
      <c r="H27" s="387"/>
      <c r="I27" s="387"/>
      <c r="J27" s="387"/>
      <c r="K27" s="388"/>
    </row>
  </sheetData>
  <mergeCells count="18">
    <mergeCell ref="A19:C19"/>
    <mergeCell ref="A20:C20"/>
    <mergeCell ref="A25:K27"/>
    <mergeCell ref="A1:M1"/>
    <mergeCell ref="A2:M2"/>
    <mergeCell ref="L6:M6"/>
    <mergeCell ref="E5:F5"/>
    <mergeCell ref="L5:M5"/>
    <mergeCell ref="A4:D4"/>
    <mergeCell ref="H4:K4"/>
    <mergeCell ref="A21:C21"/>
    <mergeCell ref="H19:J19"/>
    <mergeCell ref="H20:J20"/>
    <mergeCell ref="H21:J21"/>
    <mergeCell ref="A5:D5"/>
    <mergeCell ref="H5:K5"/>
    <mergeCell ref="E6:F6"/>
    <mergeCell ref="E12:F12"/>
  </mergeCells>
  <hyperlinks>
    <hyperlink ref="A23" r:id="rId1" display="Note: See the explanation of this model here" xr:uid="{3A1B8835-469E-42AF-AD6D-C9D8252FF3E9}"/>
    <hyperlink ref="A2:M2" r:id="rId2" display="Read the book - The Dhandho Investor by Mohnish Pabrai" xr:uid="{E154C3A4-29CB-44BF-B3CB-B131F029EEEA}"/>
  </hyperlink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Instructions</vt:lpstr>
      <vt:lpstr>Summary</vt:lpstr>
      <vt:lpstr>Checklist</vt:lpstr>
      <vt:lpstr>Balance Sheet</vt:lpstr>
      <vt:lpstr>Profit &amp; Loss</vt:lpstr>
      <vt:lpstr>Common Size Analysis</vt:lpstr>
      <vt:lpstr>Cash Flow</vt:lpstr>
      <vt:lpstr>EPV Valuation</vt:lpstr>
      <vt:lpstr>Dhandho IV</vt:lpstr>
      <vt:lpstr>Ben Graham Formula</vt:lpstr>
      <vt:lpstr>DCF</vt:lpstr>
      <vt:lpstr>Expected Returns</vt:lpstr>
      <vt:lpstr>Intrinsic Values</vt:lpstr>
      <vt:lpstr>Quarters</vt:lpstr>
      <vt:lpstr>Data Sheet</vt:lpstr>
      <vt:lpstr>Customization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Vishal</cp:lastModifiedBy>
  <cp:lastPrinted>2012-12-06T18:14:13Z</cp:lastPrinted>
  <dcterms:created xsi:type="dcterms:W3CDTF">2012-08-17T09:55:37Z</dcterms:created>
  <dcterms:modified xsi:type="dcterms:W3CDTF">2017-10-04T06:56:19Z</dcterms:modified>
</cp:coreProperties>
</file>