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ponlineind-my.sharepoint.com/personal/guptap6_es_ad_adp_com/Documents/Documents/jupyter_GL/Practice/Statistics/"/>
    </mc:Choice>
  </mc:AlternateContent>
  <xr:revisionPtr revIDLastSave="917" documentId="8_{2888C477-E6DE-4E58-8277-FE3F88A824D3}" xr6:coauthVersionLast="45" xr6:coauthVersionMax="45" xr10:uidLastSave="{B6B2D2F3-3E1D-4893-B248-C737D964D8A9}"/>
  <bookViews>
    <workbookView xWindow="-110" yWindow="-110" windowWidth="19420" windowHeight="10420" firstSheet="1" activeTab="5" xr2:uid="{39C33CED-A533-42D9-A5C8-63C434CE6E36}"/>
  </bookViews>
  <sheets>
    <sheet name="Chart1" sheetId="2" r:id="rId1"/>
    <sheet name="Binom&amp;PoissonDist" sheetId="1" r:id="rId2"/>
    <sheet name="NormalDist" sheetId="4" r:id="rId3"/>
    <sheet name="Exercises" sheetId="5" r:id="rId4"/>
    <sheet name="Hypothesis" sheetId="6" r:id="rId5"/>
    <sheet name="ChiSquare" sheetId="7" r:id="rId6"/>
    <sheet name="Week3Mentore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7" l="1"/>
  <c r="L18" i="7"/>
  <c r="L19" i="7"/>
  <c r="L20" i="7"/>
  <c r="L21" i="7"/>
  <c r="L22" i="7"/>
  <c r="L23" i="7"/>
  <c r="L24" i="7"/>
  <c r="L17" i="7"/>
  <c r="K18" i="7"/>
  <c r="K19" i="7"/>
  <c r="K20" i="7"/>
  <c r="K21" i="7"/>
  <c r="K22" i="7"/>
  <c r="K23" i="7"/>
  <c r="K24" i="7"/>
  <c r="K17" i="7"/>
  <c r="J23" i="7" l="1"/>
  <c r="J24" i="7"/>
  <c r="J17" i="7"/>
  <c r="I24" i="7"/>
  <c r="I23" i="7"/>
  <c r="I22" i="7"/>
  <c r="J22" i="7" s="1"/>
  <c r="I21" i="7"/>
  <c r="J21" i="7" s="1"/>
  <c r="I20" i="7"/>
  <c r="J20" i="7" s="1"/>
  <c r="I19" i="7"/>
  <c r="J19" i="7" s="1"/>
  <c r="I18" i="7"/>
  <c r="J18" i="7" s="1"/>
  <c r="I17" i="7"/>
  <c r="F7" i="7"/>
  <c r="C15" i="7" s="1"/>
  <c r="D15" i="7" s="1"/>
  <c r="N13" i="7"/>
  <c r="N12" i="7"/>
  <c r="N14" i="7" s="1"/>
  <c r="F5" i="7"/>
  <c r="I7" i="5"/>
  <c r="H7" i="5"/>
  <c r="B17" i="6"/>
  <c r="K36" i="6"/>
  <c r="H26" i="6"/>
  <c r="E17" i="8"/>
  <c r="F17" i="8"/>
  <c r="H4" i="5"/>
  <c r="H2" i="5"/>
  <c r="C45" i="6" l="1"/>
  <c r="C46" i="6"/>
  <c r="B46" i="6"/>
  <c r="B45" i="6"/>
  <c r="E18" i="8"/>
  <c r="B17" i="8"/>
  <c r="B18" i="8"/>
  <c r="E16" i="8"/>
  <c r="C18" i="7" l="1"/>
  <c r="D18" i="7" s="1"/>
  <c r="C16" i="7"/>
  <c r="D16" i="7" s="1"/>
  <c r="D19" i="7" s="1"/>
  <c r="B21" i="7" s="1"/>
  <c r="C17" i="7"/>
  <c r="D17" i="7" s="1"/>
  <c r="F6" i="7"/>
  <c r="K38" i="6" l="1"/>
  <c r="K32" i="6"/>
  <c r="K31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K30" i="6"/>
  <c r="K29" i="6"/>
  <c r="J15" i="6"/>
  <c r="M7" i="6"/>
  <c r="M5" i="6"/>
  <c r="M4" i="6"/>
  <c r="I11" i="6"/>
  <c r="I10" i="6"/>
  <c r="J8" i="6"/>
  <c r="J7" i="6"/>
  <c r="B44" i="6"/>
  <c r="B42" i="6"/>
  <c r="B41" i="6"/>
  <c r="C30" i="6"/>
  <c r="B29" i="6"/>
  <c r="B12" i="6"/>
  <c r="B15" i="4"/>
  <c r="D17" i="5" l="1"/>
  <c r="D16" i="5"/>
  <c r="C17" i="5"/>
  <c r="C16" i="5"/>
  <c r="D11" i="5"/>
  <c r="C11" i="5"/>
  <c r="D6" i="5"/>
  <c r="D7" i="5"/>
  <c r="D5" i="5"/>
  <c r="B3" i="5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5" i="1"/>
  <c r="K3" i="1"/>
  <c r="D15" i="4" l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J13" i="1"/>
  <c r="J3" i="1"/>
  <c r="G3" i="1"/>
  <c r="B5" i="1"/>
  <c r="F3" i="1"/>
  <c r="B20" i="4"/>
  <c r="B21" i="4" s="1"/>
  <c r="B23" i="4" s="1"/>
  <c r="B22" i="4"/>
  <c r="B17" i="4"/>
  <c r="D17" i="4" s="1"/>
  <c r="C14" i="4"/>
  <c r="C13" i="4"/>
  <c r="C12" i="4"/>
  <c r="B16" i="4" s="1"/>
  <c r="D16" i="4" s="1"/>
  <c r="C11" i="4"/>
  <c r="D4" i="4" l="1"/>
  <c r="D5" i="4"/>
  <c r="D7" i="4"/>
  <c r="D6" i="4"/>
  <c r="D2" i="4"/>
  <c r="B2" i="4"/>
  <c r="D3" i="4"/>
  <c r="B3" i="4"/>
  <c r="C5" i="1" l="1"/>
  <c r="C6" i="1"/>
  <c r="C7" i="1"/>
  <c r="C8" i="1"/>
  <c r="C9" i="1"/>
  <c r="C10" i="1"/>
  <c r="C11" i="1"/>
  <c r="C4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<sst xmlns="http://schemas.openxmlformats.org/spreadsheetml/2006/main" count="220" uniqueCount="187">
  <si>
    <t>X</t>
  </si>
  <si>
    <t>P(X)</t>
  </si>
  <si>
    <t>CP(X)</t>
  </si>
  <si>
    <t>biz purpose</t>
  </si>
  <si>
    <t>personal</t>
  </si>
  <si>
    <t>mean</t>
  </si>
  <si>
    <t>std dev</t>
  </si>
  <si>
    <t>z</t>
  </si>
  <si>
    <t>% packs less than 0.28 kg using Z</t>
  </si>
  <si>
    <t>% packs more than 0.35 kg using Z</t>
  </si>
  <si>
    <t>Negative</t>
  </si>
  <si>
    <t>x=0.280</t>
  </si>
  <si>
    <t>x=0.350</t>
  </si>
  <si>
    <t>Positive</t>
  </si>
  <si>
    <t>% packs between 0.26kg to 0.34kg using Z</t>
  </si>
  <si>
    <t>x=0.26</t>
  </si>
  <si>
    <t>x=0.34</t>
  </si>
  <si>
    <t>Difference(0.34-0.26)</t>
  </si>
  <si>
    <t>z=(x-mean)/stdev</t>
  </si>
  <si>
    <t>x</t>
  </si>
  <si>
    <t>NORM.INV</t>
  </si>
  <si>
    <t>NORM.S.INV</t>
  </si>
  <si>
    <t xml:space="preserve"> For mean=0 &amp; Stdev=1</t>
  </si>
  <si>
    <t>X=(Z*Stdev)+mean</t>
  </si>
  <si>
    <t>For Std Normal Distribution</t>
  </si>
  <si>
    <t>For Morning b'fast Cereal</t>
  </si>
  <si>
    <t>2.4. For Poisson Distribution</t>
  </si>
  <si>
    <t>P(X=4)</t>
  </si>
  <si>
    <t>P(X&gt;3) =  1- P(X&lt;=3)</t>
  </si>
  <si>
    <t>2.3. For Binomial Distribution</t>
  </si>
  <si>
    <t>P(x)</t>
  </si>
  <si>
    <t>Probability</t>
  </si>
  <si>
    <t>X=4</t>
  </si>
  <si>
    <t>X=3</t>
  </si>
  <si>
    <t>mean(lambda=n*pi)=3</t>
  </si>
  <si>
    <t>Cumulative</t>
  </si>
  <si>
    <t>success</t>
  </si>
  <si>
    <t>DT</t>
  </si>
  <si>
    <t>NDT</t>
  </si>
  <si>
    <t>Nosuccess</t>
  </si>
  <si>
    <t>AC</t>
  </si>
  <si>
    <t>CD</t>
  </si>
  <si>
    <t>NoAC</t>
  </si>
  <si>
    <t>NoCD</t>
  </si>
  <si>
    <t>Men</t>
  </si>
  <si>
    <t>Women</t>
  </si>
  <si>
    <t>tt</t>
  </si>
  <si>
    <t>smoke</t>
  </si>
  <si>
    <t>NOSmoke</t>
  </si>
  <si>
    <t>Non_tt</t>
  </si>
  <si>
    <t>sat</t>
  </si>
  <si>
    <t>dissat</t>
  </si>
  <si>
    <t>NoAttrite</t>
  </si>
  <si>
    <t>Attrite</t>
  </si>
  <si>
    <t>18-24</t>
  </si>
  <si>
    <t>24+</t>
  </si>
  <si>
    <t>plastic card</t>
  </si>
  <si>
    <t>Non-plastic</t>
  </si>
  <si>
    <t>default</t>
  </si>
  <si>
    <t>Don't default</t>
  </si>
  <si>
    <t>missing</t>
  </si>
  <si>
    <t>notMissing</t>
  </si>
  <si>
    <t>Zc(critical Z value)</t>
  </si>
  <si>
    <t>NORM.S.INV()</t>
  </si>
  <si>
    <t xml:space="preserve">n = </t>
  </si>
  <si>
    <t>Ho : meu &lt;= 29000</t>
  </si>
  <si>
    <t>H1 : men&gt;29000</t>
  </si>
  <si>
    <t>x bar = estimate</t>
  </si>
  <si>
    <t>meu = hypothesized mean of population</t>
  </si>
  <si>
    <t>sigma = stdev of population</t>
  </si>
  <si>
    <t>test Statistic = Sampling error/Standard error</t>
  </si>
  <si>
    <t>Zc= (Xbar - Meu)*sqrt(n)/sigma</t>
  </si>
  <si>
    <t xml:space="preserve">Xc = </t>
  </si>
  <si>
    <t>#3.3 :  Case Hypothesis Testing</t>
  </si>
  <si>
    <t xml:space="preserve">at Z = 2.5 , p-value = </t>
  </si>
  <si>
    <t>Since p value&lt; alpha, null hypothesis is rejected</t>
  </si>
  <si>
    <t>#3.4 Inline question</t>
  </si>
  <si>
    <t>n = sample quantity</t>
  </si>
  <si>
    <t>sigma =</t>
  </si>
  <si>
    <t xml:space="preserve">x bar = </t>
  </si>
  <si>
    <t>meu =</t>
  </si>
  <si>
    <t>Ho : meu &gt;=250</t>
  </si>
  <si>
    <t>H1 : men &lt;250</t>
  </si>
  <si>
    <t>Z = (Xbar - Meu)*sqrt(n)/sigma</t>
  </si>
  <si>
    <t xml:space="preserve">New product launch </t>
  </si>
  <si>
    <t>Weight of the punnets</t>
  </si>
  <si>
    <t>n = 30</t>
  </si>
  <si>
    <t>meu = 144 mins</t>
  </si>
  <si>
    <t>Ho : meu = 144 mins</t>
  </si>
  <si>
    <t>H1 : meu != 144 mins</t>
  </si>
  <si>
    <t>alpha = 0.05</t>
  </si>
  <si>
    <t>1 sample t-test , as Stdev isn't provided</t>
  </si>
  <si>
    <t>Minutes</t>
  </si>
  <si>
    <t>Xbar</t>
  </si>
  <si>
    <t>s</t>
  </si>
  <si>
    <t>p-value</t>
  </si>
  <si>
    <t>alpha : Test Statistic</t>
  </si>
  <si>
    <t>p-value : Tdist</t>
  </si>
  <si>
    <t>p-value &gt; alpha(0.05)</t>
  </si>
  <si>
    <t>Basis the hypothesis test performed for the given sample of 30 observations</t>
  </si>
  <si>
    <t>At 95% confidence , we fail to reject null hypothesis</t>
  </si>
  <si>
    <t>Hence, an avg american spends 144 mins on internet each day</t>
  </si>
  <si>
    <t>#3.5 One sample t-Test</t>
  </si>
  <si>
    <t>#3.5 Two sample t-Test</t>
  </si>
  <si>
    <t>degree of freedom = n-1</t>
  </si>
  <si>
    <t>degree of freedom = n1+n2-2</t>
  </si>
  <si>
    <t>WingA</t>
  </si>
  <si>
    <t>WingB</t>
  </si>
  <si>
    <t>#3.5 T-test: Hotel Manager</t>
  </si>
  <si>
    <t>S1</t>
  </si>
  <si>
    <t>S2</t>
  </si>
  <si>
    <t xml:space="preserve">alpha = </t>
  </si>
  <si>
    <t>S3</t>
  </si>
  <si>
    <t xml:space="preserve">X1bar = </t>
  </si>
  <si>
    <t xml:space="preserve">X2bar = </t>
  </si>
  <si>
    <t>var1</t>
  </si>
  <si>
    <t>var2</t>
  </si>
  <si>
    <t>n1 = n2</t>
  </si>
  <si>
    <t>df</t>
  </si>
  <si>
    <t>n1+n2-2</t>
  </si>
  <si>
    <t>Num</t>
  </si>
  <si>
    <t>Den</t>
  </si>
  <si>
    <t>S4</t>
  </si>
  <si>
    <t>p-value &lt; alpha</t>
  </si>
  <si>
    <t>Reject Ho</t>
  </si>
  <si>
    <t>#Paired T-test</t>
  </si>
  <si>
    <t>Two Days</t>
  </si>
  <si>
    <t>Seven Days</t>
  </si>
  <si>
    <t>Ho : avg strength at 2 days = 7 days</t>
  </si>
  <si>
    <t>H1 : avg strength at 2 days &lt; 7 days</t>
  </si>
  <si>
    <t>alpha(level of significance)</t>
  </si>
  <si>
    <t>X1 bar</t>
  </si>
  <si>
    <t>X2 bar</t>
  </si>
  <si>
    <t>Diff</t>
  </si>
  <si>
    <t>d bar</t>
  </si>
  <si>
    <t>stdev</t>
  </si>
  <si>
    <t>n</t>
  </si>
  <si>
    <t>test statistic</t>
  </si>
  <si>
    <t>p-value &lt; 0.01 : Reject Ho</t>
  </si>
  <si>
    <t>S5</t>
  </si>
  <si>
    <t>Company</t>
  </si>
  <si>
    <t>Promotion Status</t>
  </si>
  <si>
    <t>P</t>
  </si>
  <si>
    <t>NP</t>
  </si>
  <si>
    <t>Total</t>
  </si>
  <si>
    <t>A</t>
  </si>
  <si>
    <t>B</t>
  </si>
  <si>
    <t>#3.6: Chi-square test</t>
  </si>
  <si>
    <t>Ho :</t>
  </si>
  <si>
    <t>No  influence of background</t>
  </si>
  <si>
    <t>H1 :</t>
  </si>
  <si>
    <t>Promotions are biased</t>
  </si>
  <si>
    <t>AP</t>
  </si>
  <si>
    <t>ANP</t>
  </si>
  <si>
    <t>BP</t>
  </si>
  <si>
    <t>BNP</t>
  </si>
  <si>
    <t>Observed</t>
  </si>
  <si>
    <t>Expected</t>
  </si>
  <si>
    <t>alpha</t>
  </si>
  <si>
    <t>dof=(m-1)(n-1)</t>
  </si>
  <si>
    <t>p-value &gt; 0.05</t>
  </si>
  <si>
    <t>Hence, Ho holds True</t>
  </si>
  <si>
    <t>Ho : avg time for WingA = avg time for WingB</t>
  </si>
  <si>
    <t>H1 : avg time for WingA != avg time for WingB</t>
  </si>
  <si>
    <t>meu</t>
  </si>
  <si>
    <t>After implementing Process improvement,</t>
  </si>
  <si>
    <t>meu'</t>
  </si>
  <si>
    <t>H1 : meu &lt;300, process improved</t>
  </si>
  <si>
    <t>t-stats</t>
  </si>
  <si>
    <t>Ho : meu is 300, process not improved</t>
  </si>
  <si>
    <t>Since p value&gt; alpha, null hypothesis is accepted</t>
  </si>
  <si>
    <t>norm.s.inv</t>
  </si>
  <si>
    <t>High School</t>
  </si>
  <si>
    <t> Bachelors</t>
  </si>
  <si>
    <t>Masters</t>
  </si>
  <si>
    <t>Ph.d.</t>
  </si>
  <si>
    <t>Female</t>
  </si>
  <si>
    <t>Male</t>
  </si>
  <si>
    <t>FHS</t>
  </si>
  <si>
    <t>FB</t>
  </si>
  <si>
    <t>FM</t>
  </si>
  <si>
    <t>Fphd</t>
  </si>
  <si>
    <t>MHS</t>
  </si>
  <si>
    <t>MB</t>
  </si>
  <si>
    <t>MM</t>
  </si>
  <si>
    <t>Mphd</t>
  </si>
  <si>
    <t>Diff^2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</si>
</sst>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left" indent="8"/>
    </xf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4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3" xfId="0" applyFill="1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0" xfId="0" applyFont="1"/>
    <xf numFmtId="0" fontId="2" fillId="0" borderId="0" xfId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left" indent="4"/>
    </xf>
    <xf numFmtId="0" fontId="2" fillId="0" borderId="0" xfId="1"/>
    <xf numFmtId="0" fontId="2" fillId="0" borderId="0" xfId="1"/>
    <xf numFmtId="0" fontId="2" fillId="0" borderId="0" xfId="1" applyAlignment="1">
      <alignment horizontal="center"/>
    </xf>
    <xf numFmtId="0" fontId="2" fillId="0" borderId="0" xfId="1" applyFill="1"/>
    <xf numFmtId="0" fontId="3" fillId="4" borderId="9" xfId="0" applyFont="1" applyFill="1" applyBorder="1" applyAlignment="1">
      <alignment vertical="center" wrapText="1"/>
    </xf>
    <xf numFmtId="0" fontId="2" fillId="0" borderId="0" xfId="1" applyAlignment="1">
      <alignment horizontal="center"/>
    </xf>
    <xf numFmtId="0" fontId="2" fillId="0" borderId="0" xfId="1" applyAlignment="1">
      <alignment horizontal="center" vertical="center"/>
    </xf>
  </cellXfs>
  <cellStyles count="2">
    <cellStyle name="Normal" xfId="0" builtinId="0"/>
    <cellStyle name="Normal 2" xfId="1" xr:uid="{81AD8EED-E780-4369-A25B-25BAE78C1C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'Binom&amp;PoissonDist'!$A$4:$A$11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'Binom&amp;PoissonDist'!$B$4:$B$11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5-47A6-937F-F5DB0889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920400"/>
        <c:axId val="71191613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'Binom&amp;PoissonDist'!$A$4:$A$11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'Binom&amp;PoissonDist'!$C$4:$C$11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1.884160000000001E-2</c:v>
                </c:pt>
                <c:pt idx="2">
                  <c:v>9.6256000000000036E-2</c:v>
                </c:pt>
                <c:pt idx="3">
                  <c:v>0.28979200000000005</c:v>
                </c:pt>
                <c:pt idx="4">
                  <c:v>0.58009600000000017</c:v>
                </c:pt>
                <c:pt idx="5">
                  <c:v>0.84136960000000005</c:v>
                </c:pt>
                <c:pt idx="6">
                  <c:v>0.97200639999999994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5-47A6-937F-F5DB0889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08392"/>
        <c:axId val="621409048"/>
      </c:lineChart>
      <c:catAx>
        <c:axId val="7119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16136"/>
        <c:crosses val="autoZero"/>
        <c:auto val="1"/>
        <c:lblAlgn val="ctr"/>
        <c:lblOffset val="100"/>
        <c:noMultiLvlLbl val="0"/>
      </c:catAx>
      <c:valAx>
        <c:axId val="7119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0400"/>
        <c:crosses val="autoZero"/>
        <c:crossBetween val="between"/>
      </c:valAx>
      <c:valAx>
        <c:axId val="621409048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8392"/>
        <c:crosses val="max"/>
        <c:crossBetween val="between"/>
      </c:valAx>
      <c:catAx>
        <c:axId val="62140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9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A9B96C-06A1-4CCA-9176-78D3AADA89F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9E18-2894-494B-8576-2C86DD9302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1</xdr:row>
      <xdr:rowOff>0</xdr:rowOff>
    </xdr:from>
    <xdr:to>
      <xdr:col>11</xdr:col>
      <xdr:colOff>29998</xdr:colOff>
      <xdr:row>7</xdr:row>
      <xdr:rowOff>73147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D4B838-946A-43D7-AF0A-56BE9B07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0" y="184150"/>
          <a:ext cx="2887498" cy="1241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8E3-19AE-48BB-8987-6F1CABC2B760}">
  <dimension ref="A1:K49"/>
  <sheetViews>
    <sheetView workbookViewId="0">
      <selection activeCell="C7" sqref="C7"/>
    </sheetView>
  </sheetViews>
  <sheetFormatPr defaultRowHeight="14.5" x14ac:dyDescent="0.35"/>
  <cols>
    <col min="6" max="6" width="24.7265625" bestFit="1" customWidth="1"/>
    <col min="7" max="7" width="17.36328125" bestFit="1" customWidth="1"/>
  </cols>
  <sheetData>
    <row r="1" spans="1:11" x14ac:dyDescent="0.35">
      <c r="A1" s="4" t="s">
        <v>29</v>
      </c>
      <c r="B1" s="5"/>
      <c r="C1" s="5"/>
      <c r="F1" s="4" t="s">
        <v>26</v>
      </c>
      <c r="G1" s="5"/>
      <c r="H1" s="5"/>
      <c r="I1" s="4"/>
      <c r="J1" s="4"/>
      <c r="K1" s="4" t="s">
        <v>35</v>
      </c>
    </row>
    <row r="2" spans="1:11" x14ac:dyDescent="0.35">
      <c r="A2" s="4"/>
      <c r="B2" s="5"/>
      <c r="C2" s="5"/>
      <c r="F2" s="4" t="s">
        <v>27</v>
      </c>
      <c r="G2" s="4" t="s">
        <v>28</v>
      </c>
      <c r="H2" s="5"/>
      <c r="I2" s="4" t="s">
        <v>19</v>
      </c>
      <c r="J2" s="4" t="s">
        <v>30</v>
      </c>
      <c r="K2" s="4" t="s">
        <v>31</v>
      </c>
    </row>
    <row r="3" spans="1:11" x14ac:dyDescent="0.35">
      <c r="A3" s="6" t="s">
        <v>0</v>
      </c>
      <c r="B3" s="6" t="s">
        <v>1</v>
      </c>
      <c r="C3" s="6" t="s">
        <v>2</v>
      </c>
      <c r="F3">
        <f>_xlfn.POISSON.DIST(4,3,)</f>
        <v>0.16803135574154085</v>
      </c>
      <c r="G3">
        <f>1-_xlfn.POISSON.DIST(3,3,1)</f>
        <v>0.35276811121776874</v>
      </c>
      <c r="I3">
        <v>0</v>
      </c>
      <c r="J3" s="1">
        <f>_xlfn.POISSON.DIST(I3,3,)</f>
        <v>4.9787068367863944E-2</v>
      </c>
      <c r="K3">
        <f>_xlfn.POISSON.DIST(I3,3,TRUE)</f>
        <v>4.9787068367863944E-2</v>
      </c>
    </row>
    <row r="4" spans="1:11" x14ac:dyDescent="0.35">
      <c r="A4" s="2">
        <v>0</v>
      </c>
      <c r="B4" s="7">
        <f>_xlfn.BINOM.DIST(A4,7,0.6,0)</f>
        <v>1.638400000000001E-3</v>
      </c>
      <c r="C4" s="7">
        <f>_xlfn.BINOM.DIST(A4,7,0.6,1)</f>
        <v>1.638400000000001E-3</v>
      </c>
      <c r="I4">
        <v>1</v>
      </c>
      <c r="J4" s="1">
        <f t="shared" ref="J4:J13" si="0">_xlfn.POISSON.DIST(I4,3,)</f>
        <v>0.14936120510359185</v>
      </c>
      <c r="K4">
        <f t="shared" ref="K4:K13" si="1">_xlfn.POISSON.DIST(I4,3,TRUE)</f>
        <v>0.19914827347145578</v>
      </c>
    </row>
    <row r="5" spans="1:11" x14ac:dyDescent="0.35">
      <c r="A5" s="2">
        <v>1</v>
      </c>
      <c r="B5" s="7">
        <f>_xlfn.BINOM.DIST(A5,7,0.6,0)</f>
        <v>1.7203199999999991E-2</v>
      </c>
      <c r="C5" s="7">
        <f t="shared" ref="C5:C11" si="2">_xlfn.BINOM.DIST(A5,7,0.6,1)</f>
        <v>1.884160000000001E-2</v>
      </c>
      <c r="F5" t="s">
        <v>32</v>
      </c>
      <c r="G5" t="s">
        <v>33</v>
      </c>
      <c r="I5">
        <v>2</v>
      </c>
      <c r="J5" s="1">
        <f t="shared" si="0"/>
        <v>0.22404180765538775</v>
      </c>
      <c r="K5">
        <f t="shared" si="1"/>
        <v>0.42319008112684342</v>
      </c>
    </row>
    <row r="6" spans="1:11" x14ac:dyDescent="0.35">
      <c r="A6" s="2">
        <v>2</v>
      </c>
      <c r="B6" s="7">
        <f t="shared" ref="B6:B11" si="3">_xlfn.BINOM.DIST(A6,7,0.6,0)</f>
        <v>7.7414400000000008E-2</v>
      </c>
      <c r="C6" s="7">
        <f t="shared" si="2"/>
        <v>9.6256000000000036E-2</v>
      </c>
      <c r="F6" t="s">
        <v>34</v>
      </c>
      <c r="G6" t="s">
        <v>34</v>
      </c>
      <c r="I6">
        <v>3</v>
      </c>
      <c r="J6" s="1">
        <f t="shared" si="0"/>
        <v>0.22404180765538778</v>
      </c>
      <c r="K6">
        <f t="shared" si="1"/>
        <v>0.64723188878223126</v>
      </c>
    </row>
    <row r="7" spans="1:11" x14ac:dyDescent="0.35">
      <c r="A7" s="2">
        <v>3</v>
      </c>
      <c r="B7" s="7">
        <f t="shared" si="3"/>
        <v>0.19353600000000004</v>
      </c>
      <c r="C7" s="7">
        <f t="shared" si="2"/>
        <v>0.28979200000000005</v>
      </c>
      <c r="I7">
        <v>4</v>
      </c>
      <c r="J7" s="1">
        <f t="shared" si="0"/>
        <v>0.16803135574154085</v>
      </c>
      <c r="K7">
        <f t="shared" si="1"/>
        <v>0.81526324452377208</v>
      </c>
    </row>
    <row r="8" spans="1:11" x14ac:dyDescent="0.35">
      <c r="A8" s="2">
        <v>4</v>
      </c>
      <c r="B8" s="7">
        <f t="shared" si="3"/>
        <v>0.29030400000000001</v>
      </c>
      <c r="C8" s="7">
        <f t="shared" si="2"/>
        <v>0.58009600000000017</v>
      </c>
      <c r="I8">
        <v>5</v>
      </c>
      <c r="J8" s="1">
        <f t="shared" si="0"/>
        <v>0.10081881344492449</v>
      </c>
      <c r="K8">
        <f t="shared" si="1"/>
        <v>0.91608205796869657</v>
      </c>
    </row>
    <row r="9" spans="1:11" x14ac:dyDescent="0.35">
      <c r="A9" s="2">
        <v>5</v>
      </c>
      <c r="B9" s="7">
        <f t="shared" si="3"/>
        <v>0.26127359999999999</v>
      </c>
      <c r="C9" s="7">
        <f t="shared" si="2"/>
        <v>0.84136960000000005</v>
      </c>
      <c r="I9">
        <v>6</v>
      </c>
      <c r="J9" s="1">
        <f t="shared" si="0"/>
        <v>5.0409406722462261E-2</v>
      </c>
      <c r="K9">
        <f t="shared" si="1"/>
        <v>0.96649146469115887</v>
      </c>
    </row>
    <row r="10" spans="1:11" x14ac:dyDescent="0.35">
      <c r="A10" s="2">
        <v>6</v>
      </c>
      <c r="B10" s="7">
        <f t="shared" si="3"/>
        <v>0.1306368</v>
      </c>
      <c r="C10" s="7">
        <f t="shared" si="2"/>
        <v>0.97200639999999994</v>
      </c>
      <c r="I10">
        <v>7</v>
      </c>
      <c r="J10" s="1">
        <f t="shared" si="0"/>
        <v>2.1604031452483807E-2</v>
      </c>
      <c r="K10">
        <f t="shared" si="1"/>
        <v>0.98809549614364256</v>
      </c>
    </row>
    <row r="11" spans="1:11" x14ac:dyDescent="0.35">
      <c r="A11" s="2">
        <v>7</v>
      </c>
      <c r="B11" s="7">
        <f t="shared" si="3"/>
        <v>2.7993599999999987E-2</v>
      </c>
      <c r="C11" s="7">
        <f t="shared" si="2"/>
        <v>1</v>
      </c>
      <c r="I11">
        <v>8</v>
      </c>
      <c r="J11" s="1">
        <f t="shared" si="0"/>
        <v>8.1015117946814375E-3</v>
      </c>
      <c r="K11">
        <f t="shared" si="1"/>
        <v>0.996197007938324</v>
      </c>
    </row>
    <row r="12" spans="1:11" x14ac:dyDescent="0.35">
      <c r="I12">
        <v>9</v>
      </c>
      <c r="J12" s="1">
        <f t="shared" si="0"/>
        <v>2.7005039315604771E-3</v>
      </c>
      <c r="K12">
        <f t="shared" si="1"/>
        <v>0.99889751186988451</v>
      </c>
    </row>
    <row r="13" spans="1:11" x14ac:dyDescent="0.35">
      <c r="I13">
        <v>10</v>
      </c>
      <c r="J13" s="1">
        <f t="shared" si="0"/>
        <v>8.1015117946814244E-4</v>
      </c>
      <c r="K13">
        <f t="shared" si="1"/>
        <v>0.99970766304935266</v>
      </c>
    </row>
    <row r="15" spans="1:11" x14ac:dyDescent="0.35">
      <c r="F15">
        <v>1.25</v>
      </c>
      <c r="I15">
        <v>0</v>
      </c>
      <c r="J15" s="1">
        <f>_xlfn.POISSON.DIST(I15,1.25,TRUE)</f>
        <v>0.28650479686019009</v>
      </c>
    </row>
    <row r="16" spans="1:11" x14ac:dyDescent="0.35">
      <c r="I16">
        <v>1</v>
      </c>
      <c r="J16" s="1">
        <f t="shared" ref="J16:J49" si="4">_xlfn.POISSON.DIST(I16,1.25,TRUE)</f>
        <v>0.64463579293542783</v>
      </c>
    </row>
    <row r="17" spans="9:10" x14ac:dyDescent="0.35">
      <c r="I17">
        <v>2</v>
      </c>
      <c r="J17" s="1">
        <f t="shared" si="4"/>
        <v>0.86846766548245113</v>
      </c>
    </row>
    <row r="18" spans="9:10" x14ac:dyDescent="0.35">
      <c r="I18">
        <v>3</v>
      </c>
      <c r="J18" s="1">
        <f t="shared" si="4"/>
        <v>0.96173094571037776</v>
      </c>
    </row>
    <row r="19" spans="9:10" x14ac:dyDescent="0.35">
      <c r="I19">
        <v>4</v>
      </c>
      <c r="J19" s="1">
        <f t="shared" si="4"/>
        <v>0.9908757207816048</v>
      </c>
    </row>
    <row r="20" spans="9:10" x14ac:dyDescent="0.35">
      <c r="I20">
        <v>5</v>
      </c>
      <c r="J20" s="1">
        <f t="shared" si="4"/>
        <v>0.9981619145494115</v>
      </c>
    </row>
    <row r="21" spans="9:10" x14ac:dyDescent="0.35">
      <c r="I21">
        <v>6</v>
      </c>
      <c r="J21" s="1">
        <f t="shared" si="4"/>
        <v>0.99967987158437122</v>
      </c>
    </row>
    <row r="22" spans="9:10" x14ac:dyDescent="0.35">
      <c r="I22">
        <v>7</v>
      </c>
      <c r="J22" s="1">
        <f t="shared" si="4"/>
        <v>0.99995093534061397</v>
      </c>
    </row>
    <row r="23" spans="9:10" x14ac:dyDescent="0.35">
      <c r="I23">
        <v>8</v>
      </c>
      <c r="J23" s="1">
        <f t="shared" si="4"/>
        <v>0.99999328905252693</v>
      </c>
    </row>
    <row r="24" spans="9:10" x14ac:dyDescent="0.35">
      <c r="I24">
        <v>9</v>
      </c>
      <c r="J24" s="1">
        <f t="shared" si="4"/>
        <v>0.99999917151251494</v>
      </c>
    </row>
    <row r="25" spans="9:10" x14ac:dyDescent="0.35">
      <c r="I25">
        <v>10</v>
      </c>
      <c r="J25" s="1">
        <f t="shared" si="4"/>
        <v>0.99999990682001338</v>
      </c>
    </row>
    <row r="26" spans="9:10" x14ac:dyDescent="0.35">
      <c r="I26">
        <v>11</v>
      </c>
      <c r="J26" s="1">
        <f t="shared" si="4"/>
        <v>0.99999999037768372</v>
      </c>
    </row>
    <row r="27" spans="9:10" x14ac:dyDescent="0.35">
      <c r="I27">
        <v>12</v>
      </c>
      <c r="J27" s="1">
        <f t="shared" si="4"/>
        <v>0.99999999908160764</v>
      </c>
    </row>
    <row r="28" spans="9:10" x14ac:dyDescent="0.35">
      <c r="I28">
        <v>13</v>
      </c>
      <c r="J28" s="1">
        <f t="shared" si="4"/>
        <v>0.9999999999185234</v>
      </c>
    </row>
    <row r="29" spans="9:10" x14ac:dyDescent="0.35">
      <c r="I29">
        <v>14</v>
      </c>
      <c r="J29" s="1">
        <f t="shared" si="4"/>
        <v>0.99999999999324807</v>
      </c>
    </row>
    <row r="30" spans="9:10" x14ac:dyDescent="0.35">
      <c r="I30">
        <v>15</v>
      </c>
      <c r="J30" s="1">
        <f t="shared" si="4"/>
        <v>0.99999999999947509</v>
      </c>
    </row>
    <row r="31" spans="9:10" x14ac:dyDescent="0.35">
      <c r="I31">
        <v>16</v>
      </c>
      <c r="J31" s="1">
        <f t="shared" si="4"/>
        <v>0.99999999999996159</v>
      </c>
    </row>
    <row r="32" spans="9:10" x14ac:dyDescent="0.35">
      <c r="I32">
        <v>17</v>
      </c>
      <c r="J32" s="1">
        <f t="shared" si="4"/>
        <v>0.99999999999999734</v>
      </c>
    </row>
    <row r="33" spans="9:10" x14ac:dyDescent="0.35">
      <c r="I33">
        <v>18</v>
      </c>
      <c r="J33" s="1">
        <f t="shared" si="4"/>
        <v>0.99999999999999978</v>
      </c>
    </row>
    <row r="34" spans="9:10" x14ac:dyDescent="0.35">
      <c r="I34">
        <v>19</v>
      </c>
      <c r="J34" s="1">
        <f t="shared" si="4"/>
        <v>1</v>
      </c>
    </row>
    <row r="35" spans="9:10" x14ac:dyDescent="0.35">
      <c r="I35">
        <v>20</v>
      </c>
      <c r="J35" s="1">
        <f t="shared" si="4"/>
        <v>1</v>
      </c>
    </row>
    <row r="36" spans="9:10" x14ac:dyDescent="0.35">
      <c r="I36">
        <v>21</v>
      </c>
      <c r="J36" s="1">
        <f t="shared" si="4"/>
        <v>1</v>
      </c>
    </row>
    <row r="37" spans="9:10" x14ac:dyDescent="0.35">
      <c r="I37">
        <v>22</v>
      </c>
      <c r="J37" s="1">
        <f t="shared" si="4"/>
        <v>1</v>
      </c>
    </row>
    <row r="38" spans="9:10" x14ac:dyDescent="0.35">
      <c r="I38">
        <v>23</v>
      </c>
      <c r="J38" s="1">
        <f t="shared" si="4"/>
        <v>1</v>
      </c>
    </row>
    <row r="39" spans="9:10" x14ac:dyDescent="0.35">
      <c r="I39">
        <v>24</v>
      </c>
      <c r="J39" s="1">
        <f t="shared" si="4"/>
        <v>1</v>
      </c>
    </row>
    <row r="40" spans="9:10" x14ac:dyDescent="0.35">
      <c r="I40">
        <v>25</v>
      </c>
      <c r="J40" s="1">
        <f t="shared" si="4"/>
        <v>1</v>
      </c>
    </row>
    <row r="41" spans="9:10" x14ac:dyDescent="0.35">
      <c r="I41">
        <v>26</v>
      </c>
      <c r="J41" s="1">
        <f t="shared" si="4"/>
        <v>1</v>
      </c>
    </row>
    <row r="42" spans="9:10" x14ac:dyDescent="0.35">
      <c r="I42">
        <v>27</v>
      </c>
      <c r="J42" s="1">
        <f t="shared" si="4"/>
        <v>1</v>
      </c>
    </row>
    <row r="43" spans="9:10" x14ac:dyDescent="0.35">
      <c r="I43">
        <v>28</v>
      </c>
      <c r="J43" s="1">
        <f t="shared" si="4"/>
        <v>1</v>
      </c>
    </row>
    <row r="44" spans="9:10" x14ac:dyDescent="0.35">
      <c r="I44">
        <v>29</v>
      </c>
      <c r="J44" s="1">
        <f t="shared" si="4"/>
        <v>1</v>
      </c>
    </row>
    <row r="45" spans="9:10" x14ac:dyDescent="0.35">
      <c r="I45">
        <v>30</v>
      </c>
      <c r="J45" s="1">
        <f t="shared" si="4"/>
        <v>1</v>
      </c>
    </row>
    <row r="46" spans="9:10" x14ac:dyDescent="0.35">
      <c r="I46">
        <v>31</v>
      </c>
      <c r="J46" s="1">
        <f t="shared" si="4"/>
        <v>1</v>
      </c>
    </row>
    <row r="47" spans="9:10" x14ac:dyDescent="0.35">
      <c r="I47">
        <v>32</v>
      </c>
      <c r="J47" s="1">
        <f t="shared" si="4"/>
        <v>1</v>
      </c>
    </row>
    <row r="48" spans="9:10" x14ac:dyDescent="0.35">
      <c r="I48">
        <v>33</v>
      </c>
      <c r="J48" s="1">
        <f t="shared" si="4"/>
        <v>1</v>
      </c>
    </row>
    <row r="49" spans="9:10" x14ac:dyDescent="0.35">
      <c r="I49">
        <v>34</v>
      </c>
      <c r="J49" s="1">
        <f t="shared" si="4"/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60AB-F86B-480B-B53B-3D18F9E88FC2}">
  <dimension ref="A2:M26"/>
  <sheetViews>
    <sheetView topLeftCell="A9" workbookViewId="0">
      <selection activeCell="B15" sqref="B15"/>
    </sheetView>
  </sheetViews>
  <sheetFormatPr defaultRowHeight="14.5" x14ac:dyDescent="0.35"/>
  <cols>
    <col min="1" max="1" width="35.1796875" customWidth="1"/>
    <col min="2" max="2" width="19.6328125" bestFit="1" customWidth="1"/>
    <col min="3" max="3" width="18.6328125" bestFit="1" customWidth="1"/>
    <col min="4" max="4" width="26.453125" bestFit="1" customWidth="1"/>
    <col min="6" max="6" width="20.1796875" bestFit="1" customWidth="1"/>
    <col min="7" max="7" width="10.54296875" bestFit="1" customWidth="1"/>
    <col min="8" max="8" width="14.90625" bestFit="1" customWidth="1"/>
    <col min="9" max="10" width="14.90625" customWidth="1"/>
  </cols>
  <sheetData>
    <row r="2" spans="1:13" x14ac:dyDescent="0.35">
      <c r="B2">
        <f>_xlfn.NORM.DIST(0.28,0.295,0.025,1)</f>
        <v>0.2742531177500741</v>
      </c>
      <c r="D2">
        <f>_xlfn.NORM.DIST(0.28,0.295,0.025,1)</f>
        <v>0.2742531177500741</v>
      </c>
    </row>
    <row r="3" spans="1:13" x14ac:dyDescent="0.35">
      <c r="B3">
        <f>_xlfn.NORM.S.DIST(-0.6,1)</f>
        <v>0.27425311775007355</v>
      </c>
      <c r="D3">
        <f>_xlfn.NORM.S.DIST(-0.6,1)</f>
        <v>0.27425311775007355</v>
      </c>
      <c r="K3" t="s">
        <v>41</v>
      </c>
      <c r="L3" t="s">
        <v>43</v>
      </c>
    </row>
    <row r="4" spans="1:13" x14ac:dyDescent="0.35">
      <c r="D4">
        <f>1-_xlfn.NORM.DIST(0.35,0.295,0.025,1)</f>
        <v>1.390344751349859E-2</v>
      </c>
      <c r="J4" t="s">
        <v>40</v>
      </c>
      <c r="K4">
        <v>20</v>
      </c>
      <c r="L4">
        <v>50</v>
      </c>
      <c r="M4">
        <v>70</v>
      </c>
    </row>
    <row r="5" spans="1:13" x14ac:dyDescent="0.35">
      <c r="D5">
        <f>1 - _xlfn.NORM.S.DIST(2.2,1)</f>
        <v>1.390344751349859E-2</v>
      </c>
      <c r="J5" t="s">
        <v>42</v>
      </c>
      <c r="K5">
        <v>20</v>
      </c>
      <c r="L5">
        <v>10</v>
      </c>
      <c r="M5">
        <v>30</v>
      </c>
    </row>
    <row r="6" spans="1:13" x14ac:dyDescent="0.35">
      <c r="D6">
        <f>_xlfn.NORM.DIST(0.34,0.295,0.025,1)-_xlfn.NORM.DIST(0.26,0.295,0.025,1)</f>
        <v>0.88331302165330317</v>
      </c>
      <c r="K6">
        <v>40</v>
      </c>
      <c r="L6">
        <v>60</v>
      </c>
      <c r="M6">
        <v>100</v>
      </c>
    </row>
    <row r="7" spans="1:13" x14ac:dyDescent="0.35">
      <c r="D7">
        <f>_xlfn.NORM.S.DIST(1.8,1)-_xlfn.NORM.S.DIST(-1.4,1)</f>
        <v>0.88331302165330317</v>
      </c>
    </row>
    <row r="8" spans="1:13" x14ac:dyDescent="0.35">
      <c r="A8" s="4" t="s">
        <v>25</v>
      </c>
      <c r="F8" s="2"/>
      <c r="G8" s="2" t="s">
        <v>36</v>
      </c>
      <c r="H8" s="2" t="s">
        <v>39</v>
      </c>
      <c r="I8" s="2"/>
      <c r="J8" s="2"/>
      <c r="K8" s="2"/>
    </row>
    <row r="9" spans="1:13" x14ac:dyDescent="0.35">
      <c r="B9" t="s">
        <v>5</v>
      </c>
      <c r="C9">
        <v>0.29499999999999998</v>
      </c>
      <c r="F9" s="2" t="s">
        <v>37</v>
      </c>
      <c r="G9" s="2">
        <v>24</v>
      </c>
      <c r="H9" s="2">
        <v>12</v>
      </c>
      <c r="I9" s="2"/>
      <c r="J9" s="2"/>
      <c r="K9" s="2">
        <v>36</v>
      </c>
    </row>
    <row r="10" spans="1:13" x14ac:dyDescent="0.35">
      <c r="B10" t="s">
        <v>6</v>
      </c>
      <c r="C10">
        <v>2.5000000000000001E-2</v>
      </c>
      <c r="F10" s="2" t="s">
        <v>38</v>
      </c>
      <c r="G10" s="2">
        <v>16</v>
      </c>
      <c r="H10" s="2">
        <v>48</v>
      </c>
      <c r="I10" s="2"/>
      <c r="J10" s="2"/>
      <c r="K10" s="2">
        <v>64</v>
      </c>
    </row>
    <row r="11" spans="1:13" x14ac:dyDescent="0.35">
      <c r="A11" t="s">
        <v>11</v>
      </c>
      <c r="B11" t="s">
        <v>7</v>
      </c>
      <c r="C11">
        <f>(0.28-0.295)/0.025</f>
        <v>-0.59999999999999831</v>
      </c>
      <c r="F11" s="2"/>
      <c r="G11" s="2">
        <v>40</v>
      </c>
      <c r="H11" s="2">
        <v>60</v>
      </c>
      <c r="I11" s="2"/>
      <c r="J11" s="2"/>
      <c r="K11" s="2">
        <v>100</v>
      </c>
    </row>
    <row r="12" spans="1:13" x14ac:dyDescent="0.35">
      <c r="A12" t="s">
        <v>12</v>
      </c>
      <c r="B12" t="s">
        <v>7</v>
      </c>
      <c r="C12">
        <f>(0.35-0.295)/0.025</f>
        <v>2.1999999999999997</v>
      </c>
      <c r="F12" s="2"/>
      <c r="G12" s="2"/>
      <c r="H12" s="2"/>
      <c r="I12" s="2"/>
      <c r="J12" s="2"/>
      <c r="K12" s="2"/>
    </row>
    <row r="13" spans="1:13" x14ac:dyDescent="0.35">
      <c r="A13" t="s">
        <v>15</v>
      </c>
      <c r="B13" t="s">
        <v>7</v>
      </c>
      <c r="C13">
        <f>(0.26-C9)/C10</f>
        <v>-1.399999999999999</v>
      </c>
    </row>
    <row r="14" spans="1:13" x14ac:dyDescent="0.35">
      <c r="A14" t="s">
        <v>16</v>
      </c>
      <c r="B14" t="s">
        <v>7</v>
      </c>
      <c r="C14">
        <f>(0.34-C9)/C10</f>
        <v>1.8000000000000016</v>
      </c>
      <c r="G14" s="15" t="s">
        <v>46</v>
      </c>
      <c r="H14" s="15"/>
      <c r="I14" s="19" t="s">
        <v>49</v>
      </c>
      <c r="J14" s="20"/>
    </row>
    <row r="15" spans="1:13" x14ac:dyDescent="0.35">
      <c r="A15" t="s">
        <v>8</v>
      </c>
      <c r="B15">
        <f>_xlfn.NORM.S.DIST(-0.6,1)</f>
        <v>0.27425311775007355</v>
      </c>
      <c r="C15" t="s">
        <v>10</v>
      </c>
      <c r="D15">
        <f>B15*100</f>
        <v>27.425311775007355</v>
      </c>
      <c r="F15" s="10"/>
      <c r="G15" s="21" t="s">
        <v>47</v>
      </c>
      <c r="H15" s="22" t="s">
        <v>48</v>
      </c>
      <c r="I15" s="21" t="s">
        <v>47</v>
      </c>
      <c r="J15" s="23" t="s">
        <v>48</v>
      </c>
      <c r="K15" s="9"/>
    </row>
    <row r="16" spans="1:13" x14ac:dyDescent="0.35">
      <c r="A16" t="s">
        <v>9</v>
      </c>
      <c r="B16">
        <f>_xlfn.NORM.S.DIST(C12,TRUE)</f>
        <v>0.98609655248650141</v>
      </c>
      <c r="C16" t="s">
        <v>13</v>
      </c>
      <c r="D16">
        <f>(1-B16)*100</f>
        <v>1.390344751349859</v>
      </c>
      <c r="F16" s="10" t="s">
        <v>44</v>
      </c>
      <c r="G16" s="13">
        <v>18</v>
      </c>
      <c r="H16" s="12"/>
      <c r="I16" s="13"/>
      <c r="J16" s="14">
        <v>13</v>
      </c>
      <c r="K16" s="9">
        <v>37</v>
      </c>
    </row>
    <row r="17" spans="1:11" x14ac:dyDescent="0.35">
      <c r="A17" t="s">
        <v>14</v>
      </c>
      <c r="B17">
        <f>_xlfn.NORM.S.DIST(1.8,1)-_xlfn.NORM.S.DIST(-1.4,1)</f>
        <v>0.88331302165330317</v>
      </c>
      <c r="C17" t="s">
        <v>17</v>
      </c>
      <c r="D17">
        <f>B17*100</f>
        <v>88.331302165330314</v>
      </c>
      <c r="F17" s="10" t="s">
        <v>45</v>
      </c>
      <c r="G17" s="13"/>
      <c r="H17" s="12">
        <v>2</v>
      </c>
      <c r="I17" s="13"/>
      <c r="J17" s="14">
        <v>7</v>
      </c>
      <c r="K17" s="9">
        <v>33</v>
      </c>
    </row>
    <row r="18" spans="1:11" x14ac:dyDescent="0.35">
      <c r="F18" s="10"/>
      <c r="G18" s="13"/>
      <c r="I18" s="13">
        <v>14</v>
      </c>
      <c r="J18" s="14">
        <v>20</v>
      </c>
      <c r="K18" s="9">
        <v>70</v>
      </c>
    </row>
    <row r="19" spans="1:11" x14ac:dyDescent="0.35">
      <c r="A19" s="4" t="s">
        <v>24</v>
      </c>
      <c r="F19" s="11"/>
      <c r="G19" s="15"/>
      <c r="H19" s="16">
        <v>36</v>
      </c>
      <c r="I19" s="17">
        <v>34</v>
      </c>
      <c r="J19" s="18"/>
      <c r="K19" s="9"/>
    </row>
    <row r="20" spans="1:11" x14ac:dyDescent="0.35">
      <c r="A20" s="3" t="s">
        <v>20</v>
      </c>
      <c r="B20">
        <f>_xlfn.NORM.INV(0.1,0.295,0.025)</f>
        <v>0.26296121086138496</v>
      </c>
    </row>
    <row r="21" spans="1:11" x14ac:dyDescent="0.35">
      <c r="A21" s="3" t="s">
        <v>18</v>
      </c>
      <c r="B21">
        <f>(B20-0.295)/0.025</f>
        <v>-1.2815515655446008</v>
      </c>
      <c r="F21" s="2"/>
      <c r="G21" s="2" t="s">
        <v>50</v>
      </c>
      <c r="H21" s="2" t="s">
        <v>51</v>
      </c>
    </row>
    <row r="22" spans="1:11" x14ac:dyDescent="0.35">
      <c r="A22" s="3" t="s">
        <v>21</v>
      </c>
      <c r="B22">
        <f>_xlfn.NORM.S.INV(0.1)</f>
        <v>-1.2815515655446006</v>
      </c>
      <c r="C22" t="s">
        <v>22</v>
      </c>
      <c r="F22" s="2" t="s">
        <v>53</v>
      </c>
      <c r="G22" s="2">
        <v>0.6</v>
      </c>
      <c r="H22" s="2">
        <v>0.4</v>
      </c>
    </row>
    <row r="23" spans="1:11" x14ac:dyDescent="0.35">
      <c r="A23" s="3" t="s">
        <v>0</v>
      </c>
      <c r="B23">
        <f>(B21*C10)+C9</f>
        <v>0.26296121086138496</v>
      </c>
      <c r="C23" t="s">
        <v>23</v>
      </c>
      <c r="F23" s="2" t="s">
        <v>52</v>
      </c>
      <c r="G23" s="2"/>
      <c r="H23" s="2">
        <v>0.6</v>
      </c>
    </row>
    <row r="24" spans="1:11" x14ac:dyDescent="0.35">
      <c r="F24" s="2"/>
      <c r="G24" s="2"/>
      <c r="H24" s="2"/>
    </row>
    <row r="25" spans="1:11" x14ac:dyDescent="0.35">
      <c r="F25" s="8"/>
      <c r="G25" s="2"/>
      <c r="H25" s="2"/>
    </row>
    <row r="26" spans="1:11" x14ac:dyDescent="0.35">
      <c r="F26" s="8"/>
      <c r="G26" s="2"/>
      <c r="H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9E8E-FD8E-4F66-B674-C7994CFDC6AE}">
  <dimension ref="A2:I18"/>
  <sheetViews>
    <sheetView workbookViewId="0">
      <selection activeCell="J7" sqref="J7"/>
    </sheetView>
  </sheetViews>
  <sheetFormatPr defaultRowHeight="14.5" x14ac:dyDescent="0.35"/>
  <cols>
    <col min="1" max="1" width="10.54296875" bestFit="1" customWidth="1"/>
    <col min="2" max="2" width="9.90625" bestFit="1" customWidth="1"/>
    <col min="4" max="4" width="11.7265625" bestFit="1" customWidth="1"/>
  </cols>
  <sheetData>
    <row r="2" spans="1:9" x14ac:dyDescent="0.35">
      <c r="H2">
        <f>1 -_xlfn.NORM.DIST(280,272,9,TRUE)</f>
        <v>0.18703139874544128</v>
      </c>
    </row>
    <row r="3" spans="1:9" x14ac:dyDescent="0.35">
      <c r="A3" t="s">
        <v>3</v>
      </c>
      <c r="B3">
        <f>45.8</f>
        <v>45.8</v>
      </c>
    </row>
    <row r="4" spans="1:9" x14ac:dyDescent="0.35">
      <c r="A4" t="s">
        <v>4</v>
      </c>
      <c r="B4">
        <v>54</v>
      </c>
      <c r="H4">
        <f>1 -_xlfn.NORM.DIST(263,272,9,TRUE)</f>
        <v>0.84134474606854304</v>
      </c>
    </row>
    <row r="5" spans="1:9" x14ac:dyDescent="0.35">
      <c r="C5">
        <v>0</v>
      </c>
      <c r="D5">
        <f>_xlfn.BINOM.DIST(C5,2,0.93,TRUE)</f>
        <v>4.8999999999999929E-3</v>
      </c>
    </row>
    <row r="6" spans="1:9" x14ac:dyDescent="0.35">
      <c r="C6">
        <v>1</v>
      </c>
      <c r="D6">
        <f t="shared" ref="D6:D7" si="0">_xlfn.BINOM.DIST(C6,2,0.93,TRUE)</f>
        <v>0.13509999999999991</v>
      </c>
    </row>
    <row r="7" spans="1:9" x14ac:dyDescent="0.35">
      <c r="C7">
        <v>2</v>
      </c>
      <c r="D7">
        <f t="shared" si="0"/>
        <v>1</v>
      </c>
      <c r="H7">
        <f>_xlfn.NORM.DIST(50,45,17,TRUE)</f>
        <v>0.61566599671959565</v>
      </c>
      <c r="I7">
        <f>1-H7</f>
        <v>0.38433400328040435</v>
      </c>
    </row>
    <row r="10" spans="1:9" x14ac:dyDescent="0.35">
      <c r="C10" s="24" t="s">
        <v>54</v>
      </c>
      <c r="D10" s="24" t="s">
        <v>55</v>
      </c>
    </row>
    <row r="11" spans="1:9" x14ac:dyDescent="0.35">
      <c r="A11" t="s">
        <v>56</v>
      </c>
      <c r="C11">
        <f>0.19*37</f>
        <v>7.03</v>
      </c>
      <c r="D11">
        <f>0.81*37</f>
        <v>29.970000000000002</v>
      </c>
      <c r="E11">
        <v>37</v>
      </c>
    </row>
    <row r="12" spans="1:9" x14ac:dyDescent="0.35">
      <c r="A12" t="s">
        <v>57</v>
      </c>
      <c r="C12">
        <v>6.97</v>
      </c>
      <c r="D12">
        <v>56.03</v>
      </c>
      <c r="E12">
        <v>63</v>
      </c>
    </row>
    <row r="13" spans="1:9" x14ac:dyDescent="0.35">
      <c r="C13">
        <v>14</v>
      </c>
      <c r="D13">
        <v>86</v>
      </c>
      <c r="E13">
        <v>100</v>
      </c>
    </row>
    <row r="15" spans="1:9" x14ac:dyDescent="0.35">
      <c r="C15" s="24" t="s">
        <v>58</v>
      </c>
      <c r="D15" s="24" t="s">
        <v>59</v>
      </c>
    </row>
    <row r="16" spans="1:9" x14ac:dyDescent="0.35">
      <c r="B16" t="s">
        <v>60</v>
      </c>
      <c r="C16">
        <f>0.5*0.05</f>
        <v>2.5000000000000001E-2</v>
      </c>
      <c r="D16">
        <f>0.2*0.95</f>
        <v>0.19</v>
      </c>
      <c r="E16">
        <v>0.215</v>
      </c>
    </row>
    <row r="17" spans="2:5" x14ac:dyDescent="0.35">
      <c r="B17" t="s">
        <v>61</v>
      </c>
      <c r="C17">
        <f>0.5*0.05</f>
        <v>2.5000000000000001E-2</v>
      </c>
      <c r="D17">
        <f>0.95-0.19</f>
        <v>0.76</v>
      </c>
      <c r="E17">
        <v>0.3</v>
      </c>
    </row>
    <row r="18" spans="2:5" x14ac:dyDescent="0.35">
      <c r="C18">
        <v>0.05</v>
      </c>
      <c r="D18">
        <v>0.95</v>
      </c>
      <c r="E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FBA8-EE84-4793-A577-1D47986F8ED6}">
  <dimension ref="A1:M65"/>
  <sheetViews>
    <sheetView topLeftCell="A7" workbookViewId="0">
      <selection activeCell="B14" sqref="B14"/>
    </sheetView>
  </sheetViews>
  <sheetFormatPr defaultRowHeight="14.5" x14ac:dyDescent="0.35"/>
  <cols>
    <col min="1" max="1" width="40.6328125" bestFit="1" customWidth="1"/>
    <col min="2" max="3" width="12.453125" bestFit="1" customWidth="1"/>
    <col min="6" max="6" width="23.453125" bestFit="1" customWidth="1"/>
    <col min="7" max="7" width="10.90625" bestFit="1" customWidth="1"/>
    <col min="8" max="8" width="9.90625" bestFit="1" customWidth="1"/>
    <col min="10" max="10" width="30.26953125" bestFit="1" customWidth="1"/>
    <col min="11" max="11" width="8.6328125" bestFit="1" customWidth="1"/>
    <col min="12" max="12" width="17.36328125" bestFit="1" customWidth="1"/>
  </cols>
  <sheetData>
    <row r="1" spans="1:13" x14ac:dyDescent="0.35">
      <c r="A1" s="24" t="s">
        <v>73</v>
      </c>
      <c r="F1" s="24" t="s">
        <v>108</v>
      </c>
    </row>
    <row r="2" spans="1:13" ht="15.5" x14ac:dyDescent="0.35">
      <c r="A2" t="s">
        <v>84</v>
      </c>
      <c r="F2" s="26" t="s">
        <v>106</v>
      </c>
      <c r="G2" s="26" t="s">
        <v>107</v>
      </c>
      <c r="H2" s="27" t="s">
        <v>109</v>
      </c>
      <c r="I2" t="s">
        <v>162</v>
      </c>
    </row>
    <row r="3" spans="1:13" ht="15.5" x14ac:dyDescent="0.35">
      <c r="F3" s="26">
        <v>10.7</v>
      </c>
      <c r="G3" s="26">
        <v>7.2</v>
      </c>
      <c r="I3" t="s">
        <v>163</v>
      </c>
    </row>
    <row r="4" spans="1:13" ht="15.5" x14ac:dyDescent="0.35">
      <c r="F4" s="26">
        <v>9.89</v>
      </c>
      <c r="G4" s="26">
        <v>6.68</v>
      </c>
      <c r="L4" t="s">
        <v>120</v>
      </c>
      <c r="M4">
        <f>J7-J8</f>
        <v>2.2750000000000004</v>
      </c>
    </row>
    <row r="5" spans="1:13" ht="15.5" x14ac:dyDescent="0.35">
      <c r="A5" t="s">
        <v>65</v>
      </c>
      <c r="F5" s="26">
        <v>11.83</v>
      </c>
      <c r="G5" s="26">
        <v>9.2899999999999991</v>
      </c>
      <c r="H5" s="27" t="s">
        <v>110</v>
      </c>
      <c r="I5" t="s">
        <v>111</v>
      </c>
      <c r="J5">
        <v>0.05</v>
      </c>
      <c r="L5" t="s">
        <v>121</v>
      </c>
      <c r="M5">
        <f>SQRT(I10/J12 + I11/J12)</f>
        <v>0.44076234794775576</v>
      </c>
    </row>
    <row r="6" spans="1:13" ht="15.5" x14ac:dyDescent="0.35">
      <c r="A6" t="s">
        <v>66</v>
      </c>
      <c r="F6" s="26">
        <v>9.0399999999999991</v>
      </c>
      <c r="G6" s="26">
        <v>8.9499999999999993</v>
      </c>
    </row>
    <row r="7" spans="1:13" ht="15.5" x14ac:dyDescent="0.35">
      <c r="A7" t="s">
        <v>69</v>
      </c>
      <c r="B7">
        <v>8000</v>
      </c>
      <c r="F7" s="26">
        <v>9.3699999999999992</v>
      </c>
      <c r="G7" s="26">
        <v>6.61</v>
      </c>
      <c r="H7" s="27" t="s">
        <v>112</v>
      </c>
      <c r="I7" t="s">
        <v>113</v>
      </c>
      <c r="J7">
        <f>AVERAGE(F3:F22)</f>
        <v>10.397500000000001</v>
      </c>
      <c r="L7" t="s">
        <v>96</v>
      </c>
      <c r="M7">
        <f>M4/M5</f>
        <v>5.1615116640354675</v>
      </c>
    </row>
    <row r="8" spans="1:13" ht="15.5" x14ac:dyDescent="0.35">
      <c r="A8" t="s">
        <v>77</v>
      </c>
      <c r="B8">
        <v>400</v>
      </c>
      <c r="F8" s="26">
        <v>11.68</v>
      </c>
      <c r="G8" s="26">
        <v>8.5299999999999994</v>
      </c>
      <c r="I8" t="s">
        <v>114</v>
      </c>
      <c r="J8">
        <f>AVERAGE(G3:G22)</f>
        <v>8.1225000000000005</v>
      </c>
    </row>
    <row r="9" spans="1:13" ht="15.5" x14ac:dyDescent="0.35">
      <c r="A9" t="s">
        <v>67</v>
      </c>
      <c r="B9">
        <v>30000</v>
      </c>
      <c r="F9" s="26">
        <v>8.36</v>
      </c>
      <c r="G9" s="26">
        <v>8.92</v>
      </c>
    </row>
    <row r="10" spans="1:13" ht="15.5" x14ac:dyDescent="0.35">
      <c r="A10" t="s">
        <v>68</v>
      </c>
      <c r="B10">
        <v>29000</v>
      </c>
      <c r="F10" s="26">
        <v>9.76</v>
      </c>
      <c r="G10" s="26">
        <v>7.95</v>
      </c>
      <c r="H10" s="27" t="s">
        <v>115</v>
      </c>
      <c r="I10">
        <f>_xlfn.VAR.S(F3:F22)</f>
        <v>1.8769881578947014</v>
      </c>
    </row>
    <row r="11" spans="1:13" ht="15.5" x14ac:dyDescent="0.35">
      <c r="F11" s="26">
        <v>13.67</v>
      </c>
      <c r="G11" s="26">
        <v>7.57</v>
      </c>
      <c r="H11" s="27" t="s">
        <v>116</v>
      </c>
      <c r="I11">
        <f>_xlfn.VAR.S(G3:G22)</f>
        <v>2.0084407894736684</v>
      </c>
    </row>
    <row r="12" spans="1:13" ht="15.5" x14ac:dyDescent="0.35">
      <c r="A12" t="s">
        <v>70</v>
      </c>
      <c r="B12">
        <f>(B9-B10)*SQRT(B8)/B7</f>
        <v>2.5</v>
      </c>
      <c r="F12" s="26">
        <v>8.9600000000000009</v>
      </c>
      <c r="G12" s="26">
        <v>6.38</v>
      </c>
      <c r="H12" s="27" t="s">
        <v>117</v>
      </c>
      <c r="J12">
        <v>20</v>
      </c>
    </row>
    <row r="13" spans="1:13" ht="15.5" x14ac:dyDescent="0.35">
      <c r="F13" s="26">
        <v>9.51</v>
      </c>
      <c r="G13" s="26">
        <v>8.89</v>
      </c>
      <c r="H13" s="27" t="s">
        <v>118</v>
      </c>
      <c r="I13" t="s">
        <v>119</v>
      </c>
      <c r="J13">
        <v>38</v>
      </c>
    </row>
    <row r="14" spans="1:13" ht="15.5" x14ac:dyDescent="0.35">
      <c r="A14" t="s">
        <v>62</v>
      </c>
      <c r="B14" t="s">
        <v>63</v>
      </c>
      <c r="F14" s="26">
        <v>10.85</v>
      </c>
      <c r="G14" s="26">
        <v>10.029999999999999</v>
      </c>
    </row>
    <row r="15" spans="1:13" ht="15.5" x14ac:dyDescent="0.35">
      <c r="A15" t="s">
        <v>71</v>
      </c>
      <c r="B15" t="s">
        <v>72</v>
      </c>
      <c r="F15" s="26">
        <v>10.57</v>
      </c>
      <c r="G15" s="26">
        <v>9.3000000000000007</v>
      </c>
      <c r="H15" s="27" t="s">
        <v>122</v>
      </c>
      <c r="I15" t="s">
        <v>95</v>
      </c>
      <c r="J15">
        <f>TDIST(M7,38,2)</f>
        <v>8.0079880325346904E-6</v>
      </c>
    </row>
    <row r="16" spans="1:13" ht="15.5" x14ac:dyDescent="0.35">
      <c r="F16" s="26">
        <v>11.06</v>
      </c>
      <c r="G16" s="26">
        <v>5.28</v>
      </c>
    </row>
    <row r="17" spans="1:11" ht="15.5" x14ac:dyDescent="0.35">
      <c r="A17" t="s">
        <v>74</v>
      </c>
      <c r="B17">
        <f>1 - _xlfn.NORM.S.DIST(2.5,1)</f>
        <v>6.2096653257761592E-3</v>
      </c>
      <c r="F17" s="26">
        <v>8.91</v>
      </c>
      <c r="G17" s="26">
        <v>9.23</v>
      </c>
      <c r="I17" t="s">
        <v>123</v>
      </c>
      <c r="K17" t="s">
        <v>124</v>
      </c>
    </row>
    <row r="18" spans="1:11" ht="15.5" x14ac:dyDescent="0.35">
      <c r="A18" t="s">
        <v>75</v>
      </c>
      <c r="F18" s="26">
        <v>11.79</v>
      </c>
      <c r="G18" s="26">
        <v>9.25</v>
      </c>
    </row>
    <row r="19" spans="1:11" ht="15.5" x14ac:dyDescent="0.35">
      <c r="F19" s="26">
        <v>10.59</v>
      </c>
      <c r="G19" s="26">
        <v>8.44</v>
      </c>
    </row>
    <row r="20" spans="1:11" ht="15.5" x14ac:dyDescent="0.35">
      <c r="A20" s="24" t="s">
        <v>76</v>
      </c>
      <c r="F20" s="26">
        <v>9.1300000000000008</v>
      </c>
      <c r="G20" s="26">
        <v>6.57</v>
      </c>
    </row>
    <row r="21" spans="1:11" ht="15.5" x14ac:dyDescent="0.35">
      <c r="A21" s="24" t="s">
        <v>85</v>
      </c>
      <c r="F21" s="26">
        <v>12.37</v>
      </c>
      <c r="G21" s="26">
        <v>10.61</v>
      </c>
    </row>
    <row r="22" spans="1:11" ht="15.5" x14ac:dyDescent="0.35">
      <c r="A22" t="s">
        <v>78</v>
      </c>
      <c r="B22">
        <v>4.8</v>
      </c>
      <c r="F22" s="26">
        <v>9.91</v>
      </c>
      <c r="G22" s="26">
        <v>6.77</v>
      </c>
    </row>
    <row r="23" spans="1:11" x14ac:dyDescent="0.35">
      <c r="A23" t="s">
        <v>64</v>
      </c>
      <c r="B23">
        <v>36</v>
      </c>
    </row>
    <row r="24" spans="1:11" x14ac:dyDescent="0.35">
      <c r="A24" t="s">
        <v>79</v>
      </c>
      <c r="B24">
        <v>248.5</v>
      </c>
      <c r="F24" s="24" t="s">
        <v>125</v>
      </c>
    </row>
    <row r="25" spans="1:11" ht="15.5" x14ac:dyDescent="0.35">
      <c r="A25" t="s">
        <v>80</v>
      </c>
      <c r="B25">
        <v>250</v>
      </c>
      <c r="F25" s="28" t="s">
        <v>126</v>
      </c>
      <c r="G25" s="28" t="s">
        <v>127</v>
      </c>
      <c r="H25" t="s">
        <v>133</v>
      </c>
      <c r="I25" t="s">
        <v>109</v>
      </c>
      <c r="J25" t="s">
        <v>128</v>
      </c>
    </row>
    <row r="26" spans="1:11" ht="15.5" x14ac:dyDescent="0.35">
      <c r="A26" t="s">
        <v>81</v>
      </c>
      <c r="F26" s="28">
        <v>2.83</v>
      </c>
      <c r="G26" s="28">
        <v>3.5049999999999999</v>
      </c>
      <c r="H26">
        <f>G26-F26</f>
        <v>0.67499999999999982</v>
      </c>
      <c r="J26" t="s">
        <v>129</v>
      </c>
    </row>
    <row r="27" spans="1:11" ht="15.5" x14ac:dyDescent="0.35">
      <c r="A27" t="s">
        <v>82</v>
      </c>
      <c r="F27" s="28">
        <v>3.2949999999999999</v>
      </c>
      <c r="G27" s="28">
        <v>3.43</v>
      </c>
      <c r="H27">
        <f t="shared" ref="H27:H65" si="0">G27-F27</f>
        <v>0.13500000000000023</v>
      </c>
    </row>
    <row r="28" spans="1:11" ht="15.5" x14ac:dyDescent="0.35">
      <c r="F28" s="28">
        <v>2.71</v>
      </c>
      <c r="G28" s="28">
        <v>3.67</v>
      </c>
      <c r="H28">
        <f t="shared" si="0"/>
        <v>0.96</v>
      </c>
      <c r="I28" t="s">
        <v>110</v>
      </c>
      <c r="J28" t="s">
        <v>130</v>
      </c>
      <c r="K28">
        <v>0.01</v>
      </c>
    </row>
    <row r="29" spans="1:11" ht="15.5" x14ac:dyDescent="0.35">
      <c r="A29" t="s">
        <v>83</v>
      </c>
      <c r="B29">
        <f>(B24-B25)*SQRT(B23)/B22</f>
        <v>-1.875</v>
      </c>
      <c r="F29" s="28">
        <v>2.855</v>
      </c>
      <c r="G29" s="28">
        <v>3.355</v>
      </c>
      <c r="H29">
        <f t="shared" si="0"/>
        <v>0.5</v>
      </c>
      <c r="I29" t="s">
        <v>112</v>
      </c>
      <c r="J29" t="s">
        <v>131</v>
      </c>
      <c r="K29">
        <f>AVERAGE(F26:F65)</f>
        <v>2.9910000000000001</v>
      </c>
    </row>
    <row r="30" spans="1:11" ht="15.5" x14ac:dyDescent="0.35">
      <c r="A30" t="s">
        <v>62</v>
      </c>
      <c r="B30" t="s">
        <v>63</v>
      </c>
      <c r="C30">
        <f>_xlfn.NORM.S.INV(0.05)</f>
        <v>-1.6448536269514726</v>
      </c>
      <c r="F30" s="28">
        <v>2.98</v>
      </c>
      <c r="G30" s="28">
        <v>3.9849999999999999</v>
      </c>
      <c r="H30">
        <f t="shared" si="0"/>
        <v>1.0049999999999999</v>
      </c>
      <c r="J30" t="s">
        <v>132</v>
      </c>
      <c r="K30">
        <f>AVERAGE(G26:G65)</f>
        <v>3.5441250000000002</v>
      </c>
    </row>
    <row r="31" spans="1:11" ht="15.5" x14ac:dyDescent="0.35">
      <c r="A31" t="s">
        <v>75</v>
      </c>
      <c r="F31" s="28">
        <v>3.0649999999999999</v>
      </c>
      <c r="G31" s="28">
        <v>3.63</v>
      </c>
      <c r="H31">
        <f t="shared" si="0"/>
        <v>0.56499999999999995</v>
      </c>
      <c r="J31" t="s">
        <v>134</v>
      </c>
      <c r="K31">
        <f>AVERAGE(H26:H65)</f>
        <v>0.55312500000000009</v>
      </c>
    </row>
    <row r="32" spans="1:11" ht="15.5" x14ac:dyDescent="0.35">
      <c r="F32" s="28">
        <v>3.7650000000000001</v>
      </c>
      <c r="G32" s="28">
        <v>4.57</v>
      </c>
      <c r="H32">
        <f t="shared" si="0"/>
        <v>0.80500000000000016</v>
      </c>
      <c r="J32" t="s">
        <v>135</v>
      </c>
      <c r="K32">
        <f>STDEV(H26:H65)</f>
        <v>0.37326468147401437</v>
      </c>
    </row>
    <row r="33" spans="1:11" ht="15.5" x14ac:dyDescent="0.35">
      <c r="A33" s="24" t="s">
        <v>102</v>
      </c>
      <c r="D33" s="25" t="s">
        <v>92</v>
      </c>
      <c r="F33" s="28">
        <v>3.2650000000000001</v>
      </c>
      <c r="G33" s="28">
        <v>3.7</v>
      </c>
      <c r="H33">
        <f t="shared" si="0"/>
        <v>0.43500000000000005</v>
      </c>
      <c r="J33" t="s">
        <v>136</v>
      </c>
      <c r="K33">
        <v>40</v>
      </c>
    </row>
    <row r="34" spans="1:11" ht="15.5" x14ac:dyDescent="0.35">
      <c r="A34" t="s">
        <v>86</v>
      </c>
      <c r="B34">
        <v>30</v>
      </c>
      <c r="D34" s="25">
        <v>72</v>
      </c>
      <c r="F34" s="28">
        <v>3.17</v>
      </c>
      <c r="G34" s="28">
        <v>3.66</v>
      </c>
      <c r="H34">
        <f t="shared" si="0"/>
        <v>0.49000000000000021</v>
      </c>
      <c r="J34" t="s">
        <v>118</v>
      </c>
      <c r="K34">
        <v>39</v>
      </c>
    </row>
    <row r="35" spans="1:11" ht="15.5" x14ac:dyDescent="0.35">
      <c r="A35" t="s">
        <v>87</v>
      </c>
      <c r="B35">
        <v>144</v>
      </c>
      <c r="D35" s="25">
        <v>144</v>
      </c>
      <c r="F35" s="28">
        <v>2.895</v>
      </c>
      <c r="G35" s="28">
        <v>3.25</v>
      </c>
      <c r="H35">
        <f t="shared" si="0"/>
        <v>0.35499999999999998</v>
      </c>
    </row>
    <row r="36" spans="1:11" ht="15.5" x14ac:dyDescent="0.35">
      <c r="A36" t="s">
        <v>90</v>
      </c>
      <c r="B36">
        <v>0.05</v>
      </c>
      <c r="D36" s="25">
        <v>48</v>
      </c>
      <c r="F36" s="28">
        <v>2.63</v>
      </c>
      <c r="G36" s="28">
        <v>2.85</v>
      </c>
      <c r="H36">
        <f t="shared" si="0"/>
        <v>0.2200000000000002</v>
      </c>
      <c r="I36" t="s">
        <v>122</v>
      </c>
      <c r="J36" t="s">
        <v>137</v>
      </c>
      <c r="K36">
        <f>K31*SQRT(K33) / K32</f>
        <v>9.3720885880407359</v>
      </c>
    </row>
    <row r="37" spans="1:11" ht="15.5" x14ac:dyDescent="0.35">
      <c r="A37" t="s">
        <v>88</v>
      </c>
      <c r="D37" s="25">
        <v>72</v>
      </c>
      <c r="F37" s="28">
        <v>2.83</v>
      </c>
      <c r="G37" s="28">
        <v>3.34</v>
      </c>
      <c r="H37">
        <f t="shared" si="0"/>
        <v>0.50999999999999979</v>
      </c>
    </row>
    <row r="38" spans="1:11" ht="15.5" x14ac:dyDescent="0.35">
      <c r="A38" t="s">
        <v>89</v>
      </c>
      <c r="D38" s="25">
        <v>36</v>
      </c>
      <c r="F38" s="28">
        <v>2.9350000000000001</v>
      </c>
      <c r="G38" s="28">
        <v>3.63</v>
      </c>
      <c r="H38">
        <f t="shared" si="0"/>
        <v>0.69499999999999984</v>
      </c>
      <c r="I38" t="s">
        <v>139</v>
      </c>
      <c r="J38" t="s">
        <v>138</v>
      </c>
      <c r="K38">
        <f>TDIST(K36,39,1)</f>
        <v>7.7681585243688033E-12</v>
      </c>
    </row>
    <row r="39" spans="1:11" ht="15.5" x14ac:dyDescent="0.35">
      <c r="A39" t="s">
        <v>104</v>
      </c>
      <c r="D39" s="25">
        <v>360</v>
      </c>
      <c r="F39" s="28">
        <v>3.1150000000000002</v>
      </c>
      <c r="G39" s="28">
        <v>3.6749999999999998</v>
      </c>
      <c r="H39">
        <f t="shared" si="0"/>
        <v>0.55999999999999961</v>
      </c>
    </row>
    <row r="40" spans="1:11" ht="15.5" x14ac:dyDescent="0.35">
      <c r="A40" t="s">
        <v>91</v>
      </c>
      <c r="D40" s="25">
        <v>44</v>
      </c>
      <c r="F40" s="28">
        <v>2.9849999999999999</v>
      </c>
      <c r="G40" s="28">
        <v>3.4750000000000001</v>
      </c>
      <c r="H40">
        <f t="shared" si="0"/>
        <v>0.49000000000000021</v>
      </c>
    </row>
    <row r="41" spans="1:11" ht="15.5" x14ac:dyDescent="0.35">
      <c r="A41" t="s">
        <v>93</v>
      </c>
      <c r="B41">
        <f>AVERAGE(D34:D63)</f>
        <v>175.26666666666668</v>
      </c>
      <c r="D41" s="25">
        <v>30</v>
      </c>
      <c r="F41" s="28">
        <v>3.1349999999999998</v>
      </c>
      <c r="G41" s="28">
        <v>3.605</v>
      </c>
      <c r="H41">
        <f t="shared" si="0"/>
        <v>0.4700000000000002</v>
      </c>
    </row>
    <row r="42" spans="1:11" ht="15.5" x14ac:dyDescent="0.35">
      <c r="A42" t="s">
        <v>94</v>
      </c>
      <c r="B42">
        <f>STDEV(D34:D63)</f>
        <v>139.83683431015257</v>
      </c>
      <c r="D42" s="25">
        <v>432</v>
      </c>
      <c r="F42" s="28">
        <v>2.75</v>
      </c>
      <c r="G42" s="28">
        <v>3.25</v>
      </c>
      <c r="H42">
        <f t="shared" si="0"/>
        <v>0.5</v>
      </c>
    </row>
    <row r="43" spans="1:11" ht="15.5" x14ac:dyDescent="0.35">
      <c r="D43" s="25">
        <v>24</v>
      </c>
      <c r="F43" s="28">
        <v>3.2050000000000001</v>
      </c>
      <c r="G43" s="28">
        <v>3.54</v>
      </c>
      <c r="H43">
        <f t="shared" si="0"/>
        <v>0.33499999999999996</v>
      </c>
    </row>
    <row r="44" spans="1:11" ht="15.5" x14ac:dyDescent="0.35">
      <c r="A44" t="s">
        <v>96</v>
      </c>
      <c r="B44">
        <f>(B41-B35)*SQRT(B34)/B42</f>
        <v>1.2246743653638934</v>
      </c>
      <c r="D44" s="25">
        <v>288</v>
      </c>
      <c r="F44" s="28">
        <v>3</v>
      </c>
      <c r="G44" s="28">
        <v>4.0049999999999999</v>
      </c>
      <c r="H44">
        <f t="shared" si="0"/>
        <v>1.0049999999999999</v>
      </c>
    </row>
    <row r="45" spans="1:11" ht="15.5" x14ac:dyDescent="0.35">
      <c r="A45" t="s">
        <v>97</v>
      </c>
      <c r="B45">
        <f>TDIST(B44,B34-1,2)</f>
        <v>0.23055326882983779</v>
      </c>
      <c r="C45">
        <f>TDIST(2.5,29,1)</f>
        <v>9.1626721692130274E-3</v>
      </c>
      <c r="D45" s="25">
        <v>144</v>
      </c>
      <c r="F45" s="28">
        <v>3.0350000000000001</v>
      </c>
      <c r="G45" s="28">
        <v>3.5950000000000002</v>
      </c>
      <c r="H45">
        <f t="shared" si="0"/>
        <v>0.56000000000000005</v>
      </c>
    </row>
    <row r="46" spans="1:11" ht="15.5" x14ac:dyDescent="0.35">
      <c r="B46">
        <f>1-_xlfn.NORM.S.DIST(B44,TRUE)</f>
        <v>0.11034896818227002</v>
      </c>
      <c r="C46">
        <f>1-_xlfn.NORM.S.DIST(2.5,1)</f>
        <v>6.2096653257761592E-3</v>
      </c>
      <c r="D46" s="25">
        <v>144</v>
      </c>
      <c r="F46" s="28">
        <v>1.635</v>
      </c>
      <c r="G46" s="28">
        <v>2.2749999999999999</v>
      </c>
      <c r="H46">
        <f t="shared" si="0"/>
        <v>0.6399999999999999</v>
      </c>
    </row>
    <row r="47" spans="1:11" ht="15.5" x14ac:dyDescent="0.35">
      <c r="A47" t="s">
        <v>98</v>
      </c>
      <c r="D47" s="25">
        <v>240</v>
      </c>
      <c r="F47" s="28">
        <v>2.27</v>
      </c>
      <c r="G47" s="28">
        <v>3.91</v>
      </c>
      <c r="H47">
        <f t="shared" si="0"/>
        <v>1.6400000000000001</v>
      </c>
    </row>
    <row r="48" spans="1:11" ht="15.5" x14ac:dyDescent="0.35">
      <c r="D48" s="25">
        <v>432</v>
      </c>
      <c r="F48" s="28">
        <v>2.895</v>
      </c>
      <c r="G48" s="28">
        <v>2.915</v>
      </c>
      <c r="H48">
        <f t="shared" si="0"/>
        <v>2.0000000000000018E-2</v>
      </c>
    </row>
    <row r="49" spans="1:8" ht="15.5" x14ac:dyDescent="0.35">
      <c r="A49" t="s">
        <v>99</v>
      </c>
      <c r="D49" s="25">
        <v>144</v>
      </c>
      <c r="F49" s="28">
        <v>2.8450000000000002</v>
      </c>
      <c r="G49" s="28">
        <v>4.53</v>
      </c>
      <c r="H49">
        <f t="shared" si="0"/>
        <v>1.6850000000000001</v>
      </c>
    </row>
    <row r="50" spans="1:8" ht="15.5" x14ac:dyDescent="0.35">
      <c r="A50" t="s">
        <v>100</v>
      </c>
      <c r="D50" s="25">
        <v>144</v>
      </c>
      <c r="F50" s="28">
        <v>2.2050000000000001</v>
      </c>
      <c r="G50" s="28">
        <v>2.2799999999999998</v>
      </c>
      <c r="H50">
        <f t="shared" si="0"/>
        <v>7.4999999999999734E-2</v>
      </c>
    </row>
    <row r="51" spans="1:8" ht="15.5" x14ac:dyDescent="0.35">
      <c r="A51" t="s">
        <v>101</v>
      </c>
      <c r="D51" s="25">
        <v>144</v>
      </c>
      <c r="F51" s="28">
        <v>3.59</v>
      </c>
      <c r="G51" s="28">
        <v>3.915</v>
      </c>
      <c r="H51">
        <f t="shared" si="0"/>
        <v>0.32500000000000018</v>
      </c>
    </row>
    <row r="52" spans="1:8" ht="15.5" x14ac:dyDescent="0.35">
      <c r="D52" s="25">
        <v>576</v>
      </c>
      <c r="F52" s="28">
        <v>3.08</v>
      </c>
      <c r="G52" s="28">
        <v>3.14</v>
      </c>
      <c r="H52">
        <f t="shared" si="0"/>
        <v>6.0000000000000053E-2</v>
      </c>
    </row>
    <row r="53" spans="1:8" ht="15.5" x14ac:dyDescent="0.35">
      <c r="A53" s="24" t="s">
        <v>103</v>
      </c>
      <c r="D53" s="25">
        <v>216</v>
      </c>
      <c r="F53" s="28">
        <v>3.335</v>
      </c>
      <c r="G53" s="28">
        <v>3.58</v>
      </c>
      <c r="H53">
        <f t="shared" si="0"/>
        <v>0.24500000000000011</v>
      </c>
    </row>
    <row r="54" spans="1:8" ht="15.5" x14ac:dyDescent="0.35">
      <c r="D54" s="25">
        <v>72</v>
      </c>
      <c r="F54" s="28">
        <v>3.8</v>
      </c>
      <c r="G54" s="28">
        <v>4.07</v>
      </c>
      <c r="H54">
        <f t="shared" si="0"/>
        <v>0.27000000000000046</v>
      </c>
    </row>
    <row r="55" spans="1:8" ht="15.5" x14ac:dyDescent="0.35">
      <c r="D55" s="25">
        <v>72</v>
      </c>
      <c r="F55" s="28">
        <v>2.68</v>
      </c>
      <c r="G55" s="28">
        <v>3.8050000000000002</v>
      </c>
      <c r="H55">
        <f t="shared" si="0"/>
        <v>1.125</v>
      </c>
    </row>
    <row r="56" spans="1:8" ht="15.5" x14ac:dyDescent="0.35">
      <c r="D56" s="25">
        <v>144</v>
      </c>
      <c r="F56" s="28">
        <v>3.76</v>
      </c>
      <c r="G56" s="28">
        <v>4.13</v>
      </c>
      <c r="H56">
        <f t="shared" si="0"/>
        <v>0.37000000000000011</v>
      </c>
    </row>
    <row r="57" spans="1:8" ht="15.5" x14ac:dyDescent="0.35">
      <c r="A57" t="s">
        <v>105</v>
      </c>
      <c r="D57" s="25">
        <v>288</v>
      </c>
      <c r="F57" s="28">
        <v>3.605</v>
      </c>
      <c r="G57" s="28">
        <v>3.72</v>
      </c>
      <c r="H57">
        <f t="shared" si="0"/>
        <v>0.11500000000000021</v>
      </c>
    </row>
    <row r="58" spans="1:8" ht="15.5" x14ac:dyDescent="0.35">
      <c r="D58" s="25">
        <v>144</v>
      </c>
      <c r="F58" s="28">
        <v>2.0049999999999999</v>
      </c>
      <c r="G58" s="28">
        <v>2.69</v>
      </c>
      <c r="H58">
        <f t="shared" si="0"/>
        <v>0.68500000000000005</v>
      </c>
    </row>
    <row r="59" spans="1:8" ht="15.5" x14ac:dyDescent="0.35">
      <c r="D59" s="25">
        <v>36</v>
      </c>
      <c r="F59" s="28">
        <v>2.4950000000000001</v>
      </c>
      <c r="G59" s="28">
        <v>3.23</v>
      </c>
      <c r="H59">
        <f t="shared" si="0"/>
        <v>0.73499999999999988</v>
      </c>
    </row>
    <row r="60" spans="1:8" ht="15.5" x14ac:dyDescent="0.35">
      <c r="D60" s="25">
        <v>288</v>
      </c>
      <c r="F60" s="28">
        <v>3.2050000000000001</v>
      </c>
      <c r="G60" s="28">
        <v>3.59</v>
      </c>
      <c r="H60">
        <f t="shared" si="0"/>
        <v>0.38499999999999979</v>
      </c>
    </row>
    <row r="61" spans="1:8" ht="15.5" x14ac:dyDescent="0.35">
      <c r="D61" s="25">
        <v>48</v>
      </c>
      <c r="F61" s="28">
        <v>2.06</v>
      </c>
      <c r="G61" s="28">
        <v>2.9449999999999998</v>
      </c>
      <c r="H61">
        <f t="shared" si="0"/>
        <v>0.88499999999999979</v>
      </c>
    </row>
    <row r="62" spans="1:8" ht="15.5" x14ac:dyDescent="0.35">
      <c r="D62" s="25">
        <v>288</v>
      </c>
      <c r="F62" s="28">
        <v>3.4249999999999998</v>
      </c>
      <c r="G62" s="28">
        <v>4.03</v>
      </c>
      <c r="H62">
        <f t="shared" si="0"/>
        <v>0.60500000000000043</v>
      </c>
    </row>
    <row r="63" spans="1:8" ht="15.5" x14ac:dyDescent="0.35">
      <c r="D63" s="25">
        <v>144</v>
      </c>
      <c r="F63" s="28">
        <v>3.3149999999999999</v>
      </c>
      <c r="G63" s="28">
        <v>3.6850000000000001</v>
      </c>
      <c r="H63">
        <f t="shared" si="0"/>
        <v>0.37000000000000011</v>
      </c>
    </row>
    <row r="64" spans="1:8" ht="15.5" x14ac:dyDescent="0.35">
      <c r="F64" s="28">
        <v>3.8250000000000002</v>
      </c>
      <c r="G64" s="28">
        <v>4.1749999999999998</v>
      </c>
      <c r="H64">
        <f t="shared" si="0"/>
        <v>0.34999999999999964</v>
      </c>
    </row>
    <row r="65" spans="6:8" ht="15.5" x14ac:dyDescent="0.35">
      <c r="F65" s="28">
        <v>3.16</v>
      </c>
      <c r="G65" s="28">
        <v>3.43</v>
      </c>
      <c r="H65">
        <f t="shared" si="0"/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D25C-4AB3-4527-9DAA-8B6EF3FE63FC}">
  <dimension ref="A1:N26"/>
  <sheetViews>
    <sheetView tabSelected="1" topLeftCell="A7" workbookViewId="0">
      <selection activeCell="H11" sqref="H11:M14"/>
    </sheetView>
  </sheetViews>
  <sheetFormatPr defaultRowHeight="14.5" x14ac:dyDescent="0.35"/>
  <cols>
    <col min="1" max="1" width="18.08984375" bestFit="1" customWidth="1"/>
    <col min="2" max="2" width="24.453125" bestFit="1" customWidth="1"/>
    <col min="3" max="4" width="11.81640625" bestFit="1" customWidth="1"/>
    <col min="6" max="6" width="11.81640625" bestFit="1" customWidth="1"/>
    <col min="11" max="12" width="11.81640625" bestFit="1" customWidth="1"/>
  </cols>
  <sheetData>
    <row r="1" spans="1:14" x14ac:dyDescent="0.35">
      <c r="A1" t="s">
        <v>147</v>
      </c>
    </row>
    <row r="3" spans="1:14" ht="15.5" x14ac:dyDescent="0.35">
      <c r="A3" s="34" t="s">
        <v>140</v>
      </c>
      <c r="B3" s="33" t="s">
        <v>141</v>
      </c>
      <c r="C3" s="33"/>
      <c r="D3" s="33"/>
    </row>
    <row r="4" spans="1:14" ht="15.5" x14ac:dyDescent="0.35">
      <c r="A4" s="34"/>
      <c r="B4" s="30" t="s">
        <v>142</v>
      </c>
      <c r="C4" s="30" t="s">
        <v>143</v>
      </c>
      <c r="D4" s="30" t="s">
        <v>144</v>
      </c>
    </row>
    <row r="5" spans="1:14" ht="15.5" x14ac:dyDescent="0.35">
      <c r="A5" s="29" t="s">
        <v>145</v>
      </c>
      <c r="B5" s="30">
        <v>15</v>
      </c>
      <c r="C5" s="30">
        <v>9</v>
      </c>
      <c r="D5" s="30">
        <v>24</v>
      </c>
      <c r="F5">
        <f>B5/D5</f>
        <v>0.625</v>
      </c>
    </row>
    <row r="6" spans="1:14" ht="15.5" x14ac:dyDescent="0.35">
      <c r="A6" s="29" t="s">
        <v>146</v>
      </c>
      <c r="B6" s="30">
        <v>16</v>
      </c>
      <c r="C6" s="30">
        <v>15</v>
      </c>
      <c r="D6" s="30">
        <v>31</v>
      </c>
      <c r="F6">
        <f t="shared" ref="F6" si="0">B6/D6</f>
        <v>0.5161290322580645</v>
      </c>
    </row>
    <row r="7" spans="1:14" ht="15.5" x14ac:dyDescent="0.35">
      <c r="A7" s="29" t="s">
        <v>144</v>
      </c>
      <c r="B7" s="30">
        <v>31</v>
      </c>
      <c r="C7" s="30">
        <v>24</v>
      </c>
      <c r="D7" s="30">
        <v>55</v>
      </c>
      <c r="F7">
        <f>B7/D7</f>
        <v>0.5636363636363636</v>
      </c>
    </row>
    <row r="9" spans="1:14" ht="15.5" x14ac:dyDescent="0.35">
      <c r="A9" s="31" t="s">
        <v>148</v>
      </c>
      <c r="B9" t="s">
        <v>149</v>
      </c>
    </row>
    <row r="10" spans="1:14" ht="15.5" x14ac:dyDescent="0.35">
      <c r="A10" s="31" t="s">
        <v>150</v>
      </c>
      <c r="B10" t="s">
        <v>151</v>
      </c>
    </row>
    <row r="11" spans="1:14" ht="15.5" x14ac:dyDescent="0.35">
      <c r="A11" s="31"/>
      <c r="H11" s="32"/>
      <c r="I11" s="32" t="s">
        <v>172</v>
      </c>
      <c r="J11" s="32" t="s">
        <v>173</v>
      </c>
      <c r="K11" s="32" t="s">
        <v>174</v>
      </c>
      <c r="L11" s="32" t="s">
        <v>175</v>
      </c>
      <c r="M11" s="32" t="s">
        <v>144</v>
      </c>
    </row>
    <row r="12" spans="1:14" ht="15.5" x14ac:dyDescent="0.35">
      <c r="A12" s="31" t="s">
        <v>158</v>
      </c>
      <c r="B12">
        <v>0.05</v>
      </c>
      <c r="H12" s="32" t="s">
        <v>176</v>
      </c>
      <c r="I12" s="32">
        <v>60</v>
      </c>
      <c r="J12" s="32">
        <v>54</v>
      </c>
      <c r="K12" s="32">
        <v>46</v>
      </c>
      <c r="L12" s="32">
        <v>41</v>
      </c>
      <c r="M12" s="32">
        <v>201</v>
      </c>
      <c r="N12">
        <f>M12/M14</f>
        <v>0.50886075949367093</v>
      </c>
    </row>
    <row r="13" spans="1:14" ht="15.5" x14ac:dyDescent="0.35">
      <c r="A13" s="31"/>
      <c r="H13" s="32" t="s">
        <v>177</v>
      </c>
      <c r="I13" s="32">
        <v>40</v>
      </c>
      <c r="J13" s="32">
        <v>44</v>
      </c>
      <c r="K13" s="32">
        <v>53</v>
      </c>
      <c r="L13" s="32">
        <v>57</v>
      </c>
      <c r="M13" s="32">
        <v>194</v>
      </c>
      <c r="N13">
        <f>M13/M14</f>
        <v>0.49113924050632912</v>
      </c>
    </row>
    <row r="14" spans="1:14" x14ac:dyDescent="0.35">
      <c r="B14" t="s">
        <v>156</v>
      </c>
      <c r="C14" t="s">
        <v>157</v>
      </c>
      <c r="D14" t="s">
        <v>137</v>
      </c>
      <c r="H14" s="32" t="s">
        <v>144</v>
      </c>
      <c r="I14" s="32">
        <v>100</v>
      </c>
      <c r="J14" s="32">
        <v>98</v>
      </c>
      <c r="K14" s="32">
        <v>99</v>
      </c>
      <c r="L14" s="32">
        <v>98</v>
      </c>
      <c r="M14" s="32">
        <v>395</v>
      </c>
      <c r="N14">
        <f>AVERAGE(N12:N13)</f>
        <v>0.5</v>
      </c>
    </row>
    <row r="15" spans="1:14" x14ac:dyDescent="0.35">
      <c r="A15" t="s">
        <v>152</v>
      </c>
      <c r="B15">
        <v>15</v>
      </c>
      <c r="C15">
        <f>D5*F7</f>
        <v>13.527272727272727</v>
      </c>
      <c r="D15">
        <f>(B15-C15)^2/C15</f>
        <v>0.1603372434017595</v>
      </c>
    </row>
    <row r="16" spans="1:14" x14ac:dyDescent="0.35">
      <c r="A16" t="s">
        <v>153</v>
      </c>
      <c r="B16">
        <v>9</v>
      </c>
      <c r="C16">
        <f>D5*(1-F7)</f>
        <v>10.472727272727273</v>
      </c>
      <c r="D16">
        <f>(B16-C16)^2/C16</f>
        <v>0.20710227272727269</v>
      </c>
      <c r="H16" t="s">
        <v>156</v>
      </c>
      <c r="I16" t="s">
        <v>157</v>
      </c>
      <c r="J16" t="s">
        <v>133</v>
      </c>
      <c r="K16" t="s">
        <v>186</v>
      </c>
      <c r="L16" t="s">
        <v>137</v>
      </c>
    </row>
    <row r="17" spans="1:12" x14ac:dyDescent="0.35">
      <c r="A17" t="s">
        <v>154</v>
      </c>
      <c r="B17">
        <v>16</v>
      </c>
      <c r="C17">
        <f>D6*F7</f>
        <v>17.472727272727273</v>
      </c>
      <c r="D17">
        <f t="shared" ref="D17:D18" si="1">(B17-C17)^2/C17</f>
        <v>0.12413205940781381</v>
      </c>
      <c r="G17" t="s">
        <v>178</v>
      </c>
      <c r="H17">
        <v>60</v>
      </c>
      <c r="I17">
        <f>100/395 *201</f>
        <v>50.88607594936709</v>
      </c>
      <c r="J17">
        <f>H17-I17</f>
        <v>9.1139240506329102</v>
      </c>
      <c r="K17">
        <f>(J17)^2</f>
        <v>83.063611600704988</v>
      </c>
      <c r="L17">
        <f>K17/I17</f>
        <v>1.6323446060835058</v>
      </c>
    </row>
    <row r="18" spans="1:12" x14ac:dyDescent="0.35">
      <c r="A18" t="s">
        <v>155</v>
      </c>
      <c r="B18">
        <v>15</v>
      </c>
      <c r="C18">
        <f>D6*(1-F7)</f>
        <v>13.527272727272729</v>
      </c>
      <c r="D18">
        <f t="shared" si="1"/>
        <v>0.16033724340175909</v>
      </c>
      <c r="G18" t="s">
        <v>179</v>
      </c>
      <c r="H18">
        <v>54</v>
      </c>
      <c r="I18">
        <f>98/395*201</f>
        <v>49.868354430379746</v>
      </c>
      <c r="J18">
        <f t="shared" ref="J18:J24" si="2">H18-I18</f>
        <v>4.1316455696202539</v>
      </c>
      <c r="K18">
        <f t="shared" ref="K18:K24" si="3">(J18)^2</f>
        <v>17.070495112962671</v>
      </c>
      <c r="L18">
        <f t="shared" ref="L18:L24" si="4">K18/I18</f>
        <v>0.34231117725760257</v>
      </c>
    </row>
    <row r="19" spans="1:12" x14ac:dyDescent="0.35">
      <c r="D19">
        <f>SUM(D15:D18)</f>
        <v>0.65190881893860508</v>
      </c>
      <c r="G19" t="s">
        <v>180</v>
      </c>
      <c r="H19">
        <v>46</v>
      </c>
      <c r="I19">
        <f>99/395*201</f>
        <v>50.377215189873418</v>
      </c>
      <c r="J19">
        <f t="shared" si="2"/>
        <v>-4.377215189873418</v>
      </c>
      <c r="K19">
        <f t="shared" si="3"/>
        <v>19.160012818458583</v>
      </c>
      <c r="L19">
        <f t="shared" si="4"/>
        <v>0.38033092433243582</v>
      </c>
    </row>
    <row r="20" spans="1:12" x14ac:dyDescent="0.35">
      <c r="G20" t="s">
        <v>181</v>
      </c>
      <c r="H20">
        <v>41</v>
      </c>
      <c r="I20">
        <f>98/395*201</f>
        <v>49.868354430379746</v>
      </c>
      <c r="J20">
        <f t="shared" si="2"/>
        <v>-8.8683544303797461</v>
      </c>
      <c r="K20">
        <f t="shared" si="3"/>
        <v>78.647710302836074</v>
      </c>
      <c r="L20">
        <f t="shared" si="4"/>
        <v>1.5771065879591963</v>
      </c>
    </row>
    <row r="21" spans="1:12" x14ac:dyDescent="0.35">
      <c r="A21" t="s">
        <v>95</v>
      </c>
      <c r="B21">
        <f>CHIDIST(D19,1)</f>
        <v>0.41943105261448455</v>
      </c>
      <c r="C21" t="s">
        <v>159</v>
      </c>
      <c r="G21" t="s">
        <v>182</v>
      </c>
      <c r="H21">
        <v>40</v>
      </c>
      <c r="I21">
        <f>100/395*194</f>
        <v>49.113924050632917</v>
      </c>
      <c r="J21">
        <f t="shared" si="2"/>
        <v>-9.1139240506329173</v>
      </c>
      <c r="K21">
        <f t="shared" si="3"/>
        <v>83.06361160070513</v>
      </c>
      <c r="L21">
        <f t="shared" si="4"/>
        <v>1.6912436382617795</v>
      </c>
    </row>
    <row r="22" spans="1:12" x14ac:dyDescent="0.35">
      <c r="G22" t="s">
        <v>183</v>
      </c>
      <c r="H22">
        <v>44</v>
      </c>
      <c r="I22">
        <f>98/395*194</f>
        <v>48.131645569620254</v>
      </c>
      <c r="J22">
        <f t="shared" si="2"/>
        <v>-4.1316455696202539</v>
      </c>
      <c r="K22">
        <f t="shared" si="3"/>
        <v>17.070495112962671</v>
      </c>
      <c r="L22">
        <f t="shared" si="4"/>
        <v>0.354662611488547</v>
      </c>
    </row>
    <row r="23" spans="1:12" x14ac:dyDescent="0.35">
      <c r="A23" t="s">
        <v>160</v>
      </c>
      <c r="B23" t="s">
        <v>161</v>
      </c>
      <c r="G23" t="s">
        <v>184</v>
      </c>
      <c r="H23">
        <v>53</v>
      </c>
      <c r="I23">
        <f>99/395*194</f>
        <v>48.622784810126582</v>
      </c>
      <c r="J23">
        <f t="shared" si="2"/>
        <v>4.377215189873418</v>
      </c>
      <c r="K23">
        <f t="shared" si="3"/>
        <v>19.160012818458583</v>
      </c>
      <c r="L23">
        <f t="shared" si="4"/>
        <v>0.39405420510731753</v>
      </c>
    </row>
    <row r="24" spans="1:12" x14ac:dyDescent="0.35">
      <c r="G24" t="s">
        <v>185</v>
      </c>
      <c r="H24">
        <v>57</v>
      </c>
      <c r="I24">
        <f>98/395*194</f>
        <v>48.131645569620254</v>
      </c>
      <c r="J24">
        <f t="shared" si="2"/>
        <v>8.8683544303797461</v>
      </c>
      <c r="K24">
        <f t="shared" si="3"/>
        <v>78.647710302836074</v>
      </c>
      <c r="L24">
        <f t="shared" si="4"/>
        <v>1.6340124957721569</v>
      </c>
    </row>
    <row r="26" spans="1:12" x14ac:dyDescent="0.35">
      <c r="L26">
        <f>SUM(L17:L24)</f>
        <v>8.0060662462625416</v>
      </c>
    </row>
  </sheetData>
  <mergeCells count="2">
    <mergeCell ref="B3:D3"/>
    <mergeCell ref="A3:A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148B-A141-46AB-958C-6946B6A71660}">
  <dimension ref="A2:F21"/>
  <sheetViews>
    <sheetView workbookViewId="0">
      <selection activeCell="F17" sqref="F17"/>
    </sheetView>
  </sheetViews>
  <sheetFormatPr defaultRowHeight="14.5" x14ac:dyDescent="0.35"/>
  <cols>
    <col min="1" max="1" width="41.36328125" bestFit="1" customWidth="1"/>
    <col min="4" max="4" width="9.7265625" bestFit="1" customWidth="1"/>
  </cols>
  <sheetData>
    <row r="2" spans="1:5" x14ac:dyDescent="0.35">
      <c r="A2" t="s">
        <v>164</v>
      </c>
      <c r="B2">
        <v>300</v>
      </c>
    </row>
    <row r="3" spans="1:5" x14ac:dyDescent="0.35">
      <c r="A3" t="s">
        <v>135</v>
      </c>
      <c r="B3">
        <v>40</v>
      </c>
    </row>
    <row r="5" spans="1:5" x14ac:dyDescent="0.35">
      <c r="A5" t="s">
        <v>165</v>
      </c>
    </row>
    <row r="6" spans="1:5" x14ac:dyDescent="0.35">
      <c r="A6" t="s">
        <v>166</v>
      </c>
      <c r="B6">
        <v>290</v>
      </c>
    </row>
    <row r="7" spans="1:5" x14ac:dyDescent="0.35">
      <c r="A7" t="s">
        <v>136</v>
      </c>
      <c r="B7">
        <v>25</v>
      </c>
    </row>
    <row r="9" spans="1:5" x14ac:dyDescent="0.35">
      <c r="A9" t="s">
        <v>169</v>
      </c>
    </row>
    <row r="10" spans="1:5" x14ac:dyDescent="0.35">
      <c r="A10" t="s">
        <v>167</v>
      </c>
    </row>
    <row r="11" spans="1:5" x14ac:dyDescent="0.35">
      <c r="A11" t="s">
        <v>69</v>
      </c>
      <c r="E11">
        <v>40</v>
      </c>
    </row>
    <row r="12" spans="1:5" x14ac:dyDescent="0.35">
      <c r="A12" t="s">
        <v>77</v>
      </c>
      <c r="E12">
        <v>25</v>
      </c>
    </row>
    <row r="13" spans="1:5" x14ac:dyDescent="0.35">
      <c r="A13" t="s">
        <v>67</v>
      </c>
      <c r="E13">
        <v>290</v>
      </c>
    </row>
    <row r="14" spans="1:5" x14ac:dyDescent="0.35">
      <c r="A14" t="s">
        <v>68</v>
      </c>
      <c r="E14">
        <v>300</v>
      </c>
    </row>
    <row r="16" spans="1:5" x14ac:dyDescent="0.35">
      <c r="A16" t="s">
        <v>70</v>
      </c>
      <c r="E16">
        <f>(E13-E14)*SQRT(E12)/E11</f>
        <v>-1.25</v>
      </c>
    </row>
    <row r="17" spans="1:6" x14ac:dyDescent="0.35">
      <c r="A17" t="s">
        <v>168</v>
      </c>
      <c r="B17">
        <f>_xlfn.NORM.DIST(E13,E14,8,TRUE)</f>
        <v>0.10564977366685525</v>
      </c>
      <c r="D17" t="s">
        <v>95</v>
      </c>
      <c r="E17">
        <f>TDIST(1.25,24,1)</f>
        <v>0.11167573908281021</v>
      </c>
      <c r="F17">
        <f>_xlfn.NORM.S.DIST(-1.25,TRUE)</f>
        <v>0.10564977366685525</v>
      </c>
    </row>
    <row r="18" spans="1:6" x14ac:dyDescent="0.35">
      <c r="B18">
        <f>_xlfn.NORM.S.DIST(E16,TRUE)</f>
        <v>0.10564977366685525</v>
      </c>
      <c r="D18" t="s">
        <v>171</v>
      </c>
      <c r="E18">
        <f>_xlfn.NORM.S.INV(0.05)</f>
        <v>-1.6448536269514726</v>
      </c>
    </row>
    <row r="21" spans="1:6" x14ac:dyDescent="0.35">
      <c r="A2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Binom&amp;PoissonDist</vt:lpstr>
      <vt:lpstr>NormalDist</vt:lpstr>
      <vt:lpstr>Exercises</vt:lpstr>
      <vt:lpstr>Hypothesis</vt:lpstr>
      <vt:lpstr>ChiSquare</vt:lpstr>
      <vt:lpstr>Week3Mentored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Prachi (CORP)</dc:creator>
  <cp:lastModifiedBy>Gupta, Prachi (CORP)</cp:lastModifiedBy>
  <dcterms:created xsi:type="dcterms:W3CDTF">2021-03-16T04:26:30Z</dcterms:created>
  <dcterms:modified xsi:type="dcterms:W3CDTF">2021-04-01T08:47:02Z</dcterms:modified>
</cp:coreProperties>
</file>