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autoCompressPictures="0"/>
  <bookViews>
    <workbookView xWindow="6500" yWindow="0" windowWidth="25220" windowHeight="20740" tabRatio="500"/>
  </bookViews>
  <sheets>
    <sheet name="Main" sheetId="1" r:id="rId1"/>
    <sheet name="Sign test data" sheetId="2" r:id="rId2"/>
    <sheet name="Control" sheetId="3" r:id="rId3"/>
    <sheet name="Experiment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42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4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42" i="4"/>
  <c r="H41" i="4"/>
  <c r="G41" i="4"/>
  <c r="F41" i="4"/>
  <c r="E41" i="4"/>
  <c r="D41" i="4"/>
  <c r="C41" i="4"/>
  <c r="B41" i="4"/>
  <c r="E40" i="4"/>
  <c r="D40" i="4"/>
  <c r="C40" i="4"/>
  <c r="B40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42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4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42" i="3"/>
  <c r="H41" i="3"/>
  <c r="G41" i="3"/>
  <c r="F41" i="3"/>
  <c r="E41" i="3"/>
  <c r="D41" i="3"/>
  <c r="C41" i="3"/>
  <c r="B41" i="3"/>
  <c r="E40" i="3"/>
  <c r="D40" i="3"/>
  <c r="C40" i="3"/>
  <c r="B40" i="3"/>
  <c r="B67" i="1"/>
  <c r="I38" i="1"/>
  <c r="B31" i="1"/>
  <c r="B7" i="1"/>
  <c r="B9" i="1"/>
  <c r="A21" i="1"/>
  <c r="A15" i="1"/>
  <c r="B2" i="1"/>
  <c r="B6" i="1"/>
  <c r="A14" i="1"/>
  <c r="A16" i="1"/>
  <c r="A123" i="1"/>
  <c r="A116" i="1"/>
  <c r="C41" i="2"/>
  <c r="C40" i="2"/>
  <c r="C34" i="2"/>
  <c r="C33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5" i="2"/>
  <c r="G25" i="2"/>
  <c r="F25" i="2"/>
  <c r="R25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7" i="2"/>
  <c r="Q25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7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7" i="2"/>
  <c r="O29" i="2"/>
  <c r="N29" i="2"/>
  <c r="M29" i="2"/>
  <c r="O28" i="2"/>
  <c r="N28" i="2"/>
  <c r="M28" i="2"/>
  <c r="O27" i="2"/>
  <c r="N27" i="2"/>
  <c r="M27" i="2"/>
  <c r="O25" i="2"/>
  <c r="N25" i="2"/>
  <c r="M25" i="2"/>
  <c r="O24" i="2"/>
  <c r="N24" i="2"/>
  <c r="M24" i="2"/>
  <c r="O23" i="2"/>
  <c r="N23" i="2"/>
  <c r="M23" i="2"/>
  <c r="O22" i="2"/>
  <c r="N22" i="2"/>
  <c r="M22" i="2"/>
  <c r="O21" i="2"/>
  <c r="N21" i="2"/>
  <c r="M21" i="2"/>
  <c r="O20" i="2"/>
  <c r="N20" i="2"/>
  <c r="M20" i="2"/>
  <c r="O19" i="2"/>
  <c r="N19" i="2"/>
  <c r="M19" i="2"/>
  <c r="O18" i="2"/>
  <c r="N18" i="2"/>
  <c r="M18" i="2"/>
  <c r="O17" i="2"/>
  <c r="N17" i="2"/>
  <c r="M17" i="2"/>
  <c r="O16" i="2"/>
  <c r="N16" i="2"/>
  <c r="M16" i="2"/>
  <c r="O15" i="2"/>
  <c r="N15" i="2"/>
  <c r="M15" i="2"/>
  <c r="O14" i="2"/>
  <c r="N14" i="2"/>
  <c r="M14" i="2"/>
  <c r="O13" i="2"/>
  <c r="N13" i="2"/>
  <c r="M13" i="2"/>
  <c r="O12" i="2"/>
  <c r="N12" i="2"/>
  <c r="M12" i="2"/>
  <c r="O11" i="2"/>
  <c r="N11" i="2"/>
  <c r="M11" i="2"/>
  <c r="O10" i="2"/>
  <c r="N10" i="2"/>
  <c r="M10" i="2"/>
  <c r="O9" i="2"/>
  <c r="N9" i="2"/>
  <c r="M9" i="2"/>
  <c r="O8" i="2"/>
  <c r="N8" i="2"/>
  <c r="M8" i="2"/>
  <c r="O7" i="2"/>
  <c r="N7" i="2"/>
  <c r="M7" i="2"/>
  <c r="O6" i="2"/>
  <c r="N6" i="2"/>
  <c r="M6" i="2"/>
  <c r="O5" i="2"/>
  <c r="N5" i="2"/>
  <c r="M5" i="2"/>
  <c r="O4" i="2"/>
  <c r="N4" i="2"/>
  <c r="M4" i="2"/>
  <c r="O3" i="2"/>
  <c r="N3" i="2"/>
  <c r="M3" i="2"/>
  <c r="H29" i="2"/>
  <c r="G29" i="2"/>
  <c r="F29" i="2"/>
  <c r="H28" i="2"/>
  <c r="G28" i="2"/>
  <c r="F28" i="2"/>
  <c r="H27" i="2"/>
  <c r="G27" i="2"/>
  <c r="F27" i="2"/>
  <c r="A98" i="1"/>
  <c r="A96" i="1"/>
  <c r="A97" i="1"/>
  <c r="A103" i="1"/>
  <c r="A104" i="1"/>
  <c r="A105" i="1"/>
  <c r="A108" i="1"/>
  <c r="A100" i="1"/>
  <c r="A101" i="1"/>
  <c r="A79" i="1"/>
  <c r="A77" i="1"/>
  <c r="A78" i="1"/>
  <c r="A84" i="1"/>
  <c r="A85" i="1"/>
  <c r="A86" i="1"/>
  <c r="A89" i="1"/>
  <c r="A81" i="1"/>
  <c r="A82" i="1"/>
  <c r="B63" i="1"/>
  <c r="B64" i="1"/>
  <c r="B65" i="1"/>
  <c r="B66" i="1"/>
  <c r="B68" i="1"/>
  <c r="B56" i="1"/>
  <c r="B52" i="1"/>
  <c r="B53" i="1"/>
  <c r="B54" i="1"/>
  <c r="B55" i="1"/>
  <c r="B57" i="1"/>
  <c r="B37" i="1"/>
  <c r="C37" i="1"/>
  <c r="B38" i="1"/>
  <c r="B39" i="1"/>
  <c r="B43" i="1"/>
  <c r="B44" i="1"/>
  <c r="C35" i="1"/>
  <c r="C34" i="1"/>
  <c r="B35" i="1"/>
  <c r="B34" i="1"/>
  <c r="B30" i="1"/>
  <c r="B28" i="1"/>
  <c r="B27" i="1"/>
  <c r="A18" i="1"/>
  <c r="A17" i="1"/>
  <c r="A19" i="1"/>
  <c r="A20" i="1"/>
  <c r="A22" i="1"/>
</calcChain>
</file>

<file path=xl/sharedStrings.xml><?xml version="1.0" encoding="utf-8"?>
<sst xmlns="http://schemas.openxmlformats.org/spreadsheetml/2006/main" count="314" uniqueCount="160">
  <si>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</si>
  <si>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</si>
  <si>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</si>
  <si>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</si>
  <si>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</si>
  <si>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Probability of payment, given enroll:</t>
  </si>
  <si>
    <t>Probability of payment, given click</t>
  </si>
  <si>
    <t>invariant</t>
  </si>
  <si>
    <t>evaluation</t>
  </si>
  <si>
    <t>"retention"</t>
  </si>
  <si>
    <t>"net conversion"</t>
  </si>
  <si>
    <t>Baseline value</t>
  </si>
  <si>
    <t>dmin</t>
  </si>
  <si>
    <t>Numbr of user-ids</t>
  </si>
  <si>
    <t>?</t>
  </si>
  <si>
    <t>Calc SD for evaluation metrics</t>
  </si>
  <si>
    <t>Sample size of 5000 cookies visiting course overview page</t>
  </si>
  <si>
    <t>SE</t>
  </si>
  <si>
    <t>p(retention)</t>
  </si>
  <si>
    <t>N</t>
  </si>
  <si>
    <t>p(net conversion)</t>
  </si>
  <si>
    <t>click through and enroll</t>
  </si>
  <si>
    <t>click through</t>
  </si>
  <si>
    <t>SE for retention</t>
  </si>
  <si>
    <t>SE for net conversion</t>
  </si>
  <si>
    <t>Retention</t>
  </si>
  <si>
    <t>Sample Size Calculator</t>
  </si>
  <si>
    <t>Baseline conversion rate</t>
  </si>
  <si>
    <t>Minimum detectable effect</t>
  </si>
  <si>
    <t>http://www.evanmiller.org/ab-testing/sample-size.html</t>
  </si>
  <si>
    <t>For alpha=.05 and beta = .2</t>
  </si>
  <si>
    <t>Number of pageviews that lead to enrollments</t>
  </si>
  <si>
    <t>Sample size (enrollments)</t>
  </si>
  <si>
    <t>Sample size (pageviews that click through and enroll)</t>
  </si>
  <si>
    <t>Gross conversion</t>
  </si>
  <si>
    <t>"gross conversion"</t>
  </si>
  <si>
    <t>Sample size (pageviews that click through)</t>
  </si>
  <si>
    <t>Sample size (click-through)</t>
  </si>
  <si>
    <t>Net conversion</t>
  </si>
  <si>
    <t>Max(of the two sample sizes)</t>
  </si>
  <si>
    <t>This is the number of pageviews required for the exp.</t>
  </si>
  <si>
    <t>Fraction of traffic exposed</t>
  </si>
  <si>
    <t>Length of experiment</t>
  </si>
  <si>
    <t>Length of experiment (rounded up to integer days)</t>
  </si>
  <si>
    <t>Total number pageviews (1 for experiment, 1 for control)</t>
  </si>
  <si>
    <t>These numbers come from online calculator</t>
  </si>
  <si>
    <t>Number is from online calculator</t>
  </si>
  <si>
    <t>p (prob event is assigned to control group</t>
  </si>
  <si>
    <t>1. Number of cookies</t>
  </si>
  <si>
    <t>Number cookies (experiment) Ne</t>
  </si>
  <si>
    <t>Number cookies (control) Nc</t>
  </si>
  <si>
    <t>SE (binomial)</t>
  </si>
  <si>
    <t>Margin of error m=SE*Z</t>
  </si>
  <si>
    <t>lower limit</t>
  </si>
  <si>
    <t>upper limit</t>
  </si>
  <si>
    <t>dmin (This is the minimum difference we need for business significance)</t>
  </si>
  <si>
    <t>observed fraction</t>
  </si>
  <si>
    <t>is observed fraction within confidence interval (pass)?</t>
  </si>
  <si>
    <t>2. Number of clicks</t>
  </si>
  <si>
    <t>Number clicks (experiment) Ne</t>
  </si>
  <si>
    <t>Number clicks (control) Nc</t>
  </si>
  <si>
    <t>Sanity checks for invariant metrics</t>
  </si>
  <si>
    <t>Effect size tests (for evaluation metrics)</t>
  </si>
  <si>
    <t>Did you use a bonferroni correction</t>
  </si>
  <si>
    <t>no</t>
  </si>
  <si>
    <t>1.Gross conversion</t>
  </si>
  <si>
    <t>Nc</t>
  </si>
  <si>
    <t>Xc</t>
  </si>
  <si>
    <t>Ne</t>
  </si>
  <si>
    <t>Xe</t>
  </si>
  <si>
    <t>p(pool)</t>
  </si>
  <si>
    <t>SEpool</t>
  </si>
  <si>
    <t>dhat</t>
  </si>
  <si>
    <t>conf interval</t>
  </si>
  <si>
    <t>% in the R tail</t>
  </si>
  <si>
    <t>prob in the R half minus the tail</t>
  </si>
  <si>
    <t>Z score from table for this prob</t>
  </si>
  <si>
    <t>m= Z*SE</t>
  </si>
  <si>
    <t>margin of error</t>
  </si>
  <si>
    <t>This was negative indicating experiment value is lower than control.</t>
  </si>
  <si>
    <t>yes</t>
  </si>
  <si>
    <t>2. Net conversion</t>
  </si>
  <si>
    <t>Enrollments</t>
  </si>
  <si>
    <t>Clicks</t>
  </si>
  <si>
    <t>Payments</t>
  </si>
  <si>
    <t>Practical significance. Is the lower limit of the confidence interval above (more significant) than the dmin level?</t>
  </si>
  <si>
    <t>Statistical significance. Is the difference statistically significant (interval does not include 0)?</t>
  </si>
  <si>
    <t>Sign test</t>
  </si>
  <si>
    <t>Use calc at:</t>
  </si>
  <si>
    <t>http://graphpad.com/quickcalcs/binomial1.cfm</t>
  </si>
  <si>
    <t>number of trials (total number of days)</t>
  </si>
  <si>
    <t>hypothetical probability (for a "success" day to occur by chance)</t>
  </si>
  <si>
    <t>2-tail P value from sign test</t>
  </si>
  <si>
    <t>i.e. Prob of getting this result by chance alone</t>
  </si>
  <si>
    <t>Date</t>
  </si>
  <si>
    <t>Pageviews</t>
  </si>
  <si>
    <t>Click rate</t>
  </si>
  <si>
    <t>Enrollment rate</t>
  </si>
  <si>
    <t>Payment rate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</si>
  <si>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</si>
  <si>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</si>
  <si>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</si>
  <si>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</si>
  <si>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</si>
  <si>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</si>
  <si>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</si>
  <si>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</si>
  <si>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</si>
  <si>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</si>
  <si>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</si>
  <si>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</si>
  <si>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</si>
  <si>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</si>
  <si>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</si>
  <si>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</si>
  <si>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</si>
  <si>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</si>
  <si>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</si>
  <si>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</si>
  <si>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</si>
  <si>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</si>
  <si>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</si>
  <si>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Experiment</t>
  </si>
  <si>
    <t>sum</t>
  </si>
  <si>
    <t>avg</t>
  </si>
  <si>
    <t>Control</t>
  </si>
  <si>
    <t>CTRe &gt; CTRc</t>
  </si>
  <si>
    <t>Enroll(e) &gt; Enroll(c)</t>
  </si>
  <si>
    <t>Pay(e) &gt; Pay(c)</t>
  </si>
  <si>
    <t>number of successes (# days where enroll rate is higher in exp. group rather than control grp.</t>
  </si>
  <si>
    <t>number of successes (# days where pay rate is higher in exp. group rather than control grp.</t>
  </si>
  <si>
    <t>Calculations in other tab</t>
  </si>
  <si>
    <t>Statistically significant by sign test (alpha=0.05)</t>
  </si>
  <si>
    <t>p(gross conversion)</t>
  </si>
  <si>
    <t>SE for gross conversion</t>
  </si>
  <si>
    <t>These numbers are dmin i.e. the provided minimum for business significance.</t>
  </si>
  <si>
    <t>This evaluation metric was later dropped.</t>
  </si>
  <si>
    <t>Sample size doubled (1 for experiment, 1 for control)</t>
  </si>
  <si>
    <t>Duration vs. Exposure</t>
  </si>
  <si>
    <t>1. Gross conversion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</si>
  <si>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</si>
  <si>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</si>
  <si>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</si>
  <si>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</si>
  <si>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</si>
  <si>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</si>
  <si>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</si>
  <si>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</si>
  <si>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</si>
  <si>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</si>
  <si>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</si>
  <si>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</si>
  <si>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</si>
  <si>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</si>
  <si>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Sum</t>
  </si>
  <si>
    <t>sum up to row24</t>
  </si>
  <si>
    <t>As indicated by Oct 2015 post.</t>
  </si>
  <si>
    <t>N up to row24</t>
  </si>
  <si>
    <t>Notes</t>
  </si>
  <si>
    <t>Metric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</si>
</sst>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2"/>
      <name val="Arial"/>
    </font>
    <font>
      <sz val="12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0" fillId="0" borderId="0" xfId="0"/>
    <xf numFmtId="0" fontId="2" fillId="0" borderId="0" xfId="0" applyFont="1"/>
    <xf numFmtId="9" fontId="0" fillId="0" borderId="0" xfId="0" applyNumberFormat="1"/>
    <xf numFmtId="0" fontId="7" fillId="0" borderId="0" xfId="0" applyFont="1"/>
    <xf numFmtId="0" fontId="7" fillId="0" borderId="0" xfId="0" applyFont="1" applyAlignment="1"/>
    <xf numFmtId="0" fontId="6" fillId="0" borderId="0" xfId="0" applyFont="1" applyAlignment="1"/>
    <xf numFmtId="2" fontId="5" fillId="0" borderId="0" xfId="0" applyNumberFormat="1" applyFont="1" applyAlignment="1"/>
    <xf numFmtId="0" fontId="6" fillId="0" borderId="0" xfId="0" applyFont="1"/>
    <xf numFmtId="0" fontId="8" fillId="0" borderId="0" xfId="0" applyFont="1" applyAlignment="1"/>
  </cellXfs>
  <cellStyles count="1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tabSelected="1" zoomScale="150" zoomScaleNormal="150" zoomScalePageLayoutView="150" workbookViewId="0">
      <selection activeCell="D1" sqref="D1:E1"/>
    </sheetView>
  </sheetViews>
  <sheetFormatPr baseColWidth="10" defaultColWidth="14.5" defaultRowHeight="15.75" customHeight="1" x14ac:dyDescent="0"/>
  <cols>
    <col min="1" max="1" width="50.1640625" style="2" customWidth="1"/>
    <col min="2" max="2" width="20.83203125" style="2" customWidth="1"/>
    <col min="3" max="16384" width="14.5" style="2"/>
  </cols>
  <sheetData>
    <row r="1" spans="1:6" ht="15.75" customHeight="1">
      <c r="B1" s="3" t="s">
        <v>11</v>
      </c>
      <c r="C1" s="3" t="s">
        <v>12</v>
      </c>
      <c r="D1" s="3" t="s">
        <v>159</v>
      </c>
      <c r="E1" s="3" t="s">
        <v>158</v>
      </c>
    </row>
    <row r="2" spans="1:6" ht="15.75" customHeight="1">
      <c r="A2" s="13" t="s">
        <v>0</v>
      </c>
      <c r="B2" s="2">
        <f>40000</f>
        <v>40000</v>
      </c>
      <c r="C2" s="2">
        <v>3000</v>
      </c>
      <c r="D2" s="2" t="s">
        <v>7</v>
      </c>
    </row>
    <row r="3" spans="1:6" ht="15.75" customHeight="1">
      <c r="A3" s="13" t="s">
        <v>13</v>
      </c>
      <c r="B3" s="2" t="s">
        <v>14</v>
      </c>
      <c r="C3" s="2">
        <v>50</v>
      </c>
    </row>
    <row r="4" spans="1:6" ht="15.75" customHeight="1">
      <c r="A4" s="13" t="s">
        <v>1</v>
      </c>
      <c r="B4" s="1">
        <v>3200</v>
      </c>
      <c r="C4" s="1">
        <v>240</v>
      </c>
      <c r="D4" s="2" t="s">
        <v>7</v>
      </c>
    </row>
    <row r="5" spans="1:6" ht="15.75" customHeight="1">
      <c r="A5" s="13" t="s">
        <v>2</v>
      </c>
      <c r="B5" s="1">
        <v>660</v>
      </c>
      <c r="C5" s="1"/>
    </row>
    <row r="6" spans="1:6" ht="15.75" customHeight="1">
      <c r="A6" s="13" t="s">
        <v>3</v>
      </c>
      <c r="B6" s="2">
        <f>B4/B2</f>
        <v>0.08</v>
      </c>
      <c r="C6" s="2">
        <v>0.01</v>
      </c>
    </row>
    <row r="7" spans="1:6" ht="15.75" customHeight="1">
      <c r="A7" s="13" t="s">
        <v>4</v>
      </c>
      <c r="B7" s="2">
        <f t="shared" ref="B7" si="0">B5/B4</f>
        <v>0.20624999999999999</v>
      </c>
      <c r="C7" s="2">
        <v>0.01</v>
      </c>
      <c r="D7" s="2" t="s">
        <v>8</v>
      </c>
      <c r="E7" s="2" t="s">
        <v>35</v>
      </c>
    </row>
    <row r="8" spans="1:6" ht="15.75" customHeight="1">
      <c r="A8" s="13" t="s">
        <v>5</v>
      </c>
      <c r="B8" s="1">
        <v>0.53</v>
      </c>
      <c r="C8" s="1">
        <v>0.01</v>
      </c>
      <c r="D8" s="2" t="s">
        <v>8</v>
      </c>
      <c r="E8" s="2" t="s">
        <v>9</v>
      </c>
      <c r="F8" s="2" t="s">
        <v>136</v>
      </c>
    </row>
    <row r="9" spans="1:6" ht="15.75" customHeight="1">
      <c r="A9" s="13" t="s">
        <v>6</v>
      </c>
      <c r="B9" s="2">
        <f>B7*B8</f>
        <v>0.10931249999999999</v>
      </c>
      <c r="C9" s="2">
        <v>7.4999999999999997E-3</v>
      </c>
      <c r="D9" s="2" t="s">
        <v>8</v>
      </c>
      <c r="E9" s="2" t="s">
        <v>10</v>
      </c>
    </row>
    <row r="12" spans="1:6" s="3" customFormat="1" ht="15.75" customHeight="1">
      <c r="A12" s="3" t="s">
        <v>15</v>
      </c>
    </row>
    <row r="13" spans="1:6" ht="15.75" customHeight="1">
      <c r="A13" s="2" t="s">
        <v>16</v>
      </c>
    </row>
    <row r="14" spans="1:6" ht="15.75" customHeight="1">
      <c r="A14" s="2">
        <f>5000*B6</f>
        <v>400</v>
      </c>
      <c r="B14" s="2" t="s">
        <v>19</v>
      </c>
      <c r="C14" s="2" t="s">
        <v>22</v>
      </c>
    </row>
    <row r="15" spans="1:6" ht="15.75" customHeight="1">
      <c r="A15" s="2">
        <f>B7</f>
        <v>0.20624999999999999</v>
      </c>
      <c r="B15" s="2" t="s">
        <v>133</v>
      </c>
    </row>
    <row r="16" spans="1:6" ht="15.75" customHeight="1">
      <c r="A16" s="2">
        <f>SQRT(A15*(1-A15)*(1/A14))</f>
        <v>2.0230604137049392E-2</v>
      </c>
      <c r="B16" s="2" t="s">
        <v>17</v>
      </c>
      <c r="C16" s="2" t="s">
        <v>134</v>
      </c>
    </row>
    <row r="17" spans="1:3" ht="15.75" customHeight="1">
      <c r="A17" s="2">
        <f>5000*B7*B6</f>
        <v>82.5</v>
      </c>
      <c r="B17" s="2" t="s">
        <v>19</v>
      </c>
      <c r="C17" s="2" t="s">
        <v>21</v>
      </c>
    </row>
    <row r="18" spans="1:3" ht="15.75" customHeight="1">
      <c r="A18" s="2">
        <f>B8</f>
        <v>0.53</v>
      </c>
      <c r="B18" s="2" t="s">
        <v>18</v>
      </c>
    </row>
    <row r="19" spans="1:3" ht="15.75" customHeight="1">
      <c r="A19" s="2">
        <f>SQRT(A18*(1-A18)*(1/A17))</f>
        <v>5.4949012178509081E-2</v>
      </c>
      <c r="B19" s="2" t="s">
        <v>17</v>
      </c>
      <c r="C19" s="2" t="s">
        <v>23</v>
      </c>
    </row>
    <row r="20" spans="1:3" ht="15.75" customHeight="1">
      <c r="A20" s="2">
        <f>5000*B6</f>
        <v>400</v>
      </c>
      <c r="B20" s="2" t="s">
        <v>19</v>
      </c>
      <c r="C20" s="2" t="s">
        <v>22</v>
      </c>
    </row>
    <row r="21" spans="1:3" ht="15.75" customHeight="1">
      <c r="A21" s="2">
        <f>B9</f>
        <v>0.10931249999999999</v>
      </c>
      <c r="B21" s="2" t="s">
        <v>20</v>
      </c>
    </row>
    <row r="22" spans="1:3" ht="15.75" customHeight="1">
      <c r="A22" s="2">
        <f>SQRT(A21*(1-A21)*(1/A20))</f>
        <v>1.5601544582488459E-2</v>
      </c>
      <c r="B22" s="2" t="s">
        <v>17</v>
      </c>
      <c r="C22" s="2" t="s">
        <v>24</v>
      </c>
    </row>
    <row r="25" spans="1:3" ht="15.75" customHeight="1">
      <c r="A25" s="3" t="s">
        <v>26</v>
      </c>
      <c r="B25" s="3" t="s">
        <v>29</v>
      </c>
    </row>
    <row r="26" spans="1:3" ht="15.75" customHeight="1">
      <c r="A26" s="2" t="s">
        <v>25</v>
      </c>
      <c r="C26" s="2" t="s">
        <v>30</v>
      </c>
    </row>
    <row r="27" spans="1:3" ht="15.75" customHeight="1">
      <c r="A27" s="2" t="s">
        <v>27</v>
      </c>
      <c r="B27" s="2">
        <f>B8</f>
        <v>0.53</v>
      </c>
    </row>
    <row r="28" spans="1:3" ht="15.75" customHeight="1">
      <c r="A28" s="2" t="s">
        <v>28</v>
      </c>
      <c r="B28" s="2">
        <f>C8</f>
        <v>0.01</v>
      </c>
    </row>
    <row r="29" spans="1:3" ht="15.75" customHeight="1">
      <c r="A29" s="2" t="s">
        <v>32</v>
      </c>
      <c r="B29" s="2">
        <v>39115</v>
      </c>
      <c r="C29" s="2" t="s">
        <v>46</v>
      </c>
    </row>
    <row r="30" spans="1:3" ht="15.75" customHeight="1">
      <c r="A30" s="2" t="s">
        <v>33</v>
      </c>
      <c r="B30" s="2">
        <f>B29/(B6*B7)</f>
        <v>2370606.0606060605</v>
      </c>
      <c r="C30" s="2" t="s">
        <v>31</v>
      </c>
    </row>
    <row r="31" spans="1:3" ht="15.75" customHeight="1">
      <c r="A31" s="2" t="s">
        <v>137</v>
      </c>
      <c r="B31" s="2">
        <f>2*B30</f>
        <v>4741212.1212121211</v>
      </c>
    </row>
    <row r="33" spans="1:9" ht="15.75" customHeight="1">
      <c r="A33" s="2" t="s">
        <v>30</v>
      </c>
      <c r="B33" s="3" t="s">
        <v>34</v>
      </c>
      <c r="C33" s="3" t="s">
        <v>38</v>
      </c>
    </row>
    <row r="34" spans="1:9" ht="15.75" customHeight="1">
      <c r="A34" s="2" t="s">
        <v>27</v>
      </c>
      <c r="B34" s="2">
        <f>B7</f>
        <v>0.20624999999999999</v>
      </c>
      <c r="C34" s="2">
        <f>B9</f>
        <v>0.10931249999999999</v>
      </c>
    </row>
    <row r="35" spans="1:9" ht="15.75" customHeight="1">
      <c r="A35" s="2" t="s">
        <v>28</v>
      </c>
      <c r="B35" s="2">
        <f>C7</f>
        <v>0.01</v>
      </c>
      <c r="C35" s="2">
        <f>C9</f>
        <v>7.4999999999999997E-3</v>
      </c>
      <c r="D35" s="2" t="s">
        <v>135</v>
      </c>
    </row>
    <row r="36" spans="1:9" ht="15.75" customHeight="1">
      <c r="A36" s="2" t="s">
        <v>37</v>
      </c>
      <c r="B36" s="2">
        <v>25835</v>
      </c>
      <c r="C36" s="2">
        <v>27413</v>
      </c>
      <c r="D36" s="2" t="s">
        <v>45</v>
      </c>
    </row>
    <row r="37" spans="1:9" ht="15.75" customHeight="1">
      <c r="A37" s="2" t="s">
        <v>36</v>
      </c>
      <c r="B37" s="2">
        <f>B36/(B6)</f>
        <v>322937.5</v>
      </c>
      <c r="C37" s="2">
        <f>C36/B6</f>
        <v>342662.5</v>
      </c>
    </row>
    <row r="38" spans="1:9" ht="15.75" customHeight="1">
      <c r="A38" s="2" t="s">
        <v>39</v>
      </c>
      <c r="B38" s="2">
        <f>MAX(B37,C37)</f>
        <v>342662.5</v>
      </c>
      <c r="I38" s="2">
        <f>2*322937.5</f>
        <v>645875</v>
      </c>
    </row>
    <row r="39" spans="1:9" ht="15.75" customHeight="1">
      <c r="A39" s="3" t="s">
        <v>44</v>
      </c>
      <c r="B39" s="11">
        <f>2*B38</f>
        <v>685325</v>
      </c>
      <c r="C39" s="2" t="s">
        <v>40</v>
      </c>
    </row>
    <row r="41" spans="1:9" ht="15.75" customHeight="1">
      <c r="A41" s="3" t="s">
        <v>138</v>
      </c>
    </row>
    <row r="42" spans="1:9" ht="15.75" customHeight="1">
      <c r="A42" s="2" t="s">
        <v>41</v>
      </c>
      <c r="B42" s="2">
        <v>0.5</v>
      </c>
    </row>
    <row r="43" spans="1:9" ht="15.75" customHeight="1">
      <c r="A43" s="2" t="s">
        <v>42</v>
      </c>
      <c r="B43" s="2">
        <f>B39/B2/B42</f>
        <v>34.266249999999999</v>
      </c>
    </row>
    <row r="44" spans="1:9" ht="15.75" customHeight="1">
      <c r="A44" s="2" t="s">
        <v>43</v>
      </c>
      <c r="B44" s="2">
        <f>ROUND(B43+0.5,0)</f>
        <v>35</v>
      </c>
    </row>
    <row r="47" spans="1:9" ht="15.75" customHeight="1">
      <c r="A47" s="3" t="s">
        <v>61</v>
      </c>
    </row>
    <row r="48" spans="1:9" ht="15.75" customHeight="1">
      <c r="A48" s="3" t="s">
        <v>48</v>
      </c>
    </row>
    <row r="49" spans="1:3" ht="15.75" customHeight="1">
      <c r="A49" s="2" t="s">
        <v>49</v>
      </c>
      <c r="B49" s="2">
        <v>344660</v>
      </c>
    </row>
    <row r="50" spans="1:3" ht="15.75" customHeight="1">
      <c r="A50" s="1" t="s">
        <v>50</v>
      </c>
      <c r="B50" s="2">
        <v>345543</v>
      </c>
    </row>
    <row r="51" spans="1:3" ht="15.75" customHeight="1">
      <c r="A51" s="2" t="s">
        <v>47</v>
      </c>
      <c r="B51" s="2">
        <v>0.5</v>
      </c>
    </row>
    <row r="52" spans="1:3" ht="15.75" customHeight="1">
      <c r="A52" s="2" t="s">
        <v>51</v>
      </c>
      <c r="B52" s="2">
        <f>SQRT(B51*(1-B51)/(B49+B50))</f>
        <v>6.0184074029432473E-4</v>
      </c>
    </row>
    <row r="53" spans="1:3" ht="15.75" customHeight="1">
      <c r="A53" s="2" t="s">
        <v>52</v>
      </c>
      <c r="B53" s="2">
        <f>1.96*B52</f>
        <v>1.1796078509768765E-3</v>
      </c>
    </row>
    <row r="54" spans="1:3" ht="15.75" customHeight="1">
      <c r="A54" s="6" t="s">
        <v>53</v>
      </c>
      <c r="B54" s="2">
        <f>B51-B53</f>
        <v>0.49882039214902313</v>
      </c>
    </row>
    <row r="55" spans="1:3" ht="15.75" customHeight="1">
      <c r="A55" s="6" t="s">
        <v>54</v>
      </c>
      <c r="B55" s="2">
        <f>B51+B53</f>
        <v>0.50117960785097693</v>
      </c>
    </row>
    <row r="56" spans="1:3" ht="15.75" customHeight="1">
      <c r="A56" s="2" t="s">
        <v>56</v>
      </c>
      <c r="B56" s="2">
        <f>B50/(B49+B50)</f>
        <v>0.50063966688061334</v>
      </c>
      <c r="C56" s="5"/>
    </row>
    <row r="57" spans="1:3" ht="15.75" customHeight="1">
      <c r="A57" s="2" t="s">
        <v>57</v>
      </c>
      <c r="B57" s="2" t="str">
        <f>IF(AND(B56&gt;B54,B56&lt;B55),"yes","no")</f>
        <v>yes</v>
      </c>
      <c r="C57" s="5"/>
    </row>
    <row r="58" spans="1:3" ht="15.75" customHeight="1">
      <c r="B58" s="5"/>
      <c r="C58" s="5"/>
    </row>
    <row r="59" spans="1:3" ht="15.75" customHeight="1">
      <c r="A59" s="3" t="s">
        <v>58</v>
      </c>
    </row>
    <row r="60" spans="1:3" ht="15.75" customHeight="1">
      <c r="A60" s="2" t="s">
        <v>59</v>
      </c>
      <c r="B60" s="2">
        <v>28325</v>
      </c>
    </row>
    <row r="61" spans="1:3" ht="15.75" customHeight="1">
      <c r="A61" s="1" t="s">
        <v>60</v>
      </c>
      <c r="B61" s="2">
        <v>28378</v>
      </c>
    </row>
    <row r="62" spans="1:3" ht="15.75" customHeight="1">
      <c r="A62" s="2" t="s">
        <v>47</v>
      </c>
      <c r="B62" s="2">
        <v>0.5</v>
      </c>
    </row>
    <row r="63" spans="1:3" ht="15.75" customHeight="1">
      <c r="A63" s="2" t="s">
        <v>51</v>
      </c>
      <c r="B63" s="2">
        <f>SQRT(B62*(1-B62)/(B60+B61))</f>
        <v>2.0997470796992519E-3</v>
      </c>
    </row>
    <row r="64" spans="1:3" ht="15.75" customHeight="1">
      <c r="A64" s="2" t="s">
        <v>52</v>
      </c>
      <c r="B64" s="2">
        <f>1.96*B63</f>
        <v>4.1155042762105335E-3</v>
      </c>
    </row>
    <row r="65" spans="1:4" ht="15.75" customHeight="1">
      <c r="A65" s="6" t="s">
        <v>53</v>
      </c>
      <c r="B65" s="2">
        <f>B62-B64</f>
        <v>0.49588449572378945</v>
      </c>
    </row>
    <row r="66" spans="1:4" ht="15.75" customHeight="1">
      <c r="A66" s="6" t="s">
        <v>54</v>
      </c>
      <c r="B66" s="2">
        <f>B62+B64</f>
        <v>0.50411550427621055</v>
      </c>
    </row>
    <row r="67" spans="1:4" ht="15.75" customHeight="1">
      <c r="A67" s="2" t="s">
        <v>56</v>
      </c>
      <c r="B67" s="2">
        <f>B61/(B60+B61)</f>
        <v>0.50046734740666277</v>
      </c>
    </row>
    <row r="68" spans="1:4" ht="15.75" customHeight="1">
      <c r="A68" s="2" t="s">
        <v>57</v>
      </c>
      <c r="B68" s="2" t="str">
        <f>IF(AND(B67&gt;B65,B67&lt;B66),"yes","no")</f>
        <v>yes</v>
      </c>
    </row>
    <row r="70" spans="1:4" ht="15.75" customHeight="1">
      <c r="A70" s="3" t="s">
        <v>62</v>
      </c>
    </row>
    <row r="71" spans="1:4" ht="15.75" customHeight="1">
      <c r="A71" s="2" t="s">
        <v>63</v>
      </c>
      <c r="B71" s="2" t="s">
        <v>64</v>
      </c>
    </row>
    <row r="72" spans="1:4" ht="15.75" customHeight="1">
      <c r="A72" s="3" t="s">
        <v>65</v>
      </c>
    </row>
    <row r="73" spans="1:4" ht="15.75" customHeight="1">
      <c r="A73" s="5">
        <v>17293</v>
      </c>
      <c r="B73" s="5" t="s">
        <v>66</v>
      </c>
      <c r="C73" t="s">
        <v>83</v>
      </c>
      <c r="D73"/>
    </row>
    <row r="74" spans="1:4" ht="15.75" customHeight="1">
      <c r="A74" s="5">
        <v>3785</v>
      </c>
      <c r="B74" s="5" t="s">
        <v>67</v>
      </c>
      <c r="C74" t="s">
        <v>82</v>
      </c>
      <c r="D74"/>
    </row>
    <row r="75" spans="1:4" ht="15.75" customHeight="1">
      <c r="A75" s="5">
        <v>17260</v>
      </c>
      <c r="B75" s="5" t="s">
        <v>68</v>
      </c>
      <c r="C75" t="s">
        <v>83</v>
      </c>
      <c r="D75"/>
    </row>
    <row r="76" spans="1:4" ht="15.75" customHeight="1">
      <c r="A76" s="5">
        <v>3423</v>
      </c>
      <c r="B76" s="5" t="s">
        <v>69</v>
      </c>
      <c r="C76" t="s">
        <v>82</v>
      </c>
      <c r="D76"/>
    </row>
    <row r="77" spans="1:4" ht="15.75" customHeight="1">
      <c r="A77" s="5">
        <f>(A74+A76)/(A73+A75)</f>
        <v>0.20860706740369866</v>
      </c>
      <c r="B77" s="5" t="s">
        <v>70</v>
      </c>
      <c r="C77"/>
      <c r="D77"/>
    </row>
    <row r="78" spans="1:4" ht="15.75" customHeight="1">
      <c r="A78" s="5">
        <f>SQRT(A77*(1-A77)*(1/A73+1/A75))</f>
        <v>4.3716753852259364E-3</v>
      </c>
      <c r="B78" s="5" t="s">
        <v>71</v>
      </c>
      <c r="C78"/>
      <c r="D78"/>
    </row>
    <row r="79" spans="1:4" ht="15.75" customHeight="1">
      <c r="A79" s="5">
        <f>A76/A75-A74/A73</f>
        <v>-2.0554874580361565E-2</v>
      </c>
      <c r="B79" s="5" t="s">
        <v>72</v>
      </c>
      <c r="C79" t="s">
        <v>79</v>
      </c>
      <c r="D79"/>
    </row>
    <row r="80" spans="1:4" ht="15.75" customHeight="1">
      <c r="A80" s="7">
        <v>0.95</v>
      </c>
      <c r="B80" s="5" t="s">
        <v>73</v>
      </c>
      <c r="C80"/>
      <c r="D80"/>
    </row>
    <row r="81" spans="1:4" ht="15.75" customHeight="1">
      <c r="A81" s="5">
        <f>(1-A80)/2</f>
        <v>2.5000000000000022E-2</v>
      </c>
      <c r="B81" s="5" t="s">
        <v>74</v>
      </c>
      <c r="C81"/>
      <c r="D81"/>
    </row>
    <row r="82" spans="1:4" ht="15.75" customHeight="1">
      <c r="A82" s="5">
        <f>1-A81</f>
        <v>0.97499999999999998</v>
      </c>
      <c r="B82" s="5" t="s">
        <v>75</v>
      </c>
      <c r="C82"/>
      <c r="D82"/>
    </row>
    <row r="83" spans="1:4" ht="15.75" customHeight="1">
      <c r="A83" s="5">
        <v>1.96</v>
      </c>
      <c r="B83" s="5" t="s">
        <v>76</v>
      </c>
      <c r="C83"/>
      <c r="D83"/>
    </row>
    <row r="84" spans="1:4" ht="15.75" customHeight="1">
      <c r="A84" s="5">
        <f>A83*A78</f>
        <v>8.5684837550428355E-3</v>
      </c>
      <c r="B84" s="5" t="s">
        <v>77</v>
      </c>
      <c r="C84" t="s">
        <v>78</v>
      </c>
      <c r="D84"/>
    </row>
    <row r="85" spans="1:4" ht="15.75" customHeight="1">
      <c r="A85" s="8">
        <f>A79-A84</f>
        <v>-2.9123358335404401E-2</v>
      </c>
      <c r="B85" s="8" t="s">
        <v>53</v>
      </c>
      <c r="C85"/>
      <c r="D85"/>
    </row>
    <row r="86" spans="1:4" ht="15.75" customHeight="1">
      <c r="A86" s="8">
        <f>A79+A84</f>
        <v>-1.198639082531873E-2</v>
      </c>
      <c r="B86" s="8" t="s">
        <v>54</v>
      </c>
      <c r="C86"/>
      <c r="D86"/>
    </row>
    <row r="87" spans="1:4" ht="15.75" customHeight="1">
      <c r="A87" s="5">
        <v>0.01</v>
      </c>
      <c r="B87" s="5" t="s">
        <v>55</v>
      </c>
      <c r="C87"/>
      <c r="D87"/>
    </row>
    <row r="88" spans="1:4" ht="15.75" customHeight="1">
      <c r="A88" s="8" t="s">
        <v>80</v>
      </c>
      <c r="B88" s="8" t="s">
        <v>86</v>
      </c>
      <c r="C88"/>
      <c r="D88"/>
    </row>
    <row r="89" spans="1:4" s="3" customFormat="1" ht="15.75" customHeight="1">
      <c r="A89" s="8" t="str">
        <f>IF(MIN(ABS(A85),ABS(A86))&gt;A87,"yes","no")</f>
        <v>yes</v>
      </c>
      <c r="B89" s="8" t="s">
        <v>85</v>
      </c>
      <c r="C89" s="9"/>
      <c r="D89" s="9"/>
    </row>
    <row r="91" spans="1:4" ht="15.75" customHeight="1">
      <c r="A91" s="3" t="s">
        <v>81</v>
      </c>
    </row>
    <row r="92" spans="1:4" ht="15.75" customHeight="1">
      <c r="A92">
        <v>17293</v>
      </c>
      <c r="B92" t="s">
        <v>66</v>
      </c>
      <c r="C92" s="2" t="s">
        <v>83</v>
      </c>
    </row>
    <row r="93" spans="1:4" ht="15.75" customHeight="1">
      <c r="A93">
        <v>2033</v>
      </c>
      <c r="B93" t="s">
        <v>67</v>
      </c>
      <c r="C93" s="2" t="s">
        <v>84</v>
      </c>
    </row>
    <row r="94" spans="1:4" ht="15.75" customHeight="1">
      <c r="A94">
        <v>17260</v>
      </c>
      <c r="B94" t="s">
        <v>68</v>
      </c>
      <c r="C94" s="2" t="s">
        <v>83</v>
      </c>
    </row>
    <row r="95" spans="1:4" ht="15.75" customHeight="1">
      <c r="A95">
        <v>1945</v>
      </c>
      <c r="B95" t="s">
        <v>69</v>
      </c>
      <c r="C95" s="2" t="s">
        <v>84</v>
      </c>
    </row>
    <row r="96" spans="1:4" ht="15.75" customHeight="1">
      <c r="A96" s="5">
        <f>(A93+A95)/(A92+A94)</f>
        <v>0.11512748531241861</v>
      </c>
      <c r="B96" t="s">
        <v>70</v>
      </c>
    </row>
    <row r="97" spans="1:4" ht="15.75" customHeight="1">
      <c r="A97" s="5">
        <f>SQRT(A96*(1-A96)*(1/A92+1/A94))</f>
        <v>3.4341335129324238E-3</v>
      </c>
      <c r="B97" t="s">
        <v>71</v>
      </c>
    </row>
    <row r="98" spans="1:4" ht="15.75" customHeight="1">
      <c r="A98" s="5">
        <f>A95/A94-A93/A92</f>
        <v>-4.8737226745441675E-3</v>
      </c>
      <c r="B98" t="s">
        <v>72</v>
      </c>
    </row>
    <row r="99" spans="1:4" ht="15.75" customHeight="1">
      <c r="A99" s="7">
        <v>0.95</v>
      </c>
      <c r="B99" t="s">
        <v>73</v>
      </c>
    </row>
    <row r="100" spans="1:4" ht="15.75" customHeight="1">
      <c r="A100" s="5">
        <f>(1-A99)/2</f>
        <v>2.5000000000000022E-2</v>
      </c>
      <c r="B100" t="s">
        <v>74</v>
      </c>
    </row>
    <row r="101" spans="1:4" ht="15.75" customHeight="1">
      <c r="A101" s="5">
        <f>1-A100</f>
        <v>0.97499999999999998</v>
      </c>
      <c r="B101" t="s">
        <v>75</v>
      </c>
    </row>
    <row r="102" spans="1:4" ht="15.75" customHeight="1">
      <c r="A102" s="5">
        <v>1.96</v>
      </c>
      <c r="B102" t="s">
        <v>76</v>
      </c>
    </row>
    <row r="103" spans="1:4" ht="15.75" customHeight="1">
      <c r="A103" s="5">
        <f>A102*A97</f>
        <v>6.7309016853475505E-3</v>
      </c>
      <c r="B103" t="s">
        <v>77</v>
      </c>
    </row>
    <row r="104" spans="1:4" ht="15.75" customHeight="1">
      <c r="A104" s="8">
        <f>A98-A103</f>
        <v>-1.1604624359891718E-2</v>
      </c>
      <c r="B104" s="9" t="s">
        <v>53</v>
      </c>
    </row>
    <row r="105" spans="1:4" ht="15.75" customHeight="1">
      <c r="A105" s="8">
        <f>A98+A103</f>
        <v>1.857179010803383E-3</v>
      </c>
      <c r="B105" s="9" t="s">
        <v>54</v>
      </c>
    </row>
    <row r="106" spans="1:4" ht="15.75" customHeight="1">
      <c r="A106" s="5">
        <v>7.4999999999999997E-3</v>
      </c>
      <c r="B106" t="s">
        <v>55</v>
      </c>
    </row>
    <row r="107" spans="1:4" ht="15.75" customHeight="1">
      <c r="A107" s="8" t="s">
        <v>64</v>
      </c>
      <c r="B107" s="8" t="s">
        <v>86</v>
      </c>
    </row>
    <row r="108" spans="1:4" s="3" customFormat="1" ht="15.75" customHeight="1">
      <c r="A108" s="8" t="str">
        <f>IF(MIN(ABS(A104),ABS(A105))&gt;A106,"yes","no")</f>
        <v>no</v>
      </c>
      <c r="B108" s="8" t="s">
        <v>85</v>
      </c>
    </row>
    <row r="110" spans="1:4" ht="15.75" customHeight="1">
      <c r="A110" s="3" t="s">
        <v>87</v>
      </c>
      <c r="B110" t="s">
        <v>131</v>
      </c>
      <c r="C110"/>
    </row>
    <row r="111" spans="1:4" ht="15.75" customHeight="1">
      <c r="A111" s="3" t="s">
        <v>139</v>
      </c>
      <c r="B111"/>
      <c r="C111" t="s">
        <v>88</v>
      </c>
      <c r="D111" t="s">
        <v>89</v>
      </c>
    </row>
    <row r="112" spans="1:4" ht="15.75" customHeight="1">
      <c r="A112">
        <v>4</v>
      </c>
      <c r="B112" t="s">
        <v>129</v>
      </c>
      <c r="C112"/>
      <c r="D112"/>
    </row>
    <row r="113" spans="1:4" ht="15.75" customHeight="1">
      <c r="A113">
        <v>23</v>
      </c>
      <c r="B113" t="s">
        <v>90</v>
      </c>
      <c r="C113"/>
      <c r="D113"/>
    </row>
    <row r="114" spans="1:4" ht="15.75" customHeight="1">
      <c r="A114">
        <v>0.5</v>
      </c>
      <c r="B114" t="s">
        <v>91</v>
      </c>
      <c r="C114"/>
      <c r="D114"/>
    </row>
    <row r="115" spans="1:4" ht="15.75" customHeight="1">
      <c r="A115">
        <v>2.5999999999999999E-3</v>
      </c>
      <c r="B115" t="s">
        <v>92</v>
      </c>
      <c r="C115"/>
      <c r="D115"/>
    </row>
    <row r="116" spans="1:4" ht="15.75" customHeight="1">
      <c r="A116" s="3" t="str">
        <f>IF(A115&lt;0.05,"yes","no")</f>
        <v>yes</v>
      </c>
      <c r="B116" s="3" t="s">
        <v>132</v>
      </c>
    </row>
    <row r="118" spans="1:4" ht="15.75" customHeight="1">
      <c r="A118" s="3" t="s">
        <v>81</v>
      </c>
    </row>
    <row r="119" spans="1:4" ht="15.75" customHeight="1">
      <c r="A119" s="2">
        <v>10</v>
      </c>
      <c r="B119" s="2" t="s">
        <v>130</v>
      </c>
    </row>
    <row r="120" spans="1:4" ht="15.75" customHeight="1">
      <c r="A120" s="2">
        <v>23</v>
      </c>
      <c r="B120" s="2" t="s">
        <v>90</v>
      </c>
    </row>
    <row r="121" spans="1:4" ht="15.75" customHeight="1">
      <c r="A121" s="2">
        <v>0.5</v>
      </c>
      <c r="B121" s="2" t="s">
        <v>91</v>
      </c>
    </row>
    <row r="122" spans="1:4" ht="15.75" customHeight="1">
      <c r="A122" s="2">
        <v>0.67759999999999998</v>
      </c>
      <c r="B122" s="2" t="s">
        <v>92</v>
      </c>
    </row>
    <row r="123" spans="1:4" ht="15.75" customHeight="1">
      <c r="A123" s="3" t="str">
        <f>IF(A122&lt;0.05,"yes","no")</f>
        <v>no</v>
      </c>
      <c r="B123" s="3" t="s">
        <v>132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/>
  </sheetViews>
  <sheetFormatPr baseColWidth="10" defaultRowHeight="12" x14ac:dyDescent="0"/>
  <cols>
    <col min="7" max="7" width="14" customWidth="1"/>
    <col min="8" max="8" width="14.5" customWidth="1"/>
    <col min="14" max="14" width="14" customWidth="1"/>
    <col min="16" max="16" width="12.33203125" customWidth="1"/>
    <col min="17" max="17" width="16.6640625" customWidth="1"/>
  </cols>
  <sheetData>
    <row r="1" spans="1:18">
      <c r="A1" t="s">
        <v>122</v>
      </c>
      <c r="I1" t="s">
        <v>125</v>
      </c>
    </row>
    <row r="2" spans="1:18">
      <c r="A2" t="s">
        <v>94</v>
      </c>
      <c r="B2" t="s">
        <v>95</v>
      </c>
      <c r="C2" t="s">
        <v>83</v>
      </c>
      <c r="D2" t="s">
        <v>82</v>
      </c>
      <c r="E2" t="s">
        <v>84</v>
      </c>
      <c r="F2" t="s">
        <v>96</v>
      </c>
      <c r="G2" t="s">
        <v>97</v>
      </c>
      <c r="H2" t="s">
        <v>98</v>
      </c>
      <c r="I2" s="10" t="s">
        <v>95</v>
      </c>
      <c r="J2" s="10" t="s">
        <v>83</v>
      </c>
      <c r="K2" s="10" t="s">
        <v>82</v>
      </c>
      <c r="L2" s="10" t="s">
        <v>84</v>
      </c>
      <c r="M2" s="10" t="s">
        <v>96</v>
      </c>
      <c r="N2" s="10" t="s">
        <v>97</v>
      </c>
      <c r="O2" s="10" t="s">
        <v>98</v>
      </c>
      <c r="P2" s="10" t="s">
        <v>126</v>
      </c>
      <c r="Q2" s="10" t="s">
        <v>127</v>
      </c>
      <c r="R2" s="10" t="s">
        <v>128</v>
      </c>
    </row>
    <row r="3" spans="1:18">
      <c r="A3" t="s">
        <v>99</v>
      </c>
      <c r="B3">
        <v>7716</v>
      </c>
      <c r="C3">
        <v>686</v>
      </c>
      <c r="D3">
        <v>105</v>
      </c>
      <c r="E3">
        <v>34</v>
      </c>
      <c r="F3">
        <f t="shared" ref="F3:F24" si="0">C3/$B3</f>
        <v>8.8906168999481602E-2</v>
      </c>
      <c r="G3">
        <f t="shared" ref="G3:G24" si="1">D3/$B3</f>
        <v>1.3608087091757388E-2</v>
      </c>
      <c r="H3">
        <f t="shared" ref="H3:H24" si="2">E3/$B3</f>
        <v>4.4064282011404875E-3</v>
      </c>
      <c r="I3" s="4">
        <v>7723</v>
      </c>
      <c r="J3" s="4">
        <v>687</v>
      </c>
      <c r="K3" s="4">
        <v>134</v>
      </c>
      <c r="L3" s="4">
        <v>70</v>
      </c>
      <c r="M3">
        <f>J3/$I3</f>
        <v>8.8955069273598336E-2</v>
      </c>
      <c r="N3">
        <f t="shared" ref="N3:O3" si="3">K3/$I3</f>
        <v>1.7350770426000257E-2</v>
      </c>
      <c r="O3">
        <f t="shared" si="3"/>
        <v>9.063835297164315E-3</v>
      </c>
      <c r="P3">
        <f>IF(F3&gt;M3,1,0)</f>
        <v>0</v>
      </c>
      <c r="Q3">
        <f>IF(G3&gt;N3,1,0)</f>
        <v>0</v>
      </c>
      <c r="R3">
        <f>IF(H3&gt;O3,1,0)</f>
        <v>0</v>
      </c>
    </row>
    <row r="4" spans="1:18">
      <c r="A4" t="s">
        <v>100</v>
      </c>
      <c r="B4">
        <v>9288</v>
      </c>
      <c r="C4">
        <v>785</v>
      </c>
      <c r="D4">
        <v>116</v>
      </c>
      <c r="E4">
        <v>91</v>
      </c>
      <c r="F4">
        <f t="shared" si="0"/>
        <v>8.4517657192075796E-2</v>
      </c>
      <c r="G4">
        <f t="shared" si="1"/>
        <v>1.2489233419465978E-2</v>
      </c>
      <c r="H4">
        <f t="shared" si="2"/>
        <v>9.7975882859603798E-3</v>
      </c>
      <c r="I4" s="4">
        <v>9102</v>
      </c>
      <c r="J4" s="4">
        <v>779</v>
      </c>
      <c r="K4" s="4">
        <v>147</v>
      </c>
      <c r="L4" s="4">
        <v>70</v>
      </c>
      <c r="M4">
        <f t="shared" ref="M4:M25" si="4">J4/$I4</f>
        <v>8.5585585585585586E-2</v>
      </c>
      <c r="N4">
        <f t="shared" ref="N4:N25" si="5">K4/$I4</f>
        <v>1.6150296638101518E-2</v>
      </c>
      <c r="O4">
        <f t="shared" ref="O4:O25" si="6">L4/$I4</f>
        <v>7.6906174467150073E-3</v>
      </c>
      <c r="P4">
        <f t="shared" ref="P4:P25" si="7">IF(F4&gt;M4,1,0)</f>
        <v>0</v>
      </c>
      <c r="Q4">
        <f t="shared" ref="Q4:Q25" si="8">IF(G4&gt;N4,1,0)</f>
        <v>0</v>
      </c>
      <c r="R4">
        <f t="shared" ref="R4:R25" si="9">IF(H4&gt;O4,1,0)</f>
        <v>1</v>
      </c>
    </row>
    <row r="5" spans="1:18">
      <c r="A5" t="s">
        <v>101</v>
      </c>
      <c r="B5">
        <v>10480</v>
      </c>
      <c r="C5">
        <v>884</v>
      </c>
      <c r="D5">
        <v>145</v>
      </c>
      <c r="E5">
        <v>79</v>
      </c>
      <c r="F5">
        <f t="shared" si="0"/>
        <v>8.4351145038167943E-2</v>
      </c>
      <c r="G5">
        <f t="shared" si="1"/>
        <v>1.383587786259542E-2</v>
      </c>
      <c r="H5">
        <f t="shared" si="2"/>
        <v>7.5381679389312974E-3</v>
      </c>
      <c r="I5" s="4">
        <v>10511</v>
      </c>
      <c r="J5" s="4">
        <v>909</v>
      </c>
      <c r="K5" s="4">
        <v>167</v>
      </c>
      <c r="L5" s="4">
        <v>95</v>
      </c>
      <c r="M5">
        <f t="shared" si="4"/>
        <v>8.6480829607078299E-2</v>
      </c>
      <c r="N5">
        <f t="shared" si="5"/>
        <v>1.5888117210541338E-2</v>
      </c>
      <c r="O5">
        <f t="shared" si="6"/>
        <v>9.0381505089905806E-3</v>
      </c>
      <c r="P5">
        <f t="shared" si="7"/>
        <v>0</v>
      </c>
      <c r="Q5">
        <f t="shared" si="8"/>
        <v>0</v>
      </c>
      <c r="R5">
        <f t="shared" si="9"/>
        <v>0</v>
      </c>
    </row>
    <row r="6" spans="1:18">
      <c r="A6" t="s">
        <v>102</v>
      </c>
      <c r="B6">
        <v>9867</v>
      </c>
      <c r="C6">
        <v>827</v>
      </c>
      <c r="D6">
        <v>138</v>
      </c>
      <c r="E6">
        <v>92</v>
      </c>
      <c r="F6">
        <f t="shared" si="0"/>
        <v>8.3814735988649039E-2</v>
      </c>
      <c r="G6">
        <f t="shared" si="1"/>
        <v>1.3986013986013986E-2</v>
      </c>
      <c r="H6">
        <f t="shared" si="2"/>
        <v>9.324009324009324E-3</v>
      </c>
      <c r="I6" s="4">
        <v>9871</v>
      </c>
      <c r="J6" s="4">
        <v>836</v>
      </c>
      <c r="K6" s="4">
        <v>156</v>
      </c>
      <c r="L6" s="4">
        <v>105</v>
      </c>
      <c r="M6">
        <f t="shared" si="4"/>
        <v>8.4692533684530447E-2</v>
      </c>
      <c r="N6">
        <f t="shared" si="5"/>
        <v>1.5803869921993719E-2</v>
      </c>
      <c r="O6">
        <f t="shared" si="6"/>
        <v>1.0637220139803465E-2</v>
      </c>
      <c r="P6">
        <f t="shared" si="7"/>
        <v>0</v>
      </c>
      <c r="Q6">
        <f t="shared" si="8"/>
        <v>0</v>
      </c>
      <c r="R6">
        <f t="shared" si="9"/>
        <v>0</v>
      </c>
    </row>
    <row r="7" spans="1:18">
      <c r="A7" t="s">
        <v>103</v>
      </c>
      <c r="B7">
        <v>9793</v>
      </c>
      <c r="C7">
        <v>832</v>
      </c>
      <c r="D7">
        <v>140</v>
      </c>
      <c r="E7">
        <v>94</v>
      </c>
      <c r="F7">
        <f t="shared" si="0"/>
        <v>8.4958643929337288E-2</v>
      </c>
      <c r="G7">
        <f t="shared" si="1"/>
        <v>1.4295925661186561E-2</v>
      </c>
      <c r="H7">
        <f t="shared" si="2"/>
        <v>9.5986929439395487E-3</v>
      </c>
      <c r="I7" s="4">
        <v>10014</v>
      </c>
      <c r="J7" s="4">
        <v>837</v>
      </c>
      <c r="K7" s="4">
        <v>163</v>
      </c>
      <c r="L7" s="4">
        <v>64</v>
      </c>
      <c r="M7">
        <f t="shared" si="4"/>
        <v>8.3582983822648296E-2</v>
      </c>
      <c r="N7">
        <f t="shared" si="5"/>
        <v>1.627721190333533E-2</v>
      </c>
      <c r="O7">
        <f t="shared" si="6"/>
        <v>6.3910525264629517E-3</v>
      </c>
      <c r="P7">
        <f t="shared" si="7"/>
        <v>1</v>
      </c>
      <c r="Q7">
        <f t="shared" si="8"/>
        <v>0</v>
      </c>
      <c r="R7">
        <f t="shared" si="9"/>
        <v>1</v>
      </c>
    </row>
    <row r="8" spans="1:18">
      <c r="A8" t="s">
        <v>104</v>
      </c>
      <c r="B8">
        <v>9500</v>
      </c>
      <c r="C8">
        <v>788</v>
      </c>
      <c r="D8">
        <v>129</v>
      </c>
      <c r="E8">
        <v>61</v>
      </c>
      <c r="F8">
        <f t="shared" si="0"/>
        <v>8.2947368421052631E-2</v>
      </c>
      <c r="G8">
        <f t="shared" si="1"/>
        <v>1.3578947368421053E-2</v>
      </c>
      <c r="H8">
        <f t="shared" si="2"/>
        <v>6.4210526315789471E-3</v>
      </c>
      <c r="I8" s="4">
        <v>9670</v>
      </c>
      <c r="J8" s="4">
        <v>823</v>
      </c>
      <c r="K8" s="4">
        <v>138</v>
      </c>
      <c r="L8" s="4">
        <v>82</v>
      </c>
      <c r="M8">
        <f t="shared" si="4"/>
        <v>8.5108583247156158E-2</v>
      </c>
      <c r="N8">
        <f t="shared" si="5"/>
        <v>1.4270941054808686E-2</v>
      </c>
      <c r="O8">
        <f t="shared" si="6"/>
        <v>8.4798345398138571E-3</v>
      </c>
      <c r="P8">
        <f t="shared" si="7"/>
        <v>0</v>
      </c>
      <c r="Q8">
        <f t="shared" si="8"/>
        <v>0</v>
      </c>
      <c r="R8">
        <f t="shared" si="9"/>
        <v>0</v>
      </c>
    </row>
    <row r="9" spans="1:18">
      <c r="A9" t="s">
        <v>105</v>
      </c>
      <c r="B9">
        <v>9088</v>
      </c>
      <c r="C9">
        <v>780</v>
      </c>
      <c r="D9">
        <v>127</v>
      </c>
      <c r="E9">
        <v>44</v>
      </c>
      <c r="F9">
        <f t="shared" si="0"/>
        <v>8.5827464788732391E-2</v>
      </c>
      <c r="G9">
        <f t="shared" si="1"/>
        <v>1.3974471830985916E-2</v>
      </c>
      <c r="H9">
        <f t="shared" si="2"/>
        <v>4.8415492957746475E-3</v>
      </c>
      <c r="I9" s="4">
        <v>9008</v>
      </c>
      <c r="J9" s="4">
        <v>748</v>
      </c>
      <c r="K9" s="4">
        <v>146</v>
      </c>
      <c r="L9" s="4">
        <v>76</v>
      </c>
      <c r="M9">
        <f t="shared" si="4"/>
        <v>8.3037300177619899E-2</v>
      </c>
      <c r="N9">
        <f t="shared" si="5"/>
        <v>1.6207815275310834E-2</v>
      </c>
      <c r="O9">
        <f t="shared" si="6"/>
        <v>8.436944937833037E-3</v>
      </c>
      <c r="P9">
        <f t="shared" si="7"/>
        <v>1</v>
      </c>
      <c r="Q9">
        <f t="shared" si="8"/>
        <v>0</v>
      </c>
      <c r="R9">
        <f t="shared" si="9"/>
        <v>0</v>
      </c>
    </row>
    <row r="10" spans="1:18">
      <c r="A10" t="s">
        <v>106</v>
      </c>
      <c r="B10">
        <v>7664</v>
      </c>
      <c r="C10">
        <v>652</v>
      </c>
      <c r="D10">
        <v>94</v>
      </c>
      <c r="E10">
        <v>62</v>
      </c>
      <c r="F10">
        <f t="shared" si="0"/>
        <v>8.5073068893528184E-2</v>
      </c>
      <c r="G10">
        <f t="shared" si="1"/>
        <v>1.2265135699373696E-2</v>
      </c>
      <c r="H10">
        <f t="shared" si="2"/>
        <v>8.0897703549060538E-3</v>
      </c>
      <c r="I10" s="4">
        <v>7434</v>
      </c>
      <c r="J10" s="4">
        <v>632</v>
      </c>
      <c r="K10" s="4">
        <v>110</v>
      </c>
      <c r="L10" s="4">
        <v>70</v>
      </c>
      <c r="M10">
        <f t="shared" si="4"/>
        <v>8.5014796879203658E-2</v>
      </c>
      <c r="N10">
        <f t="shared" si="5"/>
        <v>1.4796879203658865E-2</v>
      </c>
      <c r="O10">
        <f t="shared" si="6"/>
        <v>9.4161958568738224E-3</v>
      </c>
      <c r="P10">
        <f t="shared" si="7"/>
        <v>1</v>
      </c>
      <c r="Q10">
        <f t="shared" si="8"/>
        <v>0</v>
      </c>
      <c r="R10">
        <f t="shared" si="9"/>
        <v>0</v>
      </c>
    </row>
    <row r="11" spans="1:18">
      <c r="A11" t="s">
        <v>107</v>
      </c>
      <c r="B11">
        <v>8434</v>
      </c>
      <c r="C11">
        <v>697</v>
      </c>
      <c r="D11">
        <v>120</v>
      </c>
      <c r="E11">
        <v>77</v>
      </c>
      <c r="F11">
        <f t="shared" si="0"/>
        <v>8.2641688404078734E-2</v>
      </c>
      <c r="G11">
        <f t="shared" si="1"/>
        <v>1.4228124258951862E-2</v>
      </c>
      <c r="H11">
        <f t="shared" si="2"/>
        <v>9.1297130661607776E-3</v>
      </c>
      <c r="I11" s="4">
        <v>8459</v>
      </c>
      <c r="J11" s="4">
        <v>691</v>
      </c>
      <c r="K11" s="4">
        <v>131</v>
      </c>
      <c r="L11" s="4">
        <v>60</v>
      </c>
      <c r="M11">
        <f t="shared" si="4"/>
        <v>8.1688142806478306E-2</v>
      </c>
      <c r="N11">
        <f t="shared" si="5"/>
        <v>1.5486464121054498E-2</v>
      </c>
      <c r="O11">
        <f t="shared" si="6"/>
        <v>7.0930370020096936E-3</v>
      </c>
      <c r="P11">
        <f t="shared" si="7"/>
        <v>1</v>
      </c>
      <c r="Q11">
        <f t="shared" si="8"/>
        <v>0</v>
      </c>
      <c r="R11">
        <f t="shared" si="9"/>
        <v>1</v>
      </c>
    </row>
    <row r="12" spans="1:18">
      <c r="A12" t="s">
        <v>108</v>
      </c>
      <c r="B12">
        <v>10496</v>
      </c>
      <c r="C12">
        <v>860</v>
      </c>
      <c r="D12">
        <v>153</v>
      </c>
      <c r="E12">
        <v>98</v>
      </c>
      <c r="F12">
        <f t="shared" si="0"/>
        <v>8.1935975609756101E-2</v>
      </c>
      <c r="G12">
        <f t="shared" si="1"/>
        <v>1.4576981707317074E-2</v>
      </c>
      <c r="H12">
        <f t="shared" si="2"/>
        <v>9.3368902439024386E-3</v>
      </c>
      <c r="I12" s="4">
        <v>10667</v>
      </c>
      <c r="J12" s="4">
        <v>861</v>
      </c>
      <c r="K12" s="4">
        <v>165</v>
      </c>
      <c r="L12" s="4">
        <v>97</v>
      </c>
      <c r="M12">
        <f t="shared" si="4"/>
        <v>8.0716227617886938E-2</v>
      </c>
      <c r="N12">
        <f t="shared" si="5"/>
        <v>1.546826661666823E-2</v>
      </c>
      <c r="O12">
        <f t="shared" si="6"/>
        <v>9.0934658291928379E-3</v>
      </c>
      <c r="P12">
        <f t="shared" si="7"/>
        <v>1</v>
      </c>
      <c r="Q12">
        <f t="shared" si="8"/>
        <v>0</v>
      </c>
      <c r="R12">
        <f t="shared" si="9"/>
        <v>1</v>
      </c>
    </row>
    <row r="13" spans="1:18">
      <c r="A13" t="s">
        <v>109</v>
      </c>
      <c r="B13">
        <v>10551</v>
      </c>
      <c r="C13">
        <v>864</v>
      </c>
      <c r="D13">
        <v>143</v>
      </c>
      <c r="E13">
        <v>71</v>
      </c>
      <c r="F13">
        <f t="shared" si="0"/>
        <v>8.1887972704009104E-2</v>
      </c>
      <c r="G13">
        <f t="shared" si="1"/>
        <v>1.3553217704482987E-2</v>
      </c>
      <c r="H13">
        <f t="shared" si="2"/>
        <v>6.7292199791488955E-3</v>
      </c>
      <c r="I13" s="4">
        <v>10660</v>
      </c>
      <c r="J13" s="4">
        <v>867</v>
      </c>
      <c r="K13" s="4">
        <v>196</v>
      </c>
      <c r="L13" s="4">
        <v>105</v>
      </c>
      <c r="M13">
        <f t="shared" si="4"/>
        <v>8.1332082551594742E-2</v>
      </c>
      <c r="N13">
        <f t="shared" si="5"/>
        <v>1.8386491557223265E-2</v>
      </c>
      <c r="O13">
        <f t="shared" si="6"/>
        <v>9.8499061913696062E-3</v>
      </c>
      <c r="P13">
        <f t="shared" si="7"/>
        <v>1</v>
      </c>
      <c r="Q13">
        <f t="shared" si="8"/>
        <v>0</v>
      </c>
      <c r="R13">
        <f t="shared" si="9"/>
        <v>0</v>
      </c>
    </row>
    <row r="14" spans="1:18">
      <c r="A14" t="s">
        <v>110</v>
      </c>
      <c r="B14">
        <v>9737</v>
      </c>
      <c r="C14">
        <v>801</v>
      </c>
      <c r="D14">
        <v>128</v>
      </c>
      <c r="E14">
        <v>70</v>
      </c>
      <c r="F14">
        <f t="shared" si="0"/>
        <v>8.2263530861661702E-2</v>
      </c>
      <c r="G14">
        <f t="shared" si="1"/>
        <v>1.3145732771900996E-2</v>
      </c>
      <c r="H14">
        <f t="shared" si="2"/>
        <v>7.1890726096333572E-3</v>
      </c>
      <c r="I14" s="4">
        <v>9947</v>
      </c>
      <c r="J14" s="4">
        <v>838</v>
      </c>
      <c r="K14" s="4">
        <v>162</v>
      </c>
      <c r="L14" s="4">
        <v>92</v>
      </c>
      <c r="M14">
        <f t="shared" si="4"/>
        <v>8.4246506484367142E-2</v>
      </c>
      <c r="N14">
        <f t="shared" si="5"/>
        <v>1.6286317482658089E-2</v>
      </c>
      <c r="O14">
        <f t="shared" si="6"/>
        <v>9.2490198049663217E-3</v>
      </c>
      <c r="P14">
        <f t="shared" si="7"/>
        <v>0</v>
      </c>
      <c r="Q14">
        <f t="shared" si="8"/>
        <v>0</v>
      </c>
      <c r="R14">
        <f t="shared" si="9"/>
        <v>0</v>
      </c>
    </row>
    <row r="15" spans="1:18">
      <c r="A15" t="s">
        <v>111</v>
      </c>
      <c r="B15">
        <v>8176</v>
      </c>
      <c r="C15">
        <v>642</v>
      </c>
      <c r="D15">
        <v>122</v>
      </c>
      <c r="E15">
        <v>68</v>
      </c>
      <c r="F15">
        <f t="shared" si="0"/>
        <v>7.8522504892367909E-2</v>
      </c>
      <c r="G15">
        <f t="shared" si="1"/>
        <v>1.4921722113502935E-2</v>
      </c>
      <c r="H15">
        <f t="shared" si="2"/>
        <v>8.3170254403131111E-3</v>
      </c>
      <c r="I15" s="4">
        <v>8324</v>
      </c>
      <c r="J15" s="4">
        <v>665</v>
      </c>
      <c r="K15" s="4">
        <v>127</v>
      </c>
      <c r="L15" s="4">
        <v>56</v>
      </c>
      <c r="M15">
        <f t="shared" si="4"/>
        <v>7.9889476213358956E-2</v>
      </c>
      <c r="N15">
        <f t="shared" si="5"/>
        <v>1.525708793849111E-2</v>
      </c>
      <c r="O15">
        <f t="shared" si="6"/>
        <v>6.7275348390197021E-3</v>
      </c>
      <c r="P15">
        <f t="shared" si="7"/>
        <v>0</v>
      </c>
      <c r="Q15">
        <f t="shared" si="8"/>
        <v>0</v>
      </c>
      <c r="R15">
        <f t="shared" si="9"/>
        <v>1</v>
      </c>
    </row>
    <row r="16" spans="1:18">
      <c r="A16" t="s">
        <v>112</v>
      </c>
      <c r="B16">
        <v>9402</v>
      </c>
      <c r="C16">
        <v>697</v>
      </c>
      <c r="D16">
        <v>194</v>
      </c>
      <c r="E16">
        <v>94</v>
      </c>
      <c r="F16">
        <f t="shared" si="0"/>
        <v>7.413316315677515E-2</v>
      </c>
      <c r="G16">
        <f t="shared" si="1"/>
        <v>2.0633907679217189E-2</v>
      </c>
      <c r="H16">
        <f t="shared" si="2"/>
        <v>9.9978727930227617E-3</v>
      </c>
      <c r="I16" s="4">
        <v>9434</v>
      </c>
      <c r="J16" s="4">
        <v>673</v>
      </c>
      <c r="K16" s="4">
        <v>220</v>
      </c>
      <c r="L16" s="4">
        <v>122</v>
      </c>
      <c r="M16">
        <f t="shared" si="4"/>
        <v>7.1337714649141404E-2</v>
      </c>
      <c r="N16">
        <f t="shared" si="5"/>
        <v>2.331990672037312E-2</v>
      </c>
      <c r="O16">
        <f t="shared" si="6"/>
        <v>1.2931948272206912E-2</v>
      </c>
      <c r="P16">
        <f t="shared" si="7"/>
        <v>1</v>
      </c>
      <c r="Q16">
        <f t="shared" si="8"/>
        <v>0</v>
      </c>
      <c r="R16">
        <f t="shared" si="9"/>
        <v>0</v>
      </c>
    </row>
    <row r="17" spans="1:18">
      <c r="A17" t="s">
        <v>113</v>
      </c>
      <c r="B17">
        <v>8669</v>
      </c>
      <c r="C17">
        <v>669</v>
      </c>
      <c r="D17">
        <v>127</v>
      </c>
      <c r="E17">
        <v>81</v>
      </c>
      <c r="F17">
        <f t="shared" si="0"/>
        <v>7.7171530741723379E-2</v>
      </c>
      <c r="G17">
        <f t="shared" si="1"/>
        <v>1.4649901949475141E-2</v>
      </c>
      <c r="H17">
        <f t="shared" si="2"/>
        <v>9.3436382512400509E-3</v>
      </c>
      <c r="I17" s="4">
        <v>8687</v>
      </c>
      <c r="J17" s="4">
        <v>691</v>
      </c>
      <c r="K17" s="4">
        <v>176</v>
      </c>
      <c r="L17" s="4">
        <v>128</v>
      </c>
      <c r="M17">
        <f t="shared" si="4"/>
        <v>7.954414642569356E-2</v>
      </c>
      <c r="N17">
        <f t="shared" si="5"/>
        <v>2.0260158858063773E-2</v>
      </c>
      <c r="O17">
        <f t="shared" si="6"/>
        <v>1.4734660987682745E-2</v>
      </c>
      <c r="P17">
        <f t="shared" si="7"/>
        <v>0</v>
      </c>
      <c r="Q17">
        <f t="shared" si="8"/>
        <v>0</v>
      </c>
      <c r="R17">
        <f t="shared" si="9"/>
        <v>0</v>
      </c>
    </row>
    <row r="18" spans="1:18">
      <c r="A18" t="s">
        <v>114</v>
      </c>
      <c r="B18">
        <v>8881</v>
      </c>
      <c r="C18">
        <v>693</v>
      </c>
      <c r="D18">
        <v>153</v>
      </c>
      <c r="E18">
        <v>101</v>
      </c>
      <c r="F18">
        <f t="shared" si="0"/>
        <v>7.8031753180948085E-2</v>
      </c>
      <c r="G18">
        <f t="shared" si="1"/>
        <v>1.7227789663326203E-2</v>
      </c>
      <c r="H18">
        <f t="shared" si="2"/>
        <v>1.1372593176444094E-2</v>
      </c>
      <c r="I18" s="4">
        <v>8896</v>
      </c>
      <c r="J18" s="4">
        <v>708</v>
      </c>
      <c r="K18" s="4">
        <v>161</v>
      </c>
      <c r="L18" s="4">
        <v>104</v>
      </c>
      <c r="M18">
        <f t="shared" si="4"/>
        <v>7.9586330935251803E-2</v>
      </c>
      <c r="N18">
        <f t="shared" si="5"/>
        <v>1.8098021582733811E-2</v>
      </c>
      <c r="O18">
        <f t="shared" si="6"/>
        <v>1.1690647482014389E-2</v>
      </c>
      <c r="P18">
        <f t="shared" si="7"/>
        <v>0</v>
      </c>
      <c r="Q18">
        <f t="shared" si="8"/>
        <v>0</v>
      </c>
      <c r="R18">
        <f t="shared" si="9"/>
        <v>0</v>
      </c>
    </row>
    <row r="19" spans="1:18">
      <c r="A19" t="s">
        <v>115</v>
      </c>
      <c r="B19">
        <v>9655</v>
      </c>
      <c r="C19">
        <v>771</v>
      </c>
      <c r="D19">
        <v>213</v>
      </c>
      <c r="E19">
        <v>119</v>
      </c>
      <c r="F19">
        <f t="shared" si="0"/>
        <v>7.9854997410668052E-2</v>
      </c>
      <c r="G19">
        <f t="shared" si="1"/>
        <v>2.2061108234075609E-2</v>
      </c>
      <c r="H19">
        <f t="shared" si="2"/>
        <v>1.232522009321595E-2</v>
      </c>
      <c r="I19" s="4">
        <v>9535</v>
      </c>
      <c r="J19" s="4">
        <v>759</v>
      </c>
      <c r="K19" s="4">
        <v>233</v>
      </c>
      <c r="L19" s="4">
        <v>124</v>
      </c>
      <c r="M19">
        <f t="shared" si="4"/>
        <v>7.960146827477714E-2</v>
      </c>
      <c r="N19">
        <f t="shared" si="5"/>
        <v>2.4436287362349238E-2</v>
      </c>
      <c r="O19">
        <f t="shared" si="6"/>
        <v>1.3004719454640797E-2</v>
      </c>
      <c r="P19">
        <f t="shared" si="7"/>
        <v>1</v>
      </c>
      <c r="Q19">
        <f t="shared" si="8"/>
        <v>0</v>
      </c>
      <c r="R19">
        <f t="shared" si="9"/>
        <v>0</v>
      </c>
    </row>
    <row r="20" spans="1:18">
      <c r="A20" t="s">
        <v>116</v>
      </c>
      <c r="B20">
        <v>9396</v>
      </c>
      <c r="C20">
        <v>736</v>
      </c>
      <c r="D20">
        <v>162</v>
      </c>
      <c r="E20">
        <v>120</v>
      </c>
      <c r="F20">
        <f t="shared" si="0"/>
        <v>7.833120476798637E-2</v>
      </c>
      <c r="G20">
        <f t="shared" si="1"/>
        <v>1.7241379310344827E-2</v>
      </c>
      <c r="H20">
        <f t="shared" si="2"/>
        <v>1.277139208173691E-2</v>
      </c>
      <c r="I20" s="4">
        <v>9363</v>
      </c>
      <c r="J20" s="4">
        <v>736</v>
      </c>
      <c r="K20" s="4">
        <v>154</v>
      </c>
      <c r="L20" s="4">
        <v>91</v>
      </c>
      <c r="M20">
        <f t="shared" si="4"/>
        <v>7.8607283990174096E-2</v>
      </c>
      <c r="N20">
        <f t="shared" si="5"/>
        <v>1.6447719747944036E-2</v>
      </c>
      <c r="O20">
        <f t="shared" si="6"/>
        <v>9.7191071237851118E-3</v>
      </c>
      <c r="P20">
        <f t="shared" si="7"/>
        <v>0</v>
      </c>
      <c r="Q20">
        <f t="shared" si="8"/>
        <v>1</v>
      </c>
      <c r="R20">
        <f t="shared" si="9"/>
        <v>1</v>
      </c>
    </row>
    <row r="21" spans="1:18">
      <c r="A21" t="s">
        <v>117</v>
      </c>
      <c r="B21">
        <v>9262</v>
      </c>
      <c r="C21">
        <v>727</v>
      </c>
      <c r="D21">
        <v>201</v>
      </c>
      <c r="E21">
        <v>96</v>
      </c>
      <c r="F21">
        <f t="shared" si="0"/>
        <v>7.8492766141222192E-2</v>
      </c>
      <c r="G21">
        <f t="shared" si="1"/>
        <v>2.1701576333405311E-2</v>
      </c>
      <c r="H21">
        <f t="shared" si="2"/>
        <v>1.0364931980133881E-2</v>
      </c>
      <c r="I21" s="4">
        <v>9327</v>
      </c>
      <c r="J21" s="4">
        <v>739</v>
      </c>
      <c r="K21" s="4">
        <v>196</v>
      </c>
      <c r="L21" s="4">
        <v>86</v>
      </c>
      <c r="M21">
        <f t="shared" si="4"/>
        <v>7.9232336228154815E-2</v>
      </c>
      <c r="N21">
        <f t="shared" si="5"/>
        <v>2.1014259676208857E-2</v>
      </c>
      <c r="O21">
        <f t="shared" si="6"/>
        <v>9.2205425109895996E-3</v>
      </c>
      <c r="P21">
        <f t="shared" si="7"/>
        <v>0</v>
      </c>
      <c r="Q21">
        <f t="shared" si="8"/>
        <v>1</v>
      </c>
      <c r="R21">
        <f t="shared" si="9"/>
        <v>1</v>
      </c>
    </row>
    <row r="22" spans="1:18">
      <c r="A22" t="s">
        <v>118</v>
      </c>
      <c r="B22">
        <v>9308</v>
      </c>
      <c r="C22">
        <v>728</v>
      </c>
      <c r="D22">
        <v>207</v>
      </c>
      <c r="E22">
        <v>67</v>
      </c>
      <c r="F22">
        <f t="shared" si="0"/>
        <v>7.8212290502793297E-2</v>
      </c>
      <c r="G22">
        <f t="shared" si="1"/>
        <v>2.2238934250107433E-2</v>
      </c>
      <c r="H22">
        <f t="shared" si="2"/>
        <v>7.1981091534164161E-3</v>
      </c>
      <c r="I22" s="4">
        <v>9345</v>
      </c>
      <c r="J22" s="4">
        <v>734</v>
      </c>
      <c r="K22" s="4">
        <v>167</v>
      </c>
      <c r="L22" s="4">
        <v>75</v>
      </c>
      <c r="M22">
        <f t="shared" si="4"/>
        <v>7.854467629748528E-2</v>
      </c>
      <c r="N22">
        <f t="shared" si="5"/>
        <v>1.7870518994114501E-2</v>
      </c>
      <c r="O22">
        <f t="shared" si="6"/>
        <v>8.0256821829855531E-3</v>
      </c>
      <c r="P22">
        <f t="shared" si="7"/>
        <v>0</v>
      </c>
      <c r="Q22">
        <f t="shared" si="8"/>
        <v>1</v>
      </c>
      <c r="R22">
        <f t="shared" si="9"/>
        <v>0</v>
      </c>
    </row>
    <row r="23" spans="1:18">
      <c r="A23" t="s">
        <v>119</v>
      </c>
      <c r="B23">
        <v>8715</v>
      </c>
      <c r="C23">
        <v>722</v>
      </c>
      <c r="D23">
        <v>182</v>
      </c>
      <c r="E23">
        <v>123</v>
      </c>
      <c r="F23">
        <f t="shared" si="0"/>
        <v>8.2845668387837065E-2</v>
      </c>
      <c r="G23">
        <f t="shared" si="1"/>
        <v>2.0883534136546186E-2</v>
      </c>
      <c r="H23">
        <f t="shared" si="2"/>
        <v>1.4113597246127367E-2</v>
      </c>
      <c r="I23" s="4">
        <v>8890</v>
      </c>
      <c r="J23" s="4">
        <v>706</v>
      </c>
      <c r="K23" s="4">
        <v>174</v>
      </c>
      <c r="L23" s="4">
        <v>101</v>
      </c>
      <c r="M23">
        <f t="shared" si="4"/>
        <v>7.9415073115860518E-2</v>
      </c>
      <c r="N23">
        <f t="shared" si="5"/>
        <v>1.9572553430821149E-2</v>
      </c>
      <c r="O23">
        <f t="shared" si="6"/>
        <v>1.1361079865016874E-2</v>
      </c>
      <c r="P23">
        <f t="shared" si="7"/>
        <v>1</v>
      </c>
      <c r="Q23">
        <f t="shared" si="8"/>
        <v>1</v>
      </c>
      <c r="R23">
        <f t="shared" si="9"/>
        <v>1</v>
      </c>
    </row>
    <row r="24" spans="1:18">
      <c r="A24" t="s">
        <v>120</v>
      </c>
      <c r="B24">
        <v>8448</v>
      </c>
      <c r="C24">
        <v>695</v>
      </c>
      <c r="D24">
        <v>142</v>
      </c>
      <c r="E24">
        <v>100</v>
      </c>
      <c r="F24">
        <f t="shared" si="0"/>
        <v>8.2267992424242431E-2</v>
      </c>
      <c r="G24">
        <f t="shared" si="1"/>
        <v>1.680871212121212E-2</v>
      </c>
      <c r="H24">
        <f t="shared" si="2"/>
        <v>1.1837121212121212E-2</v>
      </c>
      <c r="I24" s="4">
        <v>8460</v>
      </c>
      <c r="J24" s="4">
        <v>681</v>
      </c>
      <c r="K24" s="4">
        <v>156</v>
      </c>
      <c r="L24" s="4">
        <v>93</v>
      </c>
      <c r="M24">
        <f t="shared" si="4"/>
        <v>8.0496453900709225E-2</v>
      </c>
      <c r="N24">
        <f t="shared" si="5"/>
        <v>1.8439716312056736E-2</v>
      </c>
      <c r="O24">
        <f t="shared" si="6"/>
        <v>1.099290780141844E-2</v>
      </c>
      <c r="P24">
        <f t="shared" si="7"/>
        <v>1</v>
      </c>
      <c r="Q24">
        <f t="shared" si="8"/>
        <v>0</v>
      </c>
      <c r="R24">
        <f t="shared" si="9"/>
        <v>1</v>
      </c>
    </row>
    <row r="25" spans="1:18">
      <c r="A25" t="s">
        <v>121</v>
      </c>
      <c r="B25">
        <v>8836</v>
      </c>
      <c r="C25">
        <v>724</v>
      </c>
      <c r="D25">
        <v>182</v>
      </c>
      <c r="E25">
        <v>103</v>
      </c>
      <c r="F25">
        <f>C25/$B25</f>
        <v>8.1937528293345399E-2</v>
      </c>
      <c r="G25">
        <f t="shared" ref="G25:H25" si="10">D25/$B25</f>
        <v>2.0597555454956996E-2</v>
      </c>
      <c r="H25">
        <f t="shared" si="10"/>
        <v>1.1656858306926211E-2</v>
      </c>
      <c r="I25" s="4">
        <v>8836</v>
      </c>
      <c r="J25" s="4">
        <v>693</v>
      </c>
      <c r="K25" s="4">
        <v>206</v>
      </c>
      <c r="L25" s="4">
        <v>67</v>
      </c>
      <c r="M25">
        <f t="shared" si="4"/>
        <v>7.8429153463105472E-2</v>
      </c>
      <c r="N25">
        <f t="shared" si="5"/>
        <v>2.3313716613852422E-2</v>
      </c>
      <c r="O25">
        <f t="shared" si="6"/>
        <v>7.582616568583069E-3</v>
      </c>
      <c r="P25">
        <f t="shared" si="7"/>
        <v>1</v>
      </c>
      <c r="Q25">
        <f t="shared" si="8"/>
        <v>0</v>
      </c>
      <c r="R25">
        <f t="shared" si="9"/>
        <v>1</v>
      </c>
    </row>
    <row r="27" spans="1:18">
      <c r="A27" s="10" t="s">
        <v>123</v>
      </c>
      <c r="F27">
        <f>SUM(F3:F25)</f>
        <v>1.8789268207304399</v>
      </c>
      <c r="G27">
        <f>SUM(G3:G25)</f>
        <v>0.37250387060862283</v>
      </c>
      <c r="H27">
        <f>SUM(H3:H25)</f>
        <v>0.21170051460978415</v>
      </c>
      <c r="M27">
        <f>SUM(M3:M25)</f>
        <v>1.8751247552314598</v>
      </c>
      <c r="N27">
        <f>SUM(N3:N25)</f>
        <v>0.41040338864836334</v>
      </c>
      <c r="O27">
        <f>SUM(O3:O25)</f>
        <v>0.22043072716953865</v>
      </c>
      <c r="P27">
        <f>SUM(P3:P25)</f>
        <v>11</v>
      </c>
      <c r="Q27">
        <f t="shared" ref="Q27:R27" si="11">SUM(Q3:Q25)</f>
        <v>4</v>
      </c>
      <c r="R27">
        <f t="shared" si="11"/>
        <v>10</v>
      </c>
    </row>
    <row r="28" spans="1:18">
      <c r="A28" s="10" t="s">
        <v>124</v>
      </c>
      <c r="F28">
        <f>AVERAGE(F3:F25)</f>
        <v>8.1692470466540865E-2</v>
      </c>
      <c r="G28">
        <f>AVERAGE(G3:G25)</f>
        <v>1.6195820461244469E-2</v>
      </c>
      <c r="H28">
        <f>AVERAGE(H3:H25)</f>
        <v>9.2043702004253984E-3</v>
      </c>
      <c r="M28">
        <f>AVERAGE(M3:M25)</f>
        <v>8.152716327093304E-2</v>
      </c>
      <c r="N28">
        <f>AVERAGE(N3:N25)</f>
        <v>1.7843625593407103E-2</v>
      </c>
      <c r="O28">
        <f>AVERAGE(O3:O25)</f>
        <v>9.5839446595451586E-3</v>
      </c>
    </row>
    <row r="29" spans="1:18">
      <c r="A29" s="10" t="s">
        <v>19</v>
      </c>
      <c r="F29">
        <f>COUNT(F3:F25)</f>
        <v>23</v>
      </c>
      <c r="G29">
        <f>COUNT(G3:G25)</f>
        <v>23</v>
      </c>
      <c r="H29">
        <f>COUNT(H3:H25)</f>
        <v>23</v>
      </c>
      <c r="M29">
        <f>COUNT(M3:M25)</f>
        <v>23</v>
      </c>
      <c r="N29">
        <f>COUNT(N3:N25)</f>
        <v>23</v>
      </c>
      <c r="O29">
        <f>COUNT(O3:O25)</f>
        <v>23</v>
      </c>
    </row>
    <row r="31" spans="1:18">
      <c r="C31" s="9" t="s">
        <v>87</v>
      </c>
    </row>
    <row r="32" spans="1:18">
      <c r="C32" t="s">
        <v>34</v>
      </c>
      <c r="E32" t="s">
        <v>88</v>
      </c>
      <c r="F32" t="s">
        <v>89</v>
      </c>
    </row>
    <row r="33" spans="3:6">
      <c r="C33">
        <f>Q27</f>
        <v>4</v>
      </c>
      <c r="D33" t="s">
        <v>129</v>
      </c>
    </row>
    <row r="34" spans="3:6">
      <c r="C34">
        <f>N29</f>
        <v>23</v>
      </c>
      <c r="D34" t="s">
        <v>90</v>
      </c>
    </row>
    <row r="35" spans="3:6">
      <c r="C35">
        <v>0.5</v>
      </c>
      <c r="D35" t="s">
        <v>91</v>
      </c>
    </row>
    <row r="36" spans="3:6">
      <c r="C36">
        <v>2.5999999999999999E-3</v>
      </c>
      <c r="D36" t="s">
        <v>92</v>
      </c>
    </row>
    <row r="37" spans="3:6">
      <c r="D37" t="s">
        <v>93</v>
      </c>
    </row>
    <row r="39" spans="3:6">
      <c r="C39" t="s">
        <v>38</v>
      </c>
      <c r="E39" t="s">
        <v>88</v>
      </c>
      <c r="F39" t="s">
        <v>89</v>
      </c>
    </row>
    <row r="40" spans="3:6">
      <c r="C40">
        <f>R27</f>
        <v>10</v>
      </c>
      <c r="D40" t="s">
        <v>130</v>
      </c>
    </row>
    <row r="41" spans="3:6">
      <c r="C41">
        <f>N29</f>
        <v>23</v>
      </c>
      <c r="D41" t="s">
        <v>90</v>
      </c>
    </row>
    <row r="42" spans="3:6">
      <c r="C42">
        <v>0.5</v>
      </c>
      <c r="D42" t="s">
        <v>91</v>
      </c>
    </row>
    <row r="43" spans="3:6">
      <c r="C43">
        <v>0.67759999999999998</v>
      </c>
      <c r="D43" t="s">
        <v>92</v>
      </c>
    </row>
    <row r="44" spans="3:6">
      <c r="D44" t="s">
        <v>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A42" sqref="A42:XFD42"/>
    </sheetView>
  </sheetViews>
  <sheetFormatPr baseColWidth="10" defaultColWidth="14.5" defaultRowHeight="15.75" customHeight="1" x14ac:dyDescent="0"/>
  <sheetData>
    <row r="1" spans="1:8" ht="12">
      <c r="A1" s="10" t="s">
        <v>94</v>
      </c>
      <c r="B1" s="10" t="s">
        <v>95</v>
      </c>
      <c r="C1" s="10" t="s">
        <v>83</v>
      </c>
      <c r="D1" s="10" t="s">
        <v>82</v>
      </c>
      <c r="E1" s="10" t="s">
        <v>84</v>
      </c>
      <c r="F1" s="10" t="s">
        <v>96</v>
      </c>
      <c r="G1" s="10" t="s">
        <v>97</v>
      </c>
      <c r="H1" s="10" t="s">
        <v>98</v>
      </c>
    </row>
    <row r="2" spans="1:8" ht="12">
      <c r="A2" s="10" t="s">
        <v>99</v>
      </c>
      <c r="B2" s="4">
        <v>7723</v>
      </c>
      <c r="C2" s="4">
        <v>687</v>
      </c>
      <c r="D2" s="4">
        <v>134</v>
      </c>
      <c r="E2" s="4">
        <v>70</v>
      </c>
      <c r="F2">
        <f>C2/$B2</f>
        <v>8.8955069273598336E-2</v>
      </c>
      <c r="G2">
        <f t="shared" ref="G2:H17" si="0">D2/$B2</f>
        <v>1.7350770426000257E-2</v>
      </c>
      <c r="H2">
        <f t="shared" si="0"/>
        <v>9.063835297164315E-3</v>
      </c>
    </row>
    <row r="3" spans="1:8" ht="12">
      <c r="A3" s="10" t="s">
        <v>100</v>
      </c>
      <c r="B3" s="4">
        <v>9102</v>
      </c>
      <c r="C3" s="4">
        <v>779</v>
      </c>
      <c r="D3" s="4">
        <v>147</v>
      </c>
      <c r="E3" s="4">
        <v>70</v>
      </c>
      <c r="F3">
        <f t="shared" ref="F3:H24" si="1">C3/$B3</f>
        <v>8.5585585585585586E-2</v>
      </c>
      <c r="G3">
        <f t="shared" si="0"/>
        <v>1.6150296638101518E-2</v>
      </c>
      <c r="H3">
        <f t="shared" si="0"/>
        <v>7.6906174467150073E-3</v>
      </c>
    </row>
    <row r="4" spans="1:8" ht="12">
      <c r="A4" s="10" t="s">
        <v>101</v>
      </c>
      <c r="B4" s="4">
        <v>10511</v>
      </c>
      <c r="C4" s="4">
        <v>909</v>
      </c>
      <c r="D4" s="4">
        <v>167</v>
      </c>
      <c r="E4" s="4">
        <v>95</v>
      </c>
      <c r="F4">
        <f t="shared" si="1"/>
        <v>8.6480829607078299E-2</v>
      </c>
      <c r="G4">
        <f t="shared" si="0"/>
        <v>1.5888117210541338E-2</v>
      </c>
      <c r="H4">
        <f t="shared" si="0"/>
        <v>9.0381505089905806E-3</v>
      </c>
    </row>
    <row r="5" spans="1:8" ht="12">
      <c r="A5" s="10" t="s">
        <v>102</v>
      </c>
      <c r="B5" s="4">
        <v>9871</v>
      </c>
      <c r="C5" s="4">
        <v>836</v>
      </c>
      <c r="D5" s="4">
        <v>156</v>
      </c>
      <c r="E5" s="4">
        <v>105</v>
      </c>
      <c r="F5">
        <f t="shared" si="1"/>
        <v>8.4692533684530447E-2</v>
      </c>
      <c r="G5">
        <f t="shared" si="0"/>
        <v>1.5803869921993719E-2</v>
      </c>
      <c r="H5">
        <f t="shared" si="0"/>
        <v>1.0637220139803465E-2</v>
      </c>
    </row>
    <row r="6" spans="1:8" ht="12">
      <c r="A6" s="10" t="s">
        <v>103</v>
      </c>
      <c r="B6" s="4">
        <v>10014</v>
      </c>
      <c r="C6" s="4">
        <v>837</v>
      </c>
      <c r="D6" s="4">
        <v>163</v>
      </c>
      <c r="E6" s="4">
        <v>64</v>
      </c>
      <c r="F6">
        <f t="shared" si="1"/>
        <v>8.3582983822648296E-2</v>
      </c>
      <c r="G6">
        <f t="shared" si="0"/>
        <v>1.627721190333533E-2</v>
      </c>
      <c r="H6">
        <f t="shared" si="0"/>
        <v>6.3910525264629517E-3</v>
      </c>
    </row>
    <row r="7" spans="1:8" ht="12">
      <c r="A7" s="10" t="s">
        <v>104</v>
      </c>
      <c r="B7" s="4">
        <v>9670</v>
      </c>
      <c r="C7" s="4">
        <v>823</v>
      </c>
      <c r="D7" s="4">
        <v>138</v>
      </c>
      <c r="E7" s="4">
        <v>82</v>
      </c>
      <c r="F7">
        <f t="shared" si="1"/>
        <v>8.5108583247156158E-2</v>
      </c>
      <c r="G7">
        <f t="shared" si="0"/>
        <v>1.4270941054808686E-2</v>
      </c>
      <c r="H7">
        <f t="shared" si="0"/>
        <v>8.4798345398138571E-3</v>
      </c>
    </row>
    <row r="8" spans="1:8" ht="12">
      <c r="A8" s="10" t="s">
        <v>105</v>
      </c>
      <c r="B8" s="4">
        <v>9008</v>
      </c>
      <c r="C8" s="4">
        <v>748</v>
      </c>
      <c r="D8" s="4">
        <v>146</v>
      </c>
      <c r="E8" s="4">
        <v>76</v>
      </c>
      <c r="F8">
        <f t="shared" si="1"/>
        <v>8.3037300177619899E-2</v>
      </c>
      <c r="G8">
        <f t="shared" si="0"/>
        <v>1.6207815275310834E-2</v>
      </c>
      <c r="H8">
        <f t="shared" si="0"/>
        <v>8.436944937833037E-3</v>
      </c>
    </row>
    <row r="9" spans="1:8" ht="12">
      <c r="A9" s="10" t="s">
        <v>106</v>
      </c>
      <c r="B9" s="4">
        <v>7434</v>
      </c>
      <c r="C9" s="4">
        <v>632</v>
      </c>
      <c r="D9" s="4">
        <v>110</v>
      </c>
      <c r="E9" s="4">
        <v>70</v>
      </c>
      <c r="F9">
        <f t="shared" si="1"/>
        <v>8.5014796879203658E-2</v>
      </c>
      <c r="G9">
        <f t="shared" si="0"/>
        <v>1.4796879203658865E-2</v>
      </c>
      <c r="H9">
        <f t="shared" si="0"/>
        <v>9.4161958568738224E-3</v>
      </c>
    </row>
    <row r="10" spans="1:8" ht="12">
      <c r="A10" s="10" t="s">
        <v>107</v>
      </c>
      <c r="B10" s="4">
        <v>8459</v>
      </c>
      <c r="C10" s="4">
        <v>691</v>
      </c>
      <c r="D10" s="4">
        <v>131</v>
      </c>
      <c r="E10" s="4">
        <v>60</v>
      </c>
      <c r="F10">
        <f t="shared" si="1"/>
        <v>8.1688142806478306E-2</v>
      </c>
      <c r="G10">
        <f t="shared" si="0"/>
        <v>1.5486464121054498E-2</v>
      </c>
      <c r="H10">
        <f t="shared" si="0"/>
        <v>7.0930370020096936E-3</v>
      </c>
    </row>
    <row r="11" spans="1:8" ht="12">
      <c r="A11" s="10" t="s">
        <v>108</v>
      </c>
      <c r="B11" s="4">
        <v>10667</v>
      </c>
      <c r="C11" s="4">
        <v>861</v>
      </c>
      <c r="D11" s="4">
        <v>165</v>
      </c>
      <c r="E11" s="4">
        <v>97</v>
      </c>
      <c r="F11">
        <f t="shared" si="1"/>
        <v>8.0716227617886938E-2</v>
      </c>
      <c r="G11">
        <f t="shared" si="0"/>
        <v>1.546826661666823E-2</v>
      </c>
      <c r="H11">
        <f t="shared" si="0"/>
        <v>9.0934658291928379E-3</v>
      </c>
    </row>
    <row r="12" spans="1:8" ht="12">
      <c r="A12" s="10" t="s">
        <v>109</v>
      </c>
      <c r="B12" s="4">
        <v>10660</v>
      </c>
      <c r="C12" s="4">
        <v>867</v>
      </c>
      <c r="D12" s="4">
        <v>196</v>
      </c>
      <c r="E12" s="4">
        <v>105</v>
      </c>
      <c r="F12">
        <f t="shared" si="1"/>
        <v>8.1332082551594742E-2</v>
      </c>
      <c r="G12">
        <f t="shared" si="0"/>
        <v>1.8386491557223265E-2</v>
      </c>
      <c r="H12">
        <f t="shared" si="0"/>
        <v>9.8499061913696062E-3</v>
      </c>
    </row>
    <row r="13" spans="1:8" ht="12">
      <c r="A13" s="10" t="s">
        <v>110</v>
      </c>
      <c r="B13" s="4">
        <v>9947</v>
      </c>
      <c r="C13" s="4">
        <v>838</v>
      </c>
      <c r="D13" s="4">
        <v>162</v>
      </c>
      <c r="E13" s="4">
        <v>92</v>
      </c>
      <c r="F13">
        <f t="shared" si="1"/>
        <v>8.4246506484367142E-2</v>
      </c>
      <c r="G13">
        <f t="shared" si="0"/>
        <v>1.6286317482658089E-2</v>
      </c>
      <c r="H13">
        <f t="shared" si="0"/>
        <v>9.2490198049663217E-3</v>
      </c>
    </row>
    <row r="14" spans="1:8" ht="12">
      <c r="A14" s="10" t="s">
        <v>111</v>
      </c>
      <c r="B14" s="4">
        <v>8324</v>
      </c>
      <c r="C14" s="4">
        <v>665</v>
      </c>
      <c r="D14" s="4">
        <v>127</v>
      </c>
      <c r="E14" s="4">
        <v>56</v>
      </c>
      <c r="F14">
        <f t="shared" si="1"/>
        <v>7.9889476213358956E-2</v>
      </c>
      <c r="G14">
        <f t="shared" si="0"/>
        <v>1.525708793849111E-2</v>
      </c>
      <c r="H14">
        <f t="shared" si="0"/>
        <v>6.7275348390197021E-3</v>
      </c>
    </row>
    <row r="15" spans="1:8" ht="12">
      <c r="A15" s="10" t="s">
        <v>112</v>
      </c>
      <c r="B15" s="4">
        <v>9434</v>
      </c>
      <c r="C15" s="4">
        <v>673</v>
      </c>
      <c r="D15" s="4">
        <v>220</v>
      </c>
      <c r="E15" s="4">
        <v>122</v>
      </c>
      <c r="F15">
        <f t="shared" si="1"/>
        <v>7.1337714649141404E-2</v>
      </c>
      <c r="G15">
        <f t="shared" si="0"/>
        <v>2.331990672037312E-2</v>
      </c>
      <c r="H15">
        <f t="shared" si="0"/>
        <v>1.2931948272206912E-2</v>
      </c>
    </row>
    <row r="16" spans="1:8" ht="12">
      <c r="A16" s="10" t="s">
        <v>113</v>
      </c>
      <c r="B16" s="4">
        <v>8687</v>
      </c>
      <c r="C16" s="4">
        <v>691</v>
      </c>
      <c r="D16" s="4">
        <v>176</v>
      </c>
      <c r="E16" s="4">
        <v>128</v>
      </c>
      <c r="F16">
        <f t="shared" si="1"/>
        <v>7.954414642569356E-2</v>
      </c>
      <c r="G16">
        <f t="shared" si="0"/>
        <v>2.0260158858063773E-2</v>
      </c>
      <c r="H16">
        <f t="shared" si="0"/>
        <v>1.4734660987682745E-2</v>
      </c>
    </row>
    <row r="17" spans="1:8" ht="12">
      <c r="A17" s="10" t="s">
        <v>114</v>
      </c>
      <c r="B17" s="4">
        <v>8896</v>
      </c>
      <c r="C17" s="4">
        <v>708</v>
      </c>
      <c r="D17" s="4">
        <v>161</v>
      </c>
      <c r="E17" s="4">
        <v>104</v>
      </c>
      <c r="F17">
        <f t="shared" si="1"/>
        <v>7.9586330935251803E-2</v>
      </c>
      <c r="G17">
        <f t="shared" si="0"/>
        <v>1.8098021582733811E-2</v>
      </c>
      <c r="H17">
        <f t="shared" si="0"/>
        <v>1.1690647482014389E-2</v>
      </c>
    </row>
    <row r="18" spans="1:8" ht="12">
      <c r="A18" s="10" t="s">
        <v>115</v>
      </c>
      <c r="B18" s="4">
        <v>9535</v>
      </c>
      <c r="C18" s="4">
        <v>759</v>
      </c>
      <c r="D18" s="4">
        <v>233</v>
      </c>
      <c r="E18" s="4">
        <v>124</v>
      </c>
      <c r="F18">
        <f t="shared" si="1"/>
        <v>7.960146827477714E-2</v>
      </c>
      <c r="G18">
        <f t="shared" si="1"/>
        <v>2.4436287362349238E-2</v>
      </c>
      <c r="H18">
        <f t="shared" si="1"/>
        <v>1.3004719454640797E-2</v>
      </c>
    </row>
    <row r="19" spans="1:8" ht="12">
      <c r="A19" s="10" t="s">
        <v>116</v>
      </c>
      <c r="B19" s="4">
        <v>9363</v>
      </c>
      <c r="C19" s="4">
        <v>736</v>
      </c>
      <c r="D19" s="4">
        <v>154</v>
      </c>
      <c r="E19" s="4">
        <v>91</v>
      </c>
      <c r="F19">
        <f t="shared" si="1"/>
        <v>7.8607283990174096E-2</v>
      </c>
      <c r="G19">
        <f t="shared" si="1"/>
        <v>1.6447719747944036E-2</v>
      </c>
      <c r="H19">
        <f t="shared" si="1"/>
        <v>9.7191071237851118E-3</v>
      </c>
    </row>
    <row r="20" spans="1:8" ht="12">
      <c r="A20" s="10" t="s">
        <v>117</v>
      </c>
      <c r="B20" s="4">
        <v>9327</v>
      </c>
      <c r="C20" s="4">
        <v>739</v>
      </c>
      <c r="D20" s="4">
        <v>196</v>
      </c>
      <c r="E20" s="4">
        <v>86</v>
      </c>
      <c r="F20">
        <f t="shared" si="1"/>
        <v>7.9232336228154815E-2</v>
      </c>
      <c r="G20">
        <f t="shared" si="1"/>
        <v>2.1014259676208857E-2</v>
      </c>
      <c r="H20">
        <f t="shared" si="1"/>
        <v>9.2205425109895996E-3</v>
      </c>
    </row>
    <row r="21" spans="1:8" ht="12">
      <c r="A21" s="10" t="s">
        <v>118</v>
      </c>
      <c r="B21" s="4">
        <v>9345</v>
      </c>
      <c r="C21" s="4">
        <v>734</v>
      </c>
      <c r="D21" s="4">
        <v>167</v>
      </c>
      <c r="E21" s="4">
        <v>75</v>
      </c>
      <c r="F21">
        <f t="shared" si="1"/>
        <v>7.854467629748528E-2</v>
      </c>
      <c r="G21">
        <f t="shared" si="1"/>
        <v>1.7870518994114501E-2</v>
      </c>
      <c r="H21">
        <f t="shared" si="1"/>
        <v>8.0256821829855531E-3</v>
      </c>
    </row>
    <row r="22" spans="1:8" ht="12">
      <c r="A22" s="10" t="s">
        <v>119</v>
      </c>
      <c r="B22" s="4">
        <v>8890</v>
      </c>
      <c r="C22" s="4">
        <v>706</v>
      </c>
      <c r="D22" s="4">
        <v>174</v>
      </c>
      <c r="E22" s="4">
        <v>101</v>
      </c>
      <c r="F22">
        <f t="shared" si="1"/>
        <v>7.9415073115860518E-2</v>
      </c>
      <c r="G22">
        <f t="shared" si="1"/>
        <v>1.9572553430821149E-2</v>
      </c>
      <c r="H22">
        <f t="shared" si="1"/>
        <v>1.1361079865016874E-2</v>
      </c>
    </row>
    <row r="23" spans="1:8" ht="12">
      <c r="A23" s="10" t="s">
        <v>120</v>
      </c>
      <c r="B23" s="4">
        <v>8460</v>
      </c>
      <c r="C23" s="4">
        <v>681</v>
      </c>
      <c r="D23" s="4">
        <v>156</v>
      </c>
      <c r="E23" s="4">
        <v>93</v>
      </c>
      <c r="F23">
        <f t="shared" si="1"/>
        <v>8.0496453900709225E-2</v>
      </c>
      <c r="G23">
        <f t="shared" si="1"/>
        <v>1.8439716312056736E-2</v>
      </c>
      <c r="H23">
        <f t="shared" si="1"/>
        <v>1.099290780141844E-2</v>
      </c>
    </row>
    <row r="24" spans="1:8" ht="12">
      <c r="A24" s="10" t="s">
        <v>121</v>
      </c>
      <c r="B24" s="4">
        <v>8836</v>
      </c>
      <c r="C24" s="4">
        <v>693</v>
      </c>
      <c r="D24" s="4">
        <v>206</v>
      </c>
      <c r="E24" s="4">
        <v>67</v>
      </c>
      <c r="F24">
        <f t="shared" si="1"/>
        <v>7.8429153463105472E-2</v>
      </c>
      <c r="G24">
        <f t="shared" si="1"/>
        <v>2.3313716613852422E-2</v>
      </c>
      <c r="H24">
        <f t="shared" si="1"/>
        <v>7.582616568583069E-3</v>
      </c>
    </row>
    <row r="25" spans="1:8" ht="12">
      <c r="A25" s="10" t="s">
        <v>140</v>
      </c>
      <c r="B25" s="4">
        <v>9437</v>
      </c>
      <c r="C25" s="4">
        <v>788</v>
      </c>
      <c r="D25" s="10"/>
      <c r="E25" s="12"/>
    </row>
    <row r="26" spans="1:8" ht="12">
      <c r="A26" s="10" t="s">
        <v>141</v>
      </c>
      <c r="B26" s="4">
        <v>9420</v>
      </c>
      <c r="C26" s="4">
        <v>781</v>
      </c>
      <c r="D26" s="10"/>
      <c r="E26" s="12"/>
    </row>
    <row r="27" spans="1:8" ht="12">
      <c r="A27" s="10" t="s">
        <v>142</v>
      </c>
      <c r="B27" s="4">
        <v>9570</v>
      </c>
      <c r="C27" s="4">
        <v>805</v>
      </c>
      <c r="D27" s="10"/>
      <c r="E27" s="12"/>
    </row>
    <row r="28" spans="1:8" ht="12">
      <c r="A28" s="10" t="s">
        <v>143</v>
      </c>
      <c r="B28" s="4">
        <v>9921</v>
      </c>
      <c r="C28" s="4">
        <v>830</v>
      </c>
      <c r="D28" s="10"/>
      <c r="E28" s="12"/>
    </row>
    <row r="29" spans="1:8" ht="12">
      <c r="A29" s="10" t="s">
        <v>144</v>
      </c>
      <c r="B29" s="4">
        <v>9424</v>
      </c>
      <c r="C29" s="4">
        <v>781</v>
      </c>
      <c r="D29" s="10"/>
      <c r="E29" s="12"/>
    </row>
    <row r="30" spans="1:8" ht="12">
      <c r="A30" s="10" t="s">
        <v>145</v>
      </c>
      <c r="B30" s="4">
        <v>9010</v>
      </c>
      <c r="C30" s="4">
        <v>756</v>
      </c>
      <c r="D30" s="10"/>
      <c r="E30" s="12"/>
    </row>
    <row r="31" spans="1:8" ht="12">
      <c r="A31" s="10" t="s">
        <v>146</v>
      </c>
      <c r="B31" s="4">
        <v>9656</v>
      </c>
      <c r="C31" s="4">
        <v>825</v>
      </c>
      <c r="D31" s="10"/>
      <c r="E31" s="12"/>
    </row>
    <row r="32" spans="1:8" ht="12">
      <c r="A32" s="10" t="s">
        <v>147</v>
      </c>
      <c r="B32" s="4">
        <v>10419</v>
      </c>
      <c r="C32" s="4">
        <v>874</v>
      </c>
      <c r="D32" s="10"/>
      <c r="E32" s="12"/>
    </row>
    <row r="33" spans="1:9" ht="12">
      <c r="A33" s="10" t="s">
        <v>148</v>
      </c>
      <c r="B33" s="4">
        <v>9880</v>
      </c>
      <c r="C33" s="4">
        <v>830</v>
      </c>
      <c r="D33" s="10"/>
      <c r="E33" s="12"/>
    </row>
    <row r="34" spans="1:9" ht="12">
      <c r="A34" s="10" t="s">
        <v>149</v>
      </c>
      <c r="B34" s="4">
        <v>10134</v>
      </c>
      <c r="C34" s="4">
        <v>801</v>
      </c>
      <c r="D34" s="10"/>
      <c r="E34" s="12"/>
    </row>
    <row r="35" spans="1:9" ht="12">
      <c r="A35" s="10" t="s">
        <v>150</v>
      </c>
      <c r="B35" s="4">
        <v>9717</v>
      </c>
      <c r="C35" s="4">
        <v>814</v>
      </c>
      <c r="D35" s="10"/>
      <c r="E35" s="12"/>
    </row>
    <row r="36" spans="1:9" ht="12">
      <c r="A36" s="10" t="s">
        <v>151</v>
      </c>
      <c r="B36" s="4">
        <v>9192</v>
      </c>
      <c r="C36" s="4">
        <v>735</v>
      </c>
      <c r="D36" s="10"/>
      <c r="E36" s="12"/>
    </row>
    <row r="37" spans="1:9" ht="12">
      <c r="A37" s="10" t="s">
        <v>152</v>
      </c>
      <c r="B37" s="4">
        <v>8630</v>
      </c>
      <c r="C37" s="4">
        <v>743</v>
      </c>
      <c r="D37" s="10"/>
      <c r="E37" s="12"/>
    </row>
    <row r="38" spans="1:9" ht="12">
      <c r="A38" s="10" t="s">
        <v>153</v>
      </c>
      <c r="B38" s="4">
        <v>8970</v>
      </c>
      <c r="C38" s="4">
        <v>722</v>
      </c>
      <c r="D38" s="10"/>
      <c r="E38" s="12"/>
    </row>
    <row r="39" spans="1:9" ht="12">
      <c r="A39" s="10"/>
      <c r="B39" s="4"/>
      <c r="C39" s="4"/>
      <c r="D39" s="10"/>
      <c r="E39" s="12"/>
    </row>
    <row r="40" spans="1:9" ht="12">
      <c r="A40" s="10" t="s">
        <v>154</v>
      </c>
      <c r="B40" s="4">
        <f>SUM(B2:B38)</f>
        <v>345543</v>
      </c>
      <c r="C40" s="4">
        <f t="shared" ref="C40:E40" si="2">SUM(C2:C38)</f>
        <v>28378</v>
      </c>
      <c r="D40" s="4">
        <f t="shared" si="2"/>
        <v>3785</v>
      </c>
      <c r="E40" s="4">
        <f t="shared" si="2"/>
        <v>2033</v>
      </c>
    </row>
    <row r="41" spans="1:9" ht="12">
      <c r="A41" s="10" t="s">
        <v>155</v>
      </c>
      <c r="B41">
        <f>SUM(B2:B24)</f>
        <v>212163</v>
      </c>
      <c r="C41">
        <f t="shared" ref="C41:H41" si="3">SUM(C2:C24)</f>
        <v>17293</v>
      </c>
      <c r="D41">
        <f t="shared" si="3"/>
        <v>3785</v>
      </c>
      <c r="E41">
        <f t="shared" si="3"/>
        <v>2033</v>
      </c>
      <c r="F41">
        <f t="shared" si="3"/>
        <v>1.8751247552314598</v>
      </c>
      <c r="G41">
        <f t="shared" si="3"/>
        <v>0.41040338864836334</v>
      </c>
      <c r="H41">
        <f t="shared" si="3"/>
        <v>0.22043072716953865</v>
      </c>
      <c r="I41" t="s">
        <v>156</v>
      </c>
    </row>
    <row r="42" spans="1:9" ht="12">
      <c r="A42" s="10" t="s">
        <v>157</v>
      </c>
      <c r="F42">
        <f>COUNT(F2:F24)</f>
        <v>23</v>
      </c>
      <c r="G42">
        <f t="shared" ref="G42:H42" si="4">COUNT(G2:G24)</f>
        <v>23</v>
      </c>
      <c r="H42">
        <f t="shared" si="4"/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D49" sqref="D49"/>
    </sheetView>
  </sheetViews>
  <sheetFormatPr baseColWidth="10" defaultColWidth="14.5" defaultRowHeight="15.75" customHeight="1" x14ac:dyDescent="0"/>
  <sheetData>
    <row r="1" spans="1:8" ht="12">
      <c r="A1" s="10" t="s">
        <v>94</v>
      </c>
      <c r="B1" s="10" t="s">
        <v>95</v>
      </c>
      <c r="C1" s="10" t="s">
        <v>83</v>
      </c>
      <c r="D1" s="10" t="s">
        <v>82</v>
      </c>
      <c r="E1" s="10" t="s">
        <v>84</v>
      </c>
      <c r="F1" s="10" t="s">
        <v>96</v>
      </c>
      <c r="G1" s="10" t="s">
        <v>97</v>
      </c>
      <c r="H1" s="10" t="s">
        <v>98</v>
      </c>
    </row>
    <row r="2" spans="1:8" ht="12">
      <c r="A2" s="10" t="s">
        <v>99</v>
      </c>
      <c r="B2" s="4">
        <v>7716</v>
      </c>
      <c r="C2" s="4">
        <v>686</v>
      </c>
      <c r="D2" s="4">
        <v>105</v>
      </c>
      <c r="E2" s="4">
        <v>34</v>
      </c>
      <c r="F2">
        <f>C2/$B2</f>
        <v>8.8906168999481602E-2</v>
      </c>
      <c r="G2">
        <f t="shared" ref="G2:H17" si="0">D2/$B2</f>
        <v>1.3608087091757388E-2</v>
      </c>
      <c r="H2">
        <f t="shared" si="0"/>
        <v>4.4064282011404875E-3</v>
      </c>
    </row>
    <row r="3" spans="1:8" ht="12">
      <c r="A3" s="10" t="s">
        <v>100</v>
      </c>
      <c r="B3" s="4">
        <v>9288</v>
      </c>
      <c r="C3" s="4">
        <v>785</v>
      </c>
      <c r="D3" s="4">
        <v>116</v>
      </c>
      <c r="E3" s="4">
        <v>91</v>
      </c>
      <c r="F3">
        <f t="shared" ref="F3:H24" si="1">C3/$B3</f>
        <v>8.4517657192075796E-2</v>
      </c>
      <c r="G3">
        <f t="shared" si="0"/>
        <v>1.2489233419465978E-2</v>
      </c>
      <c r="H3">
        <f t="shared" si="0"/>
        <v>9.7975882859603798E-3</v>
      </c>
    </row>
    <row r="4" spans="1:8" ht="12">
      <c r="A4" s="10" t="s">
        <v>101</v>
      </c>
      <c r="B4" s="4">
        <v>10480</v>
      </c>
      <c r="C4" s="4">
        <v>884</v>
      </c>
      <c r="D4" s="4">
        <v>145</v>
      </c>
      <c r="E4" s="4">
        <v>79</v>
      </c>
      <c r="F4">
        <f t="shared" si="1"/>
        <v>8.4351145038167943E-2</v>
      </c>
      <c r="G4">
        <f t="shared" si="0"/>
        <v>1.383587786259542E-2</v>
      </c>
      <c r="H4">
        <f t="shared" si="0"/>
        <v>7.5381679389312974E-3</v>
      </c>
    </row>
    <row r="5" spans="1:8" ht="12">
      <c r="A5" s="10" t="s">
        <v>102</v>
      </c>
      <c r="B5" s="4">
        <v>9867</v>
      </c>
      <c r="C5" s="4">
        <v>827</v>
      </c>
      <c r="D5" s="4">
        <v>138</v>
      </c>
      <c r="E5" s="4">
        <v>92</v>
      </c>
      <c r="F5">
        <f t="shared" si="1"/>
        <v>8.3814735988649039E-2</v>
      </c>
      <c r="G5">
        <f t="shared" si="0"/>
        <v>1.3986013986013986E-2</v>
      </c>
      <c r="H5">
        <f t="shared" si="0"/>
        <v>9.324009324009324E-3</v>
      </c>
    </row>
    <row r="6" spans="1:8" ht="12">
      <c r="A6" s="10" t="s">
        <v>103</v>
      </c>
      <c r="B6" s="4">
        <v>9793</v>
      </c>
      <c r="C6" s="4">
        <v>832</v>
      </c>
      <c r="D6" s="4">
        <v>140</v>
      </c>
      <c r="E6" s="4">
        <v>94</v>
      </c>
      <c r="F6">
        <f t="shared" si="1"/>
        <v>8.4958643929337288E-2</v>
      </c>
      <c r="G6">
        <f t="shared" si="0"/>
        <v>1.4295925661186561E-2</v>
      </c>
      <c r="H6">
        <f t="shared" si="0"/>
        <v>9.5986929439395487E-3</v>
      </c>
    </row>
    <row r="7" spans="1:8" ht="12">
      <c r="A7" s="10" t="s">
        <v>104</v>
      </c>
      <c r="B7" s="4">
        <v>9500</v>
      </c>
      <c r="C7" s="4">
        <v>788</v>
      </c>
      <c r="D7" s="4">
        <v>129</v>
      </c>
      <c r="E7" s="4">
        <v>61</v>
      </c>
      <c r="F7">
        <f t="shared" si="1"/>
        <v>8.2947368421052631E-2</v>
      </c>
      <c r="G7">
        <f t="shared" si="0"/>
        <v>1.3578947368421053E-2</v>
      </c>
      <c r="H7">
        <f t="shared" si="0"/>
        <v>6.4210526315789471E-3</v>
      </c>
    </row>
    <row r="8" spans="1:8" ht="12">
      <c r="A8" s="10" t="s">
        <v>105</v>
      </c>
      <c r="B8" s="4">
        <v>9088</v>
      </c>
      <c r="C8" s="4">
        <v>780</v>
      </c>
      <c r="D8" s="4">
        <v>127</v>
      </c>
      <c r="E8" s="4">
        <v>44</v>
      </c>
      <c r="F8">
        <f t="shared" si="1"/>
        <v>8.5827464788732391E-2</v>
      </c>
      <c r="G8">
        <f t="shared" si="0"/>
        <v>1.3974471830985916E-2</v>
      </c>
      <c r="H8">
        <f t="shared" si="0"/>
        <v>4.8415492957746475E-3</v>
      </c>
    </row>
    <row r="9" spans="1:8" ht="12">
      <c r="A9" s="10" t="s">
        <v>106</v>
      </c>
      <c r="B9" s="4">
        <v>7664</v>
      </c>
      <c r="C9" s="4">
        <v>652</v>
      </c>
      <c r="D9" s="4">
        <v>94</v>
      </c>
      <c r="E9" s="4">
        <v>62</v>
      </c>
      <c r="F9">
        <f t="shared" si="1"/>
        <v>8.5073068893528184E-2</v>
      </c>
      <c r="G9">
        <f t="shared" si="0"/>
        <v>1.2265135699373696E-2</v>
      </c>
      <c r="H9">
        <f t="shared" si="0"/>
        <v>8.0897703549060538E-3</v>
      </c>
    </row>
    <row r="10" spans="1:8" ht="12">
      <c r="A10" s="10" t="s">
        <v>107</v>
      </c>
      <c r="B10" s="4">
        <v>8434</v>
      </c>
      <c r="C10" s="4">
        <v>697</v>
      </c>
      <c r="D10" s="4">
        <v>120</v>
      </c>
      <c r="E10" s="4">
        <v>77</v>
      </c>
      <c r="F10">
        <f t="shared" si="1"/>
        <v>8.2641688404078734E-2</v>
      </c>
      <c r="G10">
        <f t="shared" si="0"/>
        <v>1.4228124258951862E-2</v>
      </c>
      <c r="H10">
        <f t="shared" si="0"/>
        <v>9.1297130661607776E-3</v>
      </c>
    </row>
    <row r="11" spans="1:8" ht="12">
      <c r="A11" s="10" t="s">
        <v>108</v>
      </c>
      <c r="B11" s="4">
        <v>10496</v>
      </c>
      <c r="C11" s="4">
        <v>860</v>
      </c>
      <c r="D11" s="4">
        <v>153</v>
      </c>
      <c r="E11" s="4">
        <v>98</v>
      </c>
      <c r="F11">
        <f t="shared" si="1"/>
        <v>8.1935975609756101E-2</v>
      </c>
      <c r="G11">
        <f t="shared" si="0"/>
        <v>1.4576981707317074E-2</v>
      </c>
      <c r="H11">
        <f t="shared" si="0"/>
        <v>9.3368902439024386E-3</v>
      </c>
    </row>
    <row r="12" spans="1:8" ht="12">
      <c r="A12" s="10" t="s">
        <v>109</v>
      </c>
      <c r="B12" s="4">
        <v>10551</v>
      </c>
      <c r="C12" s="4">
        <v>864</v>
      </c>
      <c r="D12" s="4">
        <v>143</v>
      </c>
      <c r="E12" s="4">
        <v>71</v>
      </c>
      <c r="F12">
        <f t="shared" si="1"/>
        <v>8.1887972704009104E-2</v>
      </c>
      <c r="G12">
        <f t="shared" si="0"/>
        <v>1.3553217704482987E-2</v>
      </c>
      <c r="H12">
        <f t="shared" si="0"/>
        <v>6.7292199791488955E-3</v>
      </c>
    </row>
    <row r="13" spans="1:8" ht="12">
      <c r="A13" s="10" t="s">
        <v>110</v>
      </c>
      <c r="B13" s="4">
        <v>9737</v>
      </c>
      <c r="C13" s="4">
        <v>801</v>
      </c>
      <c r="D13" s="4">
        <v>128</v>
      </c>
      <c r="E13" s="4">
        <v>70</v>
      </c>
      <c r="F13">
        <f t="shared" si="1"/>
        <v>8.2263530861661702E-2</v>
      </c>
      <c r="G13">
        <f t="shared" si="0"/>
        <v>1.3145732771900996E-2</v>
      </c>
      <c r="H13">
        <f t="shared" si="0"/>
        <v>7.1890726096333572E-3</v>
      </c>
    </row>
    <row r="14" spans="1:8" ht="12">
      <c r="A14" s="10" t="s">
        <v>111</v>
      </c>
      <c r="B14" s="4">
        <v>8176</v>
      </c>
      <c r="C14" s="4">
        <v>642</v>
      </c>
      <c r="D14" s="4">
        <v>122</v>
      </c>
      <c r="E14" s="4">
        <v>68</v>
      </c>
      <c r="F14">
        <f t="shared" si="1"/>
        <v>7.8522504892367909E-2</v>
      </c>
      <c r="G14">
        <f t="shared" si="0"/>
        <v>1.4921722113502935E-2</v>
      </c>
      <c r="H14">
        <f t="shared" si="0"/>
        <v>8.3170254403131111E-3</v>
      </c>
    </row>
    <row r="15" spans="1:8" ht="12">
      <c r="A15" s="10" t="s">
        <v>112</v>
      </c>
      <c r="B15" s="4">
        <v>9402</v>
      </c>
      <c r="C15" s="4">
        <v>697</v>
      </c>
      <c r="D15" s="4">
        <v>194</v>
      </c>
      <c r="E15" s="4">
        <v>94</v>
      </c>
      <c r="F15">
        <f t="shared" si="1"/>
        <v>7.413316315677515E-2</v>
      </c>
      <c r="G15">
        <f t="shared" si="0"/>
        <v>2.0633907679217189E-2</v>
      </c>
      <c r="H15">
        <f t="shared" si="0"/>
        <v>9.9978727930227617E-3</v>
      </c>
    </row>
    <row r="16" spans="1:8" ht="12">
      <c r="A16" s="10" t="s">
        <v>113</v>
      </c>
      <c r="B16" s="4">
        <v>8669</v>
      </c>
      <c r="C16" s="4">
        <v>669</v>
      </c>
      <c r="D16" s="4">
        <v>127</v>
      </c>
      <c r="E16" s="4">
        <v>81</v>
      </c>
      <c r="F16">
        <f t="shared" si="1"/>
        <v>7.7171530741723379E-2</v>
      </c>
      <c r="G16">
        <f t="shared" si="0"/>
        <v>1.4649901949475141E-2</v>
      </c>
      <c r="H16">
        <f t="shared" si="0"/>
        <v>9.3436382512400509E-3</v>
      </c>
    </row>
    <row r="17" spans="1:8" ht="12">
      <c r="A17" s="10" t="s">
        <v>114</v>
      </c>
      <c r="B17" s="4">
        <v>8881</v>
      </c>
      <c r="C17" s="4">
        <v>693</v>
      </c>
      <c r="D17" s="4">
        <v>153</v>
      </c>
      <c r="E17" s="4">
        <v>101</v>
      </c>
      <c r="F17">
        <f t="shared" si="1"/>
        <v>7.8031753180948085E-2</v>
      </c>
      <c r="G17">
        <f t="shared" si="0"/>
        <v>1.7227789663326203E-2</v>
      </c>
      <c r="H17">
        <f t="shared" si="0"/>
        <v>1.1372593176444094E-2</v>
      </c>
    </row>
    <row r="18" spans="1:8" ht="12">
      <c r="A18" s="10" t="s">
        <v>115</v>
      </c>
      <c r="B18" s="4">
        <v>9655</v>
      </c>
      <c r="C18" s="4">
        <v>771</v>
      </c>
      <c r="D18" s="4">
        <v>213</v>
      </c>
      <c r="E18" s="4">
        <v>119</v>
      </c>
      <c r="F18">
        <f t="shared" si="1"/>
        <v>7.9854997410668052E-2</v>
      </c>
      <c r="G18">
        <f t="shared" si="1"/>
        <v>2.2061108234075609E-2</v>
      </c>
      <c r="H18">
        <f t="shared" si="1"/>
        <v>1.232522009321595E-2</v>
      </c>
    </row>
    <row r="19" spans="1:8" ht="12">
      <c r="A19" s="10" t="s">
        <v>116</v>
      </c>
      <c r="B19" s="4">
        <v>9396</v>
      </c>
      <c r="C19" s="4">
        <v>736</v>
      </c>
      <c r="D19" s="4">
        <v>162</v>
      </c>
      <c r="E19" s="4">
        <v>120</v>
      </c>
      <c r="F19">
        <f t="shared" si="1"/>
        <v>7.833120476798637E-2</v>
      </c>
      <c r="G19">
        <f t="shared" si="1"/>
        <v>1.7241379310344827E-2</v>
      </c>
      <c r="H19">
        <f t="shared" si="1"/>
        <v>1.277139208173691E-2</v>
      </c>
    </row>
    <row r="20" spans="1:8" ht="12">
      <c r="A20" s="10" t="s">
        <v>117</v>
      </c>
      <c r="B20" s="4">
        <v>9262</v>
      </c>
      <c r="C20" s="4">
        <v>727</v>
      </c>
      <c r="D20" s="4">
        <v>201</v>
      </c>
      <c r="E20" s="4">
        <v>96</v>
      </c>
      <c r="F20">
        <f t="shared" si="1"/>
        <v>7.8492766141222192E-2</v>
      </c>
      <c r="G20">
        <f t="shared" si="1"/>
        <v>2.1701576333405311E-2</v>
      </c>
      <c r="H20">
        <f t="shared" si="1"/>
        <v>1.0364931980133881E-2</v>
      </c>
    </row>
    <row r="21" spans="1:8" ht="12">
      <c r="A21" s="10" t="s">
        <v>118</v>
      </c>
      <c r="B21" s="4">
        <v>9308</v>
      </c>
      <c r="C21" s="4">
        <v>728</v>
      </c>
      <c r="D21" s="4">
        <v>207</v>
      </c>
      <c r="E21" s="4">
        <v>67</v>
      </c>
      <c r="F21">
        <f t="shared" si="1"/>
        <v>7.8212290502793297E-2</v>
      </c>
      <c r="G21">
        <f t="shared" si="1"/>
        <v>2.2238934250107433E-2</v>
      </c>
      <c r="H21">
        <f t="shared" si="1"/>
        <v>7.1981091534164161E-3</v>
      </c>
    </row>
    <row r="22" spans="1:8" ht="12">
      <c r="A22" s="10" t="s">
        <v>119</v>
      </c>
      <c r="B22" s="4">
        <v>8715</v>
      </c>
      <c r="C22" s="4">
        <v>722</v>
      </c>
      <c r="D22" s="4">
        <v>182</v>
      </c>
      <c r="E22" s="4">
        <v>123</v>
      </c>
      <c r="F22">
        <f t="shared" si="1"/>
        <v>8.2845668387837065E-2</v>
      </c>
      <c r="G22">
        <f t="shared" si="1"/>
        <v>2.0883534136546186E-2</v>
      </c>
      <c r="H22">
        <f t="shared" si="1"/>
        <v>1.4113597246127367E-2</v>
      </c>
    </row>
    <row r="23" spans="1:8" ht="12">
      <c r="A23" s="10" t="s">
        <v>120</v>
      </c>
      <c r="B23" s="4">
        <v>8448</v>
      </c>
      <c r="C23" s="4">
        <v>695</v>
      </c>
      <c r="D23" s="4">
        <v>142</v>
      </c>
      <c r="E23" s="4">
        <v>100</v>
      </c>
      <c r="F23">
        <f t="shared" si="1"/>
        <v>8.2267992424242431E-2</v>
      </c>
      <c r="G23">
        <f t="shared" si="1"/>
        <v>1.680871212121212E-2</v>
      </c>
      <c r="H23">
        <f t="shared" si="1"/>
        <v>1.1837121212121212E-2</v>
      </c>
    </row>
    <row r="24" spans="1:8" ht="12">
      <c r="A24" s="10" t="s">
        <v>121</v>
      </c>
      <c r="B24" s="4">
        <v>8836</v>
      </c>
      <c r="C24" s="4">
        <v>724</v>
      </c>
      <c r="D24" s="4">
        <v>182</v>
      </c>
      <c r="E24" s="4">
        <v>103</v>
      </c>
      <c r="F24">
        <f t="shared" si="1"/>
        <v>8.1937528293345399E-2</v>
      </c>
      <c r="G24">
        <f t="shared" si="1"/>
        <v>2.0597555454956996E-2</v>
      </c>
      <c r="H24">
        <f t="shared" si="1"/>
        <v>1.1656858306926211E-2</v>
      </c>
    </row>
    <row r="25" spans="1:8" ht="12">
      <c r="A25" s="10" t="s">
        <v>140</v>
      </c>
      <c r="B25" s="4">
        <v>9359</v>
      </c>
      <c r="C25" s="4">
        <v>789</v>
      </c>
      <c r="D25" s="12"/>
      <c r="E25" s="12"/>
    </row>
    <row r="26" spans="1:8" ht="12">
      <c r="A26" s="10" t="s">
        <v>141</v>
      </c>
      <c r="B26" s="4">
        <v>9427</v>
      </c>
      <c r="C26" s="4">
        <v>743</v>
      </c>
      <c r="D26" s="12"/>
      <c r="E26" s="12"/>
    </row>
    <row r="27" spans="1:8" ht="12">
      <c r="A27" s="10" t="s">
        <v>142</v>
      </c>
      <c r="B27" s="4">
        <v>9633</v>
      </c>
      <c r="C27" s="4">
        <v>808</v>
      </c>
      <c r="D27" s="12"/>
      <c r="E27" s="12"/>
    </row>
    <row r="28" spans="1:8" ht="12">
      <c r="A28" s="10" t="s">
        <v>143</v>
      </c>
      <c r="B28" s="4">
        <v>9842</v>
      </c>
      <c r="C28" s="4">
        <v>831</v>
      </c>
      <c r="D28" s="12"/>
      <c r="E28" s="12"/>
    </row>
    <row r="29" spans="1:8" ht="12">
      <c r="A29" s="10" t="s">
        <v>144</v>
      </c>
      <c r="B29" s="4">
        <v>9272</v>
      </c>
      <c r="C29" s="4">
        <v>767</v>
      </c>
      <c r="D29" s="12"/>
      <c r="E29" s="12"/>
    </row>
    <row r="30" spans="1:8" ht="12">
      <c r="A30" s="10" t="s">
        <v>145</v>
      </c>
      <c r="B30" s="4">
        <v>8969</v>
      </c>
      <c r="C30" s="4">
        <v>760</v>
      </c>
      <c r="D30" s="12"/>
      <c r="E30" s="12"/>
    </row>
    <row r="31" spans="1:8" ht="12">
      <c r="A31" s="10" t="s">
        <v>146</v>
      </c>
      <c r="B31" s="4">
        <v>9697</v>
      </c>
      <c r="C31" s="4">
        <v>850</v>
      </c>
      <c r="D31" s="12"/>
      <c r="E31" s="12"/>
    </row>
    <row r="32" spans="1:8" ht="12">
      <c r="A32" s="10" t="s">
        <v>147</v>
      </c>
      <c r="B32" s="4">
        <v>10445</v>
      </c>
      <c r="C32" s="4">
        <v>851</v>
      </c>
      <c r="D32" s="12"/>
      <c r="E32" s="12"/>
    </row>
    <row r="33" spans="1:8" ht="12">
      <c r="A33" s="10" t="s">
        <v>148</v>
      </c>
      <c r="B33" s="4">
        <v>9931</v>
      </c>
      <c r="C33" s="4">
        <v>831</v>
      </c>
      <c r="D33" s="12"/>
      <c r="E33" s="12"/>
    </row>
    <row r="34" spans="1:8" ht="12">
      <c r="A34" s="10" t="s">
        <v>149</v>
      </c>
      <c r="B34" s="4">
        <v>10042</v>
      </c>
      <c r="C34" s="4">
        <v>802</v>
      </c>
      <c r="D34" s="12"/>
      <c r="E34" s="12"/>
    </row>
    <row r="35" spans="1:8" ht="12">
      <c r="A35" s="10" t="s">
        <v>150</v>
      </c>
      <c r="B35" s="4">
        <v>9721</v>
      </c>
      <c r="C35" s="4">
        <v>829</v>
      </c>
      <c r="D35" s="12"/>
      <c r="E35" s="12"/>
    </row>
    <row r="36" spans="1:8" ht="12">
      <c r="A36" s="10" t="s">
        <v>151</v>
      </c>
      <c r="B36" s="4">
        <v>9304</v>
      </c>
      <c r="C36" s="4">
        <v>770</v>
      </c>
      <c r="D36" s="12"/>
      <c r="E36" s="12"/>
    </row>
    <row r="37" spans="1:8" ht="12">
      <c r="A37" s="10" t="s">
        <v>152</v>
      </c>
      <c r="B37" s="4">
        <v>8668</v>
      </c>
      <c r="C37" s="4">
        <v>724</v>
      </c>
      <c r="D37" s="12"/>
      <c r="E37" s="12"/>
    </row>
    <row r="38" spans="1:8" ht="12">
      <c r="A38" s="10" t="s">
        <v>153</v>
      </c>
      <c r="B38" s="4">
        <v>8988</v>
      </c>
      <c r="C38" s="4">
        <v>710</v>
      </c>
      <c r="D38" s="12"/>
      <c r="E38" s="12"/>
    </row>
    <row r="40" spans="1:8" ht="12">
      <c r="A40" s="10" t="s">
        <v>154</v>
      </c>
      <c r="B40" s="4">
        <f>SUM(B2:B38)</f>
        <v>344660</v>
      </c>
      <c r="C40" s="4">
        <f t="shared" ref="C40:E40" si="2">SUM(C2:C38)</f>
        <v>28325</v>
      </c>
      <c r="D40" s="4">
        <f t="shared" si="2"/>
        <v>3423</v>
      </c>
      <c r="E40" s="4">
        <f t="shared" si="2"/>
        <v>1945</v>
      </c>
    </row>
    <row r="41" spans="1:8" ht="12">
      <c r="A41" s="10" t="s">
        <v>155</v>
      </c>
      <c r="B41">
        <f>SUM(B2:B24)</f>
        <v>211362</v>
      </c>
      <c r="C41">
        <f t="shared" ref="C41:E41" si="3">SUM(C2:C24)</f>
        <v>17260</v>
      </c>
      <c r="D41">
        <f t="shared" si="3"/>
        <v>3423</v>
      </c>
      <c r="E41">
        <f t="shared" si="3"/>
        <v>1945</v>
      </c>
      <c r="F41">
        <f>SUM(F2:F24)</f>
        <v>1.8789268207304399</v>
      </c>
      <c r="G41">
        <f>SUM(G2:G24)</f>
        <v>0.37250387060862283</v>
      </c>
      <c r="H41">
        <f>SUM(H2:H24)</f>
        <v>0.21170051460978415</v>
      </c>
    </row>
    <row r="42" spans="1:8" ht="12">
      <c r="A42" s="10" t="s">
        <v>157</v>
      </c>
      <c r="F42">
        <f>COUNT(F2:F24)</f>
        <v>23</v>
      </c>
      <c r="G42">
        <f>COUNT(G2:G24)</f>
        <v>23</v>
      </c>
      <c r="H42">
        <f>COUNT(H2:H24)</f>
        <v>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Sign test data</vt:lpstr>
      <vt:lpstr>Control</vt:lpstr>
      <vt:lpstr>Experiment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Perry Radau</cp:lastModifiedBy>
  <dcterms:modified xsi:type="dcterms:W3CDTF">2016-09-26T21:04:20Z</dcterms:modified>
</cp:coreProperties>
</file>