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" sheetId="1" r:id="rId3"/>
    <sheet state="visible" name="Eterno" sheetId="2" r:id="rId4"/>
    <sheet state="visible" name="Car Evaluation" sheetId="3" r:id="rId5"/>
    <sheet state="visible" name="SUV" sheetId="4" r:id="rId6"/>
    <sheet state="visible" name="Comparision" sheetId="5" r:id="rId7"/>
    <sheet state="visible" name="Venue" sheetId="6" r:id="rId8"/>
  </sheets>
  <definedNames>
    <definedName hidden="1" localSheetId="2" name="_xlnm._FilterDatabase">'Car Evaluation'!$BL$3:$BL$45</definedName>
    <definedName hidden="1" localSheetId="4" name="_xlnm._FilterDatabase">Comparision!$A$1:$H$45</definedName>
    <definedName hidden="1" localSheetId="4" name="Z_FE63F5D4_C789_465D_8082_53BD1FC81EBE_.wvu.FilterData">Comparision!$H$3:$H$45</definedName>
    <definedName hidden="1" localSheetId="4" name="Z_836454F6_ECA2_4408_9790_239DAE2F0685_.wvu.FilterData">Comparision!$A$1:$J$45</definedName>
  </definedNames>
  <calcPr/>
  <customWorkbookViews>
    <customWorkbookView activeSheetId="0" maximized="1" windowHeight="0" windowWidth="0" guid="{836454F6-ECA2-4408-9790-239DAE2F0685}" name="Filter 2"/>
    <customWorkbookView activeSheetId="0" maximized="1" windowHeight="0" windowWidth="0" guid="{FE63F5D4-C789-465D-8082-53BD1FC81EBE}" name="Filter 1"/>
  </customWorkbookViews>
</workbook>
</file>

<file path=xl/sharedStrings.xml><?xml version="1.0" encoding="utf-8"?>
<sst xmlns="http://schemas.openxmlformats.org/spreadsheetml/2006/main" count="658" uniqueCount="392">
  <si>
    <t>Per km</t>
  </si>
  <si>
    <t>Fuel top up</t>
  </si>
  <si>
    <t>Kms</t>
  </si>
  <si>
    <t>Date of refill</t>
  </si>
  <si>
    <t>Scooty</t>
  </si>
  <si>
    <t>Odometer</t>
  </si>
  <si>
    <t>Fuel price</t>
  </si>
  <si>
    <t>Cost per km</t>
  </si>
  <si>
    <t>Petrol rate</t>
  </si>
  <si>
    <t>Per litre</t>
  </si>
  <si>
    <t>Service TVS - Oil change</t>
  </si>
  <si>
    <t>Service TVS</t>
  </si>
  <si>
    <t>Sep 6, 2018 Service, oil change, Yamalube</t>
  </si>
  <si>
    <t>PARCEL</t>
  </si>
  <si>
    <t>Service TVS - Oil change - Motul</t>
  </si>
  <si>
    <t>AUTO</t>
  </si>
  <si>
    <t>AUTO2</t>
  </si>
  <si>
    <t>DTDC</t>
  </si>
  <si>
    <t>DTDC2</t>
  </si>
  <si>
    <t>35430 repair</t>
  </si>
  <si>
    <t>Nov 11, 2018 oil top up  Shell</t>
  </si>
  <si>
    <t>15/12/2018 Raj Yamaha Service</t>
  </si>
  <si>
    <t>Indian Oil</t>
  </si>
  <si>
    <t>76/litre</t>
  </si>
  <si>
    <t>Bharat</t>
  </si>
  <si>
    <t>Feb 18, 2019 : : oil change, service Yamalube</t>
  </si>
  <si>
    <t>Performance good, but oil quantity decreased</t>
  </si>
  <si>
    <t>TVS service - Oil change - Castrol</t>
  </si>
  <si>
    <t>75.15/litre</t>
  </si>
  <si>
    <t>20230 Oil change</t>
  </si>
  <si>
    <t>Rail parcel</t>
  </si>
  <si>
    <t>HP</t>
  </si>
  <si>
    <t>78.28/litre</t>
  </si>
  <si>
    <t>HP Power</t>
  </si>
  <si>
    <t>850 (326 bill)</t>
  </si>
  <si>
    <t>75.17/litre</t>
  </si>
  <si>
    <t>Bharat Speed</t>
  </si>
  <si>
    <t>Oil topup Shell</t>
  </si>
  <si>
    <t>HP  Power</t>
  </si>
  <si>
    <t>Rs. 2508</t>
  </si>
  <si>
    <t>Antariksh TVS service</t>
  </si>
  <si>
    <t>Shell</t>
  </si>
  <si>
    <t>HP Lakdikapul</t>
  </si>
  <si>
    <t>Battery changed</t>
  </si>
  <si>
    <t>Front tyre changed</t>
  </si>
  <si>
    <t>Bharat speed</t>
  </si>
  <si>
    <t>Sep 4, 2019 Mettukuppam Mechanic 1280/-</t>
  </si>
  <si>
    <t>Sep 7, 2019 Engine Oil, filter changed</t>
  </si>
  <si>
    <t>Motul 20-40W</t>
  </si>
  <si>
    <t>Aug 14, 2019 Shell</t>
  </si>
  <si>
    <t>Indianoil Xtra</t>
  </si>
  <si>
    <t>MSA TVS Lakdikapul</t>
  </si>
  <si>
    <t>79.10/litre</t>
  </si>
  <si>
    <t>6.32 L</t>
  </si>
  <si>
    <t>86.73/litre</t>
  </si>
  <si>
    <t>Oct 20, 2020 Service Yamaha Khammam, oil, filter changed Rs. 609</t>
  </si>
  <si>
    <t>Yamalube</t>
  </si>
  <si>
    <t>7.5 L</t>
  </si>
  <si>
    <t>Reserve: 2.3 L</t>
  </si>
  <si>
    <t>Essar</t>
  </si>
  <si>
    <t>IndianOil</t>
  </si>
  <si>
    <t>Reliance</t>
  </si>
  <si>
    <t>avg last 2</t>
  </si>
  <si>
    <t>Trip end</t>
  </si>
  <si>
    <t>trip end</t>
  </si>
  <si>
    <t>Moutl engine oil change</t>
  </si>
  <si>
    <t>Rs. 100, mechanic charges</t>
  </si>
  <si>
    <t>Date</t>
  </si>
  <si>
    <t>Amount</t>
  </si>
  <si>
    <t>Feature/Car Model</t>
  </si>
  <si>
    <t>Kwid RXL</t>
  </si>
  <si>
    <t>Kwid RXT **</t>
  </si>
  <si>
    <t>Kwid RXT Opt #</t>
  </si>
  <si>
    <t>Kwid Climber Opt</t>
  </si>
  <si>
    <t>Altroz XM</t>
  </si>
  <si>
    <t>Altroz XT #</t>
  </si>
  <si>
    <t>Baleno Delta</t>
  </si>
  <si>
    <t>Baleno Zeta #</t>
  </si>
  <si>
    <t>Swift VXI **</t>
  </si>
  <si>
    <t>Swift ZXI #</t>
  </si>
  <si>
    <t>Swift ZXI Plus</t>
  </si>
  <si>
    <t>Grand i10 Nios Magna</t>
  </si>
  <si>
    <t>Grand i10 Nios Sportz #</t>
  </si>
  <si>
    <t>Polo Confortline Plus</t>
  </si>
  <si>
    <t>Polo Highline Plus</t>
  </si>
  <si>
    <t>Polo TSI Edition #</t>
  </si>
  <si>
    <t>i20 Elite Magna Plus **</t>
  </si>
  <si>
    <t>i20 Sportz Plus #</t>
  </si>
  <si>
    <t>Redi Go T Option **</t>
  </si>
  <si>
    <t>Redi Go 1.0 T #</t>
  </si>
  <si>
    <t>Redi Go AMT 1.0 T</t>
  </si>
  <si>
    <t>Alto VXI Plus</t>
  </si>
  <si>
    <t>Datsun Go Plus #</t>
  </si>
  <si>
    <t>Nexon XE</t>
  </si>
  <si>
    <t>Nexon XM</t>
  </si>
  <si>
    <t>Nexon XZ #</t>
  </si>
  <si>
    <t>Nexon XZ plus</t>
  </si>
  <si>
    <t>Vitara Brezza LXI **</t>
  </si>
  <si>
    <t>Vitara Brezza VXI</t>
  </si>
  <si>
    <t>Vitara Brezza ZXI #</t>
  </si>
  <si>
    <t>S-Presso VXI Plus #</t>
  </si>
  <si>
    <t>Triber RXT **</t>
  </si>
  <si>
    <t>Triber RXZ #</t>
  </si>
  <si>
    <t>Venue S</t>
  </si>
  <si>
    <t>Venue S Plus #</t>
  </si>
  <si>
    <t>Venue SX Sport iMT</t>
  </si>
  <si>
    <t>Skoda Rapid</t>
  </si>
  <si>
    <t>XUV 300 W4</t>
  </si>
  <si>
    <t>XUV 300 W8</t>
  </si>
  <si>
    <t>Kia Sonet HTE</t>
  </si>
  <si>
    <t>Kia Sonet HTK</t>
  </si>
  <si>
    <t>Kia Sonet HTK Plus</t>
  </si>
  <si>
    <t>Kia Sonet HTK Plus Turbo iMT</t>
  </si>
  <si>
    <t>Urban Cruiser Mid</t>
  </si>
  <si>
    <t>Urban Cruiser High</t>
  </si>
  <si>
    <t>Kia Seltos HTK G</t>
  </si>
  <si>
    <t>Kia Seltos HTK Plus G</t>
  </si>
  <si>
    <t>Magnite XV</t>
  </si>
  <si>
    <t>Magnite XV Premium</t>
  </si>
  <si>
    <t>Magnite XV Turbo</t>
  </si>
  <si>
    <t>Magnite XV Turbo Premium 360 camera</t>
  </si>
  <si>
    <t>EcoSport Ambiente</t>
  </si>
  <si>
    <t>EcoSport Trend</t>
  </si>
  <si>
    <t>Honda Amaze Exclusive Edition</t>
  </si>
  <si>
    <t>Kiger RXE</t>
  </si>
  <si>
    <t>Kiger RXL</t>
  </si>
  <si>
    <t>Kiger RXT</t>
  </si>
  <si>
    <t>Kiger RXL Turbo</t>
  </si>
  <si>
    <t>Kiger RXT Turbo</t>
  </si>
  <si>
    <t>Kiger RXZ (wireless AAuto)</t>
  </si>
  <si>
    <t>Tiago XZ Plus</t>
  </si>
  <si>
    <t>Comparision Magnite XV Plus vs Kiger RXT</t>
  </si>
  <si>
    <t>Template</t>
  </si>
  <si>
    <t>Ex-showroom</t>
  </si>
  <si>
    <t>4.04 L</t>
  </si>
  <si>
    <t>4.34 L</t>
  </si>
  <si>
    <t>4.63 L</t>
  </si>
  <si>
    <t>4.85 L</t>
  </si>
  <si>
    <t>6.15 L</t>
  </si>
  <si>
    <t>6.84 L</t>
  </si>
  <si>
    <t>6.44 L</t>
  </si>
  <si>
    <t>7.01 L</t>
  </si>
  <si>
    <t>6.19 L</t>
  </si>
  <si>
    <t>6.78 L</t>
  </si>
  <si>
    <t>7.58 L</t>
  </si>
  <si>
    <t>6.45 L</t>
  </si>
  <si>
    <t>6.76 L</t>
  </si>
  <si>
    <t>8.02 L</t>
  </si>
  <si>
    <t>7.89 L</t>
  </si>
  <si>
    <t>6.49 L</t>
  </si>
  <si>
    <t>7.36 L</t>
  </si>
  <si>
    <t>4.16 L</t>
  </si>
  <si>
    <t>4.44 L</t>
  </si>
  <si>
    <t>4.77 L</t>
  </si>
  <si>
    <t>3.94 L</t>
  </si>
  <si>
    <t>5.99 L</t>
  </si>
  <si>
    <t>6.94 L</t>
  </si>
  <si>
    <t>7.7 L</t>
  </si>
  <si>
    <t>8.69 L</t>
  </si>
  <si>
    <t>9.55 L</t>
  </si>
  <si>
    <t>7.34 L</t>
  </si>
  <si>
    <t>8.35 L</t>
  </si>
  <si>
    <t>9.1 L</t>
  </si>
  <si>
    <t>4.56 L</t>
  </si>
  <si>
    <t>6.35 L</t>
  </si>
  <si>
    <t>6.89 L</t>
  </si>
  <si>
    <t>7.4 L</t>
  </si>
  <si>
    <t>8.31 L</t>
  </si>
  <si>
    <t>10.2 L</t>
  </si>
  <si>
    <t>7.49 L</t>
  </si>
  <si>
    <t>7.94 L</t>
  </si>
  <si>
    <t>9.89 L</t>
  </si>
  <si>
    <t>6.71 L</t>
  </si>
  <si>
    <t>7.59 L</t>
  </si>
  <si>
    <t>8.45 L</t>
  </si>
  <si>
    <t>9.49 L</t>
  </si>
  <si>
    <t>8.4 L</t>
  </si>
  <si>
    <t>9.15 L</t>
  </si>
  <si>
    <t>9.8 L</t>
  </si>
  <si>
    <t>10.49 L</t>
  </si>
  <si>
    <t>11.59 L</t>
  </si>
  <si>
    <t>6.68 L</t>
  </si>
  <si>
    <t>7.55 L</t>
  </si>
  <si>
    <t>7.68 L</t>
  </si>
  <si>
    <t>8.19 L</t>
  </si>
  <si>
    <t>8.99 L</t>
  </si>
  <si>
    <t>8.01 L</t>
  </si>
  <si>
    <t>5.45 L</t>
  </si>
  <si>
    <t>6.14 L</t>
  </si>
  <si>
    <t>6.60 L</t>
  </si>
  <si>
    <t>7.14 L</t>
  </si>
  <si>
    <t>7.77 L</t>
  </si>
  <si>
    <t>On Road</t>
  </si>
  <si>
    <t>4.74 L</t>
  </si>
  <si>
    <t>5.08 L</t>
  </si>
  <si>
    <t>5.11 L</t>
  </si>
  <si>
    <t>5.68 L</t>
  </si>
  <si>
    <t>6.95 L</t>
  </si>
  <si>
    <t>7.70 L</t>
  </si>
  <si>
    <t>7.25 L</t>
  </si>
  <si>
    <t>7.87 L</t>
  </si>
  <si>
    <t>6.97 L</t>
  </si>
  <si>
    <t>7.62 L</t>
  </si>
  <si>
    <t>8.87 L</t>
  </si>
  <si>
    <t>7.56 L</t>
  </si>
  <si>
    <t>7.35 L</t>
  </si>
  <si>
    <t>9.51 L</t>
  </si>
  <si>
    <t>9.18 L</t>
  </si>
  <si>
    <t>8.63 L</t>
  </si>
  <si>
    <t>4.87 L</t>
  </si>
  <si>
    <t>5.19 L</t>
  </si>
  <si>
    <t>5.58 L</t>
  </si>
  <si>
    <t>7.85 L</t>
  </si>
  <si>
    <t>8.66 L</t>
  </si>
  <si>
    <t>9.75 L</t>
  </si>
  <si>
    <t>10.62 L</t>
  </si>
  <si>
    <t>8.24 L</t>
  </si>
  <si>
    <t>9.35 L</t>
  </si>
  <si>
    <t>10.18 L</t>
  </si>
  <si>
    <t>5.34 L</t>
  </si>
  <si>
    <t>8.03 L</t>
  </si>
  <si>
    <t>9.73 L</t>
  </si>
  <si>
    <t>12.13 L</t>
  </si>
  <si>
    <t>8.97 L</t>
  </si>
  <si>
    <t>11.1 L</t>
  </si>
  <si>
    <t>7.54 L</t>
  </si>
  <si>
    <t>8.51 L</t>
  </si>
  <si>
    <t>9.46 L</t>
  </si>
  <si>
    <t>10.56 L</t>
  </si>
  <si>
    <t>9.41 L</t>
  </si>
  <si>
    <t>10.24 L</t>
  </si>
  <si>
    <t>10.96 L</t>
  </si>
  <si>
    <t>12.11 L</t>
  </si>
  <si>
    <t>13.37 L</t>
  </si>
  <si>
    <t>7.45 L</t>
  </si>
  <si>
    <t>8.41 L</t>
  </si>
  <si>
    <t>8.58 L</t>
  </si>
  <si>
    <t>9.45 L</t>
  </si>
  <si>
    <t>10.06 L</t>
  </si>
  <si>
    <t>8.98 L</t>
  </si>
  <si>
    <t>ABS</t>
  </si>
  <si>
    <t>Air Bags</t>
  </si>
  <si>
    <t>Air Conditioner</t>
  </si>
  <si>
    <t>AndroidAuto - AppleCarPlay</t>
  </si>
  <si>
    <t>Automatic Climate Control</t>
  </si>
  <si>
    <t>Bluetooth</t>
  </si>
  <si>
    <t>Bootspace</t>
  </si>
  <si>
    <t>Central Locking</t>
  </si>
  <si>
    <t>Cruise Control</t>
  </si>
  <si>
    <t>Cylinders</t>
  </si>
  <si>
    <t>Drive Modes</t>
  </si>
  <si>
    <t>Drive Type</t>
  </si>
  <si>
    <t>FWD</t>
  </si>
  <si>
    <t>2WD</t>
  </si>
  <si>
    <t>DRLs</t>
  </si>
  <si>
    <t>Engine</t>
  </si>
  <si>
    <t>799 cc</t>
  </si>
  <si>
    <t>999 cc</t>
  </si>
  <si>
    <t>1000 cc</t>
  </si>
  <si>
    <t>Fog Lamps</t>
  </si>
  <si>
    <t>FollowMe Home Lamps</t>
  </si>
  <si>
    <t>Gears</t>
  </si>
  <si>
    <t>HeadRest Adjustable</t>
  </si>
  <si>
    <t>Hill Assist</t>
  </si>
  <si>
    <t>Keyless Entry</t>
  </si>
  <si>
    <t>LED HeadLights</t>
  </si>
  <si>
    <t>LED Tails</t>
  </si>
  <si>
    <t>Mileage</t>
  </si>
  <si>
    <t>21.21 kmpl</t>
  </si>
  <si>
    <t>MT/AMT</t>
  </si>
  <si>
    <t>MT</t>
  </si>
  <si>
    <t>AMT</t>
  </si>
  <si>
    <t>iMT</t>
  </si>
  <si>
    <t>Navigation</t>
  </si>
  <si>
    <t>Power Steering</t>
  </si>
  <si>
    <t>Power Windows Front</t>
  </si>
  <si>
    <t>Power Windows Rear</t>
  </si>
  <si>
    <t>Projector Headlamps</t>
  </si>
  <si>
    <t>Rain Sensing Wipers</t>
  </si>
  <si>
    <t>Rear AC vents</t>
  </si>
  <si>
    <t>Rear Camera</t>
  </si>
  <si>
    <t>Rear Defogger</t>
  </si>
  <si>
    <t>Rear Washer</t>
  </si>
  <si>
    <t>Rear Wiper</t>
  </si>
  <si>
    <t>Roof Rail</t>
  </si>
  <si>
    <t>Speakers Front</t>
  </si>
  <si>
    <t>Speakers Rear</t>
  </si>
  <si>
    <t>Sun Roof</t>
  </si>
  <si>
    <t>Touch Screen</t>
  </si>
  <si>
    <t>Turbo Charger</t>
  </si>
  <si>
    <t>USB/Aux</t>
  </si>
  <si>
    <t>**: Value for money</t>
  </si>
  <si>
    <t>most features in less price</t>
  </si>
  <si>
    <t>#: Best Buy</t>
  </si>
  <si>
    <t>with hightest supported features: android auto + Navigation</t>
  </si>
  <si>
    <t>HDFC</t>
  </si>
  <si>
    <t>Booked on</t>
  </si>
  <si>
    <t>Days</t>
  </si>
  <si>
    <t>Magnite XV Plus vs Kiger RXT</t>
  </si>
  <si>
    <t>Magnite XV vs XV Premium</t>
  </si>
  <si>
    <t>Tiago XZ plus vs Magnite XV Premium</t>
  </si>
  <si>
    <t>Magnite XV Turbo vs XV</t>
  </si>
  <si>
    <t>Magnite XV Turbo vs Magnite XV Premium</t>
  </si>
  <si>
    <t>XV Premium</t>
  </si>
  <si>
    <t>Bi-Projector LED Headlamps + LED Lightsaber Style</t>
  </si>
  <si>
    <t>Around view monitor</t>
  </si>
  <si>
    <t>Tire Pressure Monitor System</t>
  </si>
  <si>
    <t>Front Arm Rest</t>
  </si>
  <si>
    <t>Premium embossed black fabric with synthetic leather accent</t>
  </si>
  <si>
    <t>Online</t>
  </si>
  <si>
    <t>Showroom</t>
  </si>
  <si>
    <t>Toll rates</t>
  </si>
  <si>
    <t>Wash</t>
  </si>
  <si>
    <t>Cost</t>
  </si>
  <si>
    <t>Korlapahad</t>
  </si>
  <si>
    <t>NMC</t>
  </si>
  <si>
    <t>Life tax</t>
  </si>
  <si>
    <t>Singarenipalli</t>
  </si>
  <si>
    <t>RTO</t>
  </si>
  <si>
    <t>Kothagudem, Maripeda</t>
  </si>
  <si>
    <t>Insurance</t>
  </si>
  <si>
    <t>Pantangi</t>
  </si>
  <si>
    <t>SP Wheels</t>
  </si>
  <si>
    <t>Hypothecation</t>
  </si>
  <si>
    <t>Shamshabad</t>
  </si>
  <si>
    <t>PR charges</t>
  </si>
  <si>
    <t>Chillakallu</t>
  </si>
  <si>
    <t>Handling charges</t>
  </si>
  <si>
    <t>Pynampalli, Kodad</t>
  </si>
  <si>
    <t>Essential Kit</t>
  </si>
  <si>
    <t>Keesara</t>
  </si>
  <si>
    <t>4 Wheels</t>
  </si>
  <si>
    <t>4th yr insurance</t>
  </si>
  <si>
    <t>Nanakramguda</t>
  </si>
  <si>
    <t>4 wheels</t>
  </si>
  <si>
    <t>Alignment: 400</t>
  </si>
  <si>
    <t>Hyd - Kmm</t>
  </si>
  <si>
    <t>showroom suggested for wheel replacment</t>
  </si>
  <si>
    <t>Same component comparision</t>
  </si>
  <si>
    <t>Hyd - Kmm ORR</t>
  </si>
  <si>
    <t>only underbody</t>
  </si>
  <si>
    <t>Hyd - Vij</t>
  </si>
  <si>
    <t>Hyd - Vij ORR</t>
  </si>
  <si>
    <t>Kmm - Vij</t>
  </si>
  <si>
    <t>Column 1</t>
  </si>
  <si>
    <t>Column 2</t>
  </si>
  <si>
    <t>Rs.</t>
  </si>
  <si>
    <t>Column 3</t>
  </si>
  <si>
    <t>Kmm - Chillakallu -Vij</t>
  </si>
  <si>
    <t>Aug 17, 2024 - Aug 16, 2025</t>
  </si>
  <si>
    <t>Avg. so far</t>
  </si>
  <si>
    <t>Service</t>
  </si>
  <si>
    <t>0W -20 (Hyundai recommended)</t>
  </si>
  <si>
    <t>Price</t>
  </si>
  <si>
    <t>Center</t>
  </si>
  <si>
    <t>Engine Oil</t>
  </si>
  <si>
    <t>Free</t>
  </si>
  <si>
    <t>Bharat Hyundai, Khammam</t>
  </si>
  <si>
    <t>Shell Helix HX8 0W-20</t>
  </si>
  <si>
    <t>Bharat Hyundai, Abids</t>
  </si>
  <si>
    <t>Lakshmi Hyundai, Yusufguda, Hyderabad</t>
  </si>
  <si>
    <t>Feb 4 - 5 Khammam</t>
  </si>
  <si>
    <t>Apr 27 - May 1 Khammam</t>
  </si>
  <si>
    <t>June 28 - July 2 Khammam</t>
  </si>
  <si>
    <t>July 23 Vijayawada round</t>
  </si>
  <si>
    <t>Aug 7, 2023 2nd service</t>
  </si>
  <si>
    <t>Sep 1 - 3 Eluru -  Khammam</t>
  </si>
  <si>
    <t>Oct 28, OBD reset by SC</t>
  </si>
  <si>
    <t>Coolant shuffle</t>
  </si>
  <si>
    <t>X95</t>
  </si>
  <si>
    <t>Avg. Mileage</t>
  </si>
  <si>
    <t>Apr 6, fuel motor pump replacement, Kmm BH</t>
  </si>
  <si>
    <t>Madapur</t>
  </si>
  <si>
    <t>Narketpally</t>
  </si>
  <si>
    <t>Shaikpet</t>
  </si>
  <si>
    <t>3rd servie Jul 26, 2024</t>
  </si>
  <si>
    <t>Indian  Oil</t>
  </si>
  <si>
    <t>Raidurg</t>
  </si>
  <si>
    <t>Kamepally</t>
  </si>
  <si>
    <t>Road No. 12</t>
  </si>
  <si>
    <t>Madapur Road No. 36</t>
  </si>
  <si>
    <t>Khammam</t>
  </si>
  <si>
    <t>Indian Oil X95</t>
  </si>
  <si>
    <t>Nizampet</t>
  </si>
  <si>
    <t>Bajara hills Rd 10</t>
  </si>
  <si>
    <t>Kavuri Hills</t>
  </si>
  <si>
    <t>Panthangi</t>
  </si>
  <si>
    <t>Banjara hills</t>
  </si>
  <si>
    <t>Pedda Amberpet</t>
  </si>
  <si>
    <t>Suryapet</t>
  </si>
  <si>
    <t>4th yr service Jul 6, 2025</t>
  </si>
  <si>
    <t>Lakshmi Hyundai, Yusufguda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</si>
</sst>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m d"/>
    <numFmt numFmtId="165" formatCode="mmmm d"/>
    <numFmt numFmtId="166" formatCode="mmm d, yyyy"/>
    <numFmt numFmtId="167" formatCode="mmmm d, yyyy"/>
    <numFmt numFmtId="168" formatCode="mmm d,yyyy"/>
    <numFmt numFmtId="169" formatCode="mmm dd, yyyy"/>
    <numFmt numFmtId="170" formatCode="mmm dd,yyyy"/>
    <numFmt numFmtId="171" formatCode="mmm d yyyy"/>
    <numFmt numFmtId="172" formatCode="dd/MM/yyyy"/>
  </numFmts>
  <fonts count="28">
    <font>
      <sz val="10.0"/>
      <color rgb="FF000000"/>
      <name val="Arial"/>
    </font>
    <font/>
    <font>
      <b/>
    </font>
    <font>
      <b/>
      <sz val="11.0"/>
    </font>
    <font>
      <color rgb="FF000000"/>
      <name val="'Arial'"/>
    </font>
    <font>
      <name val="Impact"/>
    </font>
    <font>
      <sz val="11.0"/>
      <color rgb="FF7E3794"/>
    </font>
    <font>
      <sz val="11.0"/>
      <color rgb="FF434343"/>
    </font>
    <font>
      <sz val="11.0"/>
      <color rgb="FF11A9CC"/>
    </font>
    <font>
      <sz val="11.0"/>
      <color rgb="FF9900FF"/>
    </font>
    <font>
      <color rgb="FF9900FF"/>
    </font>
    <font>
      <sz val="11.0"/>
      <color rgb="FF000000"/>
    </font>
    <font>
      <b/>
      <name val="Impact"/>
    </font>
    <font>
      <sz val="9.0"/>
      <color rgb="FF7B828B"/>
      <name val="&quot;Amazon Ember&quot;"/>
    </font>
    <font>
      <b/>
      <name val="Montserrat"/>
    </font>
    <font>
      <b/>
      <name val="Arial"/>
    </font>
    <font>
      <name val="Arial"/>
    </font>
    <font>
      <b/>
      <sz val="11.0"/>
      <color rgb="FF000000"/>
      <name val="Inconsolata"/>
    </font>
    <font>
      <color rgb="FF000000"/>
      <name val="&quot;Nissan Light&quot;"/>
    </font>
    <font>
      <color rgb="FF000000"/>
      <name val="Arial"/>
    </font>
    <font>
      <color rgb="FFFFFFFF"/>
      <name val="Roboto"/>
    </font>
    <font>
      <b/>
      <color rgb="FFFFFFFF"/>
      <name val="Roboto"/>
    </font>
    <font>
      <color rgb="FF434343"/>
      <name val="Roboto"/>
    </font>
    <font>
      <b/>
      <sz val="12.0"/>
    </font>
    <font>
      <color rgb="FF000000"/>
      <name val="&quot;Arial&quot;"/>
    </font>
    <font>
      <sz val="9.0"/>
      <color rgb="FFFF0000"/>
    </font>
    <font>
      <color rgb="FFFF0000"/>
    </font>
    <font>
      <sz val="9.0"/>
      <color rgb="FFA61D4C"/>
    </font>
  </fonts>
  <fills count="4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9900FF"/>
        <bgColor rgb="FF9900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7F6000"/>
        <bgColor rgb="FF7F6000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783F04"/>
        <bgColor rgb="FF783F04"/>
      </patternFill>
    </fill>
    <fill>
      <patternFill patternType="solid">
        <fgColor rgb="FF4A86E8"/>
        <bgColor rgb="FF4A86E8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6" numFmtId="0" xfId="0" applyFont="1"/>
    <xf borderId="0" fillId="7" fontId="1" numFmtId="0" xfId="0" applyAlignment="1" applyFill="1" applyFont="1">
      <alignment horizontal="center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8" fontId="7" numFmtId="0" xfId="0" applyAlignment="1" applyFill="1" applyFont="1">
      <alignment horizontal="center" shrinkToFit="0" vertical="center" wrapText="1"/>
    </xf>
    <xf borderId="0" fillId="9" fontId="8" numFmtId="0" xfId="0" applyAlignment="1" applyFill="1" applyFont="1">
      <alignment horizontal="center" shrinkToFit="0" vertical="center" wrapText="1"/>
    </xf>
    <xf borderId="0" fillId="9" fontId="1" numFmtId="0" xfId="0" applyAlignment="1" applyFont="1">
      <alignment horizontal="center" readingOrder="0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2" fillId="10" fontId="1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4" fillId="10" fontId="1" numFmtId="0" xfId="0" applyAlignment="1" applyBorder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5" fillId="10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ont="1">
      <alignment horizontal="center" shrinkToFit="0" vertical="center" wrapText="1"/>
    </xf>
    <xf borderId="0" fillId="11" fontId="8" numFmtId="0" xfId="0" applyAlignment="1" applyFill="1" applyFont="1">
      <alignment horizontal="center" shrinkToFit="0" vertical="center" wrapText="1"/>
    </xf>
    <xf borderId="0" fillId="11" fontId="1" numFmtId="0" xfId="0" applyAlignment="1" applyFont="1">
      <alignment horizontal="center" readingOrder="0" shrinkToFit="0" vertical="center" wrapText="1"/>
    </xf>
    <xf borderId="0" fillId="12" fontId="9" numFmtId="0" xfId="0" applyAlignment="1" applyFill="1" applyFont="1">
      <alignment horizontal="center" shrinkToFit="0" vertical="center" wrapText="1"/>
    </xf>
    <xf borderId="0" fillId="12" fontId="10" numFmtId="0" xfId="0" applyAlignment="1" applyFont="1">
      <alignment horizontal="center" readingOrder="0" shrinkToFit="0" vertical="center" wrapText="1"/>
    </xf>
    <xf borderId="0" fillId="0" fontId="11" numFmtId="0" xfId="0" applyFont="1"/>
    <xf borderId="0" fillId="0" fontId="8" numFmtId="0" xfId="0" applyFont="1"/>
    <xf borderId="0" fillId="13" fontId="1" numFmtId="0" xfId="0" applyAlignment="1" applyFill="1" applyFont="1">
      <alignment horizontal="center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8" fontId="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0" fontId="1" numFmtId="168" xfId="0" applyAlignment="1" applyFont="1" applyNumberFormat="1">
      <alignment horizontal="center" readingOrder="0" shrinkToFit="0" vertical="center" wrapText="1"/>
    </xf>
    <xf borderId="0" fillId="14" fontId="13" numFmtId="0" xfId="0" applyAlignment="1" applyFill="1" applyFont="1">
      <alignment shrinkToFit="0" wrapText="0"/>
    </xf>
    <xf borderId="0" fillId="0" fontId="1" numFmtId="16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6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0" fillId="3" fontId="14" numFmtId="0" xfId="0" applyAlignment="1" applyFont="1">
      <alignment readingOrder="0" vertical="center"/>
    </xf>
    <xf borderId="0" fillId="15" fontId="14" numFmtId="0" xfId="0" applyAlignment="1" applyFill="1" applyFont="1">
      <alignment horizontal="center" readingOrder="0" vertical="center"/>
    </xf>
    <xf borderId="0" fillId="4" fontId="14" numFmtId="0" xfId="0" applyAlignment="1" applyFont="1">
      <alignment horizontal="center" readingOrder="0" vertical="center"/>
    </xf>
    <xf borderId="0" fillId="15" fontId="2" numFmtId="0" xfId="0" applyAlignment="1" applyFont="1">
      <alignment horizontal="center" readingOrder="0" vertical="center"/>
    </xf>
    <xf borderId="0" fillId="11" fontId="2" numFmtId="0" xfId="0" applyAlignment="1" applyFont="1">
      <alignment horizontal="center" readingOrder="0" vertical="center"/>
    </xf>
    <xf borderId="0" fillId="16" fontId="2" numFmtId="0" xfId="0" applyAlignment="1" applyFill="1" applyFont="1">
      <alignment horizontal="center" readingOrder="0" vertical="center"/>
    </xf>
    <xf borderId="0" fillId="17" fontId="2" numFmtId="0" xfId="0" applyAlignment="1" applyFill="1" applyFont="1">
      <alignment horizontal="center" readingOrder="0" vertical="center"/>
    </xf>
    <xf borderId="0" fillId="18" fontId="2" numFmtId="0" xfId="0" applyAlignment="1" applyFill="1" applyFont="1">
      <alignment horizontal="center" readingOrder="0" vertical="center"/>
    </xf>
    <xf borderId="0" fillId="19" fontId="2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left" readingOrder="0" vertical="center"/>
    </xf>
    <xf borderId="0" fillId="20" fontId="2" numFmtId="0" xfId="0" applyAlignment="1" applyFill="1" applyFont="1">
      <alignment horizontal="left" readingOrder="0" vertical="center"/>
    </xf>
    <xf borderId="0" fillId="21" fontId="15" numFmtId="0" xfId="0" applyAlignment="1" applyFill="1" applyFont="1">
      <alignment horizontal="center"/>
    </xf>
    <xf borderId="0" fillId="22" fontId="15" numFmtId="0" xfId="0" applyAlignment="1" applyFill="1" applyFont="1">
      <alignment horizontal="center"/>
    </xf>
    <xf borderId="0" fillId="11" fontId="15" numFmtId="0" xfId="0" applyAlignment="1" applyFont="1">
      <alignment horizontal="center"/>
    </xf>
    <xf borderId="0" fillId="9" fontId="15" numFmtId="0" xfId="0" applyAlignment="1" applyFont="1">
      <alignment horizontal="center" vertical="bottom"/>
    </xf>
    <xf borderId="0" fillId="23" fontId="15" numFmtId="0" xfId="0" applyAlignment="1" applyFill="1" applyFont="1">
      <alignment horizontal="center" vertical="bottom"/>
    </xf>
    <xf borderId="0" fillId="12" fontId="15" numFmtId="0" xfId="0" applyAlignment="1" applyFont="1">
      <alignment horizontal="center" vertical="bottom"/>
    </xf>
    <xf borderId="0" fillId="24" fontId="15" numFmtId="0" xfId="0" applyAlignment="1" applyFill="1" applyFont="1">
      <alignment horizontal="center"/>
    </xf>
    <xf borderId="0" fillId="23" fontId="2" numFmtId="0" xfId="0" applyAlignment="1" applyFont="1">
      <alignment horizontal="center" readingOrder="0" vertical="center"/>
    </xf>
    <xf borderId="0" fillId="9" fontId="2" numFmtId="0" xfId="0" applyAlignment="1" applyFont="1">
      <alignment horizontal="center" readingOrder="0" vertical="center"/>
    </xf>
    <xf borderId="0" fillId="25" fontId="2" numFmtId="0" xfId="0" applyAlignment="1" applyFill="1" applyFont="1">
      <alignment horizontal="center" readingOrder="0" vertical="center"/>
    </xf>
    <xf borderId="0" fillId="12" fontId="2" numFmtId="0" xfId="0" applyAlignment="1" applyFont="1">
      <alignment horizontal="center" readingOrder="0" vertical="center"/>
    </xf>
    <xf borderId="0" fillId="26" fontId="2" numFmtId="0" xfId="0" applyAlignment="1" applyFill="1" applyFont="1">
      <alignment horizontal="center" readingOrder="0" vertical="center"/>
    </xf>
    <xf borderId="0" fillId="27" fontId="2" numFmtId="0" xfId="0" applyAlignment="1" applyFill="1" applyFont="1">
      <alignment horizontal="center" readingOrder="0" vertical="center"/>
    </xf>
    <xf borderId="0" fillId="12" fontId="2" numFmtId="0" xfId="0" applyAlignment="1" applyFont="1">
      <alignment horizontal="center" readingOrder="0" shrinkToFit="0" vertical="center" wrapText="1"/>
    </xf>
    <xf borderId="0" fillId="25" fontId="2" numFmtId="0" xfId="0" applyAlignment="1" applyFont="1">
      <alignment horizontal="center" readingOrder="0" shrinkToFit="0" vertical="center" wrapText="1"/>
    </xf>
    <xf borderId="0" fillId="28" fontId="2" numFmtId="0" xfId="0" applyAlignment="1" applyFill="1" applyFont="1">
      <alignment horizontal="center" readingOrder="0" vertical="center"/>
    </xf>
    <xf borderId="0" fillId="29" fontId="2" numFmtId="0" xfId="0" applyAlignment="1" applyFill="1" applyFont="1">
      <alignment horizontal="center" readingOrder="0" vertical="center"/>
    </xf>
    <xf borderId="0" fillId="15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30" fontId="2" numFmtId="0" xfId="0" applyAlignment="1" applyFill="1" applyFont="1">
      <alignment horizontal="center" readingOrder="0" shrinkToFit="0" vertical="center" wrapText="1"/>
    </xf>
    <xf borderId="0" fillId="31" fontId="2" numFmtId="0" xfId="0" applyAlignment="1" applyFill="1" applyFont="1">
      <alignment horizontal="center" readingOrder="0" shrinkToFit="0" vertical="center" wrapText="1"/>
    </xf>
    <xf borderId="0" fillId="32" fontId="2" numFmtId="0" xfId="0" applyAlignment="1" applyFill="1" applyFont="1">
      <alignment horizontal="center" readingOrder="0" shrinkToFit="0" vertical="center" wrapText="1"/>
    </xf>
    <xf borderId="0" fillId="11" fontId="2" numFmtId="0" xfId="0" applyAlignment="1" applyFont="1">
      <alignment horizontal="center" readingOrder="0" shrinkToFit="0" vertical="center" wrapText="1"/>
    </xf>
    <xf borderId="0" fillId="24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center" readingOrder="0" vertical="center"/>
    </xf>
    <xf borderId="0" fillId="20" fontId="2" numFmtId="0" xfId="0" applyAlignment="1" applyFont="1">
      <alignment horizontal="center" readingOrder="0" vertical="center"/>
    </xf>
    <xf borderId="0" fillId="9" fontId="15" numFmtId="0" xfId="0" applyAlignment="1" applyFont="1">
      <alignment horizontal="center"/>
    </xf>
    <xf borderId="0" fillId="23" fontId="15" numFmtId="0" xfId="0" applyAlignment="1" applyFont="1">
      <alignment horizontal="center"/>
    </xf>
    <xf borderId="0" fillId="32" fontId="2" numFmtId="0" xfId="0" applyAlignment="1" applyFont="1">
      <alignment horizontal="center" readingOrder="0" vertical="center"/>
    </xf>
    <xf borderId="0" fillId="16" fontId="2" numFmtId="0" xfId="0" applyAlignment="1" applyFont="1">
      <alignment horizontal="center" readingOrder="0" shrinkToFit="0" vertical="center" wrapText="1"/>
    </xf>
    <xf borderId="0" fillId="24" fontId="2" numFmtId="0" xfId="0" applyAlignment="1" applyFont="1">
      <alignment horizontal="center" readingOrder="0" shrinkToFit="0" vertical="center" wrapText="1"/>
    </xf>
    <xf borderId="0" fillId="14" fontId="2" numFmtId="0" xfId="0" applyAlignment="1" applyFont="1">
      <alignment horizontal="center" readingOrder="0" shrinkToFit="0" vertical="center" wrapText="1"/>
    </xf>
    <xf borderId="0" fillId="14" fontId="2" numFmtId="0" xfId="0" applyAlignment="1" applyFont="1">
      <alignment readingOrder="0" vertical="center"/>
    </xf>
    <xf borderId="0" fillId="0" fontId="16" numFmtId="0" xfId="0" applyFont="1"/>
    <xf borderId="0" fillId="33" fontId="2" numFmtId="0" xfId="0" applyAlignment="1" applyFill="1" applyFont="1">
      <alignment readingOrder="0" vertical="center"/>
    </xf>
    <xf borderId="0" fillId="33" fontId="1" numFmtId="0" xfId="0" applyAlignment="1" applyFont="1">
      <alignment horizontal="center" readingOrder="0" vertical="center"/>
    </xf>
    <xf borderId="0" fillId="33" fontId="16" numFmtId="0" xfId="0" applyAlignment="1" applyFont="1">
      <alignment horizontal="center"/>
    </xf>
    <xf borderId="0" fillId="33" fontId="1" numFmtId="0" xfId="0" applyAlignment="1" applyFont="1">
      <alignment horizontal="center" vertical="center"/>
    </xf>
    <xf borderId="0" fillId="33" fontId="2" numFmtId="0" xfId="0" applyAlignment="1" applyFont="1">
      <alignment horizontal="center" readingOrder="0" vertical="center"/>
    </xf>
    <xf borderId="0" fillId="33" fontId="16" numFmtId="0" xfId="0" applyFont="1"/>
    <xf borderId="0" fillId="33" fontId="16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6" numFmtId="0" xfId="0" applyFont="1"/>
    <xf borderId="0" fillId="33" fontId="2" numFmtId="0" xfId="0" applyAlignment="1" applyFont="1">
      <alignment horizontal="center" vertical="center"/>
    </xf>
    <xf borderId="0" fillId="14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33" fontId="1" numFmtId="0" xfId="0" applyAlignment="1" applyFont="1">
      <alignment horizontal="center" readingOrder="0" vertical="center"/>
    </xf>
    <xf borderId="0" fillId="33" fontId="16" numFmtId="0" xfId="0" applyFont="1"/>
    <xf borderId="0" fillId="14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/>
    </xf>
    <xf borderId="0" fillId="33" fontId="2" numFmtId="0" xfId="0" applyAlignment="1" applyFont="1">
      <alignment readingOrder="0"/>
    </xf>
    <xf borderId="0" fillId="14" fontId="2" numFmtId="0" xfId="0" applyAlignment="1" applyFont="1">
      <alignment horizontal="center" readingOrder="0" vertical="center"/>
    </xf>
    <xf borderId="0" fillId="14" fontId="1" numFmtId="0" xfId="0" applyAlignment="1" applyFont="1">
      <alignment horizontal="center" vertical="center"/>
    </xf>
    <xf borderId="0" fillId="14" fontId="16" numFmtId="0" xfId="0" applyAlignment="1" applyFont="1">
      <alignment horizontal="center"/>
    </xf>
    <xf borderId="7" fillId="0" fontId="2" numFmtId="0" xfId="0" applyAlignment="1" applyBorder="1" applyFont="1">
      <alignment horizontal="center" readingOrder="0" vertic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34" fontId="2" numFmtId="0" xfId="0" applyAlignment="1" applyFill="1" applyFont="1">
      <alignment horizontal="center" shrinkToFit="0" vertical="center" wrapText="1"/>
    </xf>
    <xf borderId="0" fillId="7" fontId="2" numFmtId="0" xfId="0" applyAlignment="1" applyFont="1">
      <alignment horizontal="center" shrinkToFit="0" vertical="center" wrapText="1"/>
    </xf>
    <xf borderId="0" fillId="35" fontId="2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6" fontId="2" numFmtId="0" xfId="0" applyAlignment="1" applyFill="1" applyFont="1">
      <alignment horizontal="center" shrinkToFit="0" vertical="center" wrapText="1"/>
    </xf>
    <xf borderId="0" fillId="37" fontId="3" numFmtId="0" xfId="0" applyAlignment="1" applyFill="1" applyFont="1">
      <alignment horizontal="center" shrinkToFit="0" vertical="center" wrapText="1"/>
    </xf>
    <xf borderId="0" fillId="38" fontId="3" numFmtId="0" xfId="0" applyAlignment="1" applyFill="1" applyFont="1">
      <alignment horizontal="center" shrinkToFit="0" vertical="center" wrapText="1"/>
    </xf>
    <xf borderId="0" fillId="22" fontId="3" numFmtId="0" xfId="0" applyAlignment="1" applyFont="1">
      <alignment horizontal="center" shrinkToFit="0" vertical="center" wrapText="1"/>
    </xf>
    <xf borderId="0" fillId="39" fontId="3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37" fontId="2" numFmtId="0" xfId="0" applyAlignment="1" applyFont="1">
      <alignment horizontal="center" shrinkToFit="0" vertical="center" wrapText="1"/>
    </xf>
    <xf borderId="0" fillId="38" fontId="2" numFmtId="0" xfId="0" applyAlignment="1" applyFont="1">
      <alignment horizontal="center" shrinkToFit="0" vertical="center" wrapText="1"/>
    </xf>
    <xf borderId="0" fillId="22" fontId="2" numFmtId="0" xfId="0" applyAlignment="1" applyFont="1">
      <alignment horizontal="center"/>
    </xf>
    <xf borderId="0" fillId="39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0" fontId="1" numFmtId="0" xfId="0" applyAlignment="1" applyFill="1" applyFont="1">
      <alignment horizontal="center" shrinkToFit="0" vertical="center" wrapText="1"/>
    </xf>
    <xf borderId="0" fillId="25" fontId="1" numFmtId="0" xfId="0" applyAlignment="1" applyFont="1">
      <alignment horizontal="center" shrinkToFit="0" vertical="center" wrapText="1"/>
    </xf>
    <xf borderId="0" fillId="12" fontId="1" numFmtId="0" xfId="0" applyAlignment="1" applyFont="1">
      <alignment horizontal="center" shrinkToFit="0" vertical="center" wrapText="1"/>
    </xf>
    <xf borderId="0" fillId="15" fontId="1" numFmtId="0" xfId="0" applyAlignment="1" applyFont="1">
      <alignment horizontal="center" shrinkToFit="0" vertical="center" wrapText="1"/>
    </xf>
    <xf borderId="0" fillId="23" fontId="1" numFmtId="0" xfId="0" applyAlignment="1" applyFont="1">
      <alignment horizontal="center" shrinkToFit="0" vertical="center" wrapText="1"/>
    </xf>
    <xf borderId="0" fillId="18" fontId="1" numFmtId="0" xfId="0" applyAlignment="1" applyFont="1">
      <alignment horizontal="center" shrinkToFit="0" vertical="center" wrapText="1"/>
    </xf>
    <xf borderId="0" fillId="21" fontId="1" numFmtId="0" xfId="0" applyAlignment="1" applyFont="1">
      <alignment horizontal="center"/>
    </xf>
    <xf borderId="0" fillId="41" fontId="1" numFmtId="0" xfId="0" applyAlignment="1" applyFill="1" applyFont="1">
      <alignment horizontal="center"/>
    </xf>
    <xf borderId="0" fillId="12" fontId="1" numFmtId="0" xfId="0" applyAlignment="1" applyFont="1">
      <alignment horizontal="center" vertical="center"/>
    </xf>
    <xf borderId="0" fillId="10" fontId="17" numFmtId="0" xfId="0" applyFont="1"/>
    <xf borderId="0" fillId="42" fontId="3" numFmtId="0" xfId="0" applyAlignment="1" applyFill="1" applyFont="1">
      <alignment shrinkToFit="0" wrapText="1"/>
    </xf>
    <xf borderId="0" fillId="42" fontId="2" numFmtId="0" xfId="0" applyAlignment="1" applyFont="1">
      <alignment shrinkToFit="0" wrapText="1"/>
    </xf>
    <xf borderId="0" fillId="42" fontId="2" numFmtId="0" xfId="0" applyFont="1"/>
    <xf borderId="0" fillId="32" fontId="2" numFmtId="0" xfId="0" applyFont="1"/>
    <xf borderId="0" fillId="24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10" fontId="2" numFmtId="0" xfId="0" applyFont="1"/>
    <xf borderId="0" fillId="24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readingOrder="0" shrinkToFit="0" wrapText="1"/>
    </xf>
    <xf borderId="0" fillId="14" fontId="18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14" fontId="19" numFmtId="0" xfId="0" applyAlignment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0" fillId="0" fontId="1" numFmtId="171" xfId="0" applyAlignment="1" applyFont="1" applyNumberFormat="1">
      <alignment horizontal="center" readingOrder="0" vertical="center"/>
    </xf>
    <xf borderId="8" fillId="0" fontId="20" numFmtId="0" xfId="0" applyAlignment="1" applyBorder="1" applyFont="1">
      <alignment horizontal="center" readingOrder="0" shrinkToFit="0" vertical="center" wrapText="0"/>
    </xf>
    <xf borderId="9" fillId="0" fontId="20" numFmtId="0" xfId="0" applyAlignment="1" applyBorder="1" applyFont="1">
      <alignment horizontal="center" readingOrder="0" shrinkToFit="0" vertical="center" wrapText="0"/>
    </xf>
    <xf borderId="9" fillId="0" fontId="21" numFmtId="0" xfId="0" applyAlignment="1" applyBorder="1" applyFont="1">
      <alignment horizontal="center" readingOrder="0" shrinkToFit="0" vertical="center" wrapText="0"/>
    </xf>
    <xf borderId="10" fillId="0" fontId="20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11" fillId="0" fontId="22" numFmtId="0" xfId="0" applyAlignment="1" applyBorder="1" applyFont="1">
      <alignment horizontal="center" shrinkToFit="0" vertical="center" wrapText="0"/>
    </xf>
    <xf borderId="12" fillId="0" fontId="22" numFmtId="166" xfId="0" applyAlignment="1" applyBorder="1" applyFont="1" applyNumberFormat="1">
      <alignment horizontal="center" readingOrder="0" shrinkToFit="0" vertical="center" wrapText="0"/>
    </xf>
    <xf borderId="12" fillId="0" fontId="22" numFmtId="0" xfId="0" applyAlignment="1" applyBorder="1" applyFont="1">
      <alignment horizontal="center" readingOrder="0" shrinkToFit="0" vertical="center" wrapText="0"/>
    </xf>
    <xf borderId="12" fillId="0" fontId="22" numFmtId="0" xfId="0" applyAlignment="1" applyBorder="1" applyFont="1">
      <alignment horizontal="center" shrinkToFit="0" vertical="center" wrapText="0"/>
    </xf>
    <xf borderId="13" fillId="0" fontId="22" numFmtId="0" xfId="0" applyAlignment="1" applyBorder="1" applyFont="1">
      <alignment horizontal="center" shrinkToFit="0" vertical="center" wrapText="0"/>
    </xf>
    <xf borderId="0" fillId="0" fontId="1" numFmtId="3" xfId="0" applyAlignment="1" applyFont="1" applyNumberFormat="1">
      <alignment horizontal="center" readingOrder="0" vertical="center"/>
    </xf>
    <xf borderId="14" fillId="0" fontId="22" numFmtId="0" xfId="0" applyAlignment="1" applyBorder="1" applyFont="1">
      <alignment horizontal="center" shrinkToFit="0" vertical="center" wrapText="0"/>
    </xf>
    <xf borderId="15" fillId="0" fontId="22" numFmtId="166" xfId="0" applyAlignment="1" applyBorder="1" applyFont="1" applyNumberFormat="1">
      <alignment horizontal="center" readingOrder="0" shrinkToFit="0" vertical="center" wrapText="0"/>
    </xf>
    <xf borderId="15" fillId="0" fontId="22" numFmtId="0" xfId="0" applyAlignment="1" applyBorder="1" applyFont="1">
      <alignment horizontal="center" readingOrder="0" shrinkToFit="0" vertical="center" wrapText="0"/>
    </xf>
    <xf borderId="15" fillId="0" fontId="22" numFmtId="0" xfId="0" applyAlignment="1" applyBorder="1" applyFont="1">
      <alignment horizontal="center" shrinkToFit="0" vertical="center" wrapText="0"/>
    </xf>
    <xf borderId="16" fillId="0" fontId="22" numFmtId="0" xfId="0" applyAlignment="1" applyBorder="1" applyFont="1">
      <alignment horizontal="center" readingOrder="0" shrinkToFit="0" vertical="center" wrapText="0"/>
    </xf>
    <xf borderId="13" fillId="0" fontId="22" numFmtId="0" xfId="0" applyAlignment="1" applyBorder="1" applyFont="1">
      <alignment horizontal="center" readingOrder="0" shrinkToFit="0" vertical="center" wrapText="0"/>
    </xf>
    <xf borderId="12" fillId="0" fontId="22" numFmtId="169" xfId="0" applyAlignment="1" applyBorder="1" applyFont="1" applyNumberFormat="1">
      <alignment horizontal="center" readingOrder="0" shrinkToFit="0" vertical="center" wrapText="0"/>
    </xf>
    <xf borderId="0" fillId="43" fontId="23" numFmtId="0" xfId="0" applyAlignment="1" applyFill="1" applyFont="1">
      <alignment horizontal="center" readingOrder="0" vertical="center"/>
    </xf>
    <xf borderId="15" fillId="0" fontId="22" numFmtId="167" xfId="0" applyAlignment="1" applyBorder="1" applyFont="1" applyNumberFormat="1">
      <alignment horizontal="center" readingOrder="0" shrinkToFit="0" vertical="center" wrapText="0"/>
    </xf>
    <xf borderId="12" fillId="0" fontId="22" numFmtId="167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12" fillId="0" fontId="24" numFmtId="0" xfId="0" applyAlignment="1" applyBorder="1" applyFont="1">
      <alignment horizontal="center" readingOrder="0" shrinkToFit="0" vertical="center" wrapText="0"/>
    </xf>
    <xf borderId="12" fillId="0" fontId="22" numFmtId="164" xfId="0" applyAlignment="1" applyBorder="1" applyFont="1" applyNumberFormat="1">
      <alignment horizontal="center" readingOrder="0" shrinkToFit="0" vertical="center" wrapText="0"/>
    </xf>
    <xf borderId="15" fillId="0" fontId="22" numFmtId="164" xfId="0" applyAlignment="1" applyBorder="1" applyFont="1" applyNumberFormat="1">
      <alignment horizontal="center" readingOrder="0" shrinkToFit="0" vertical="center" wrapText="0"/>
    </xf>
    <xf borderId="0" fillId="0" fontId="24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5" fillId="0" fontId="25" numFmtId="0" xfId="0" applyAlignment="1" applyBorder="1" applyFont="1">
      <alignment vertical="center"/>
    </xf>
    <xf borderId="18" fillId="0" fontId="26" numFmtId="0" xfId="0" applyAlignment="1" applyBorder="1" applyFont="1">
      <alignment horizontal="center" vertical="center"/>
    </xf>
    <xf borderId="6" fillId="0" fontId="26" numFmtId="0" xfId="0" applyAlignment="1" applyBorder="1" applyFont="1">
      <alignment horizontal="center" vertical="center"/>
    </xf>
    <xf borderId="0" fillId="0" fontId="27" numFmtId="0" xfId="0" applyAlignment="1" applyFont="1">
      <alignment readingOrder="0"/>
    </xf>
    <xf borderId="15" fillId="0" fontId="22" numFmtId="172" xfId="0" applyAlignment="1" applyBorder="1" applyFont="1" applyNumberFormat="1">
      <alignment horizontal="center" readingOrder="0" shrinkToFit="0" vertical="center" wrapText="0"/>
    </xf>
    <xf borderId="15" fillId="0" fontId="22" numFmtId="0" xfId="0" applyAlignment="1" applyBorder="1" applyFont="1">
      <alignment horizontal="center" readingOrder="0" shrinkToFit="0" vertical="center" wrapText="0"/>
    </xf>
    <xf borderId="16" fillId="0" fontId="22" numFmtId="0" xfId="0" applyAlignment="1" applyBorder="1" applyFont="1">
      <alignment horizontal="center" readingOrder="0" shrinkToFit="0" vertical="center" wrapText="1"/>
    </xf>
    <xf borderId="12" fillId="0" fontId="22" numFmtId="172" xfId="0" applyAlignment="1" applyBorder="1" applyFont="1" applyNumberFormat="1">
      <alignment horizontal="center" readingOrder="0" shrinkToFit="0" vertical="center" wrapText="0"/>
    </xf>
    <xf borderId="12" fillId="0" fontId="22" numFmtId="0" xfId="0" applyAlignment="1" applyBorder="1" applyFont="1">
      <alignment horizontal="center" readingOrder="0" shrinkToFit="0" vertical="center" wrapText="0"/>
    </xf>
    <xf borderId="0" fillId="0" fontId="24" numFmtId="0" xfId="0" applyAlignment="1" applyFont="1">
      <alignment readingOrder="0" shrinkToFit="0" wrapText="1"/>
    </xf>
    <xf borderId="14" fillId="0" fontId="22" numFmtId="0" xfId="0" applyAlignment="1" applyBorder="1" applyFont="1">
      <alignment horizontal="center" shrinkToFit="0" vertical="center" wrapText="0"/>
    </xf>
    <xf borderId="15" fillId="0" fontId="22" numFmtId="0" xfId="0" applyAlignment="1" applyBorder="1" applyFont="1">
      <alignment shrinkToFit="0" vertical="center" wrapText="0"/>
    </xf>
    <xf borderId="11" fillId="0" fontId="22" numFmtId="0" xfId="0" applyAlignment="1" applyBorder="1" applyFont="1">
      <alignment horizontal="center" shrinkToFit="0" vertical="center" wrapText="0"/>
    </xf>
    <xf borderId="12" fillId="0" fontId="22" numFmtId="0" xfId="0" applyAlignment="1" applyBorder="1" applyFont="1">
      <alignment shrinkToFit="0" vertical="center" wrapText="0"/>
    </xf>
    <xf borderId="12" fillId="0" fontId="22" numFmtId="172" xfId="0" applyAlignment="1" applyBorder="1" applyFont="1" applyNumberFormat="1">
      <alignment readingOrder="0" shrinkToFit="0" vertical="center" wrapText="0"/>
    </xf>
    <xf borderId="11" fillId="0" fontId="22" numFmtId="0" xfId="0" applyAlignment="1" applyBorder="1" applyFont="1">
      <alignment shrinkToFit="0" vertical="center" wrapText="0"/>
    </xf>
    <xf borderId="16" fillId="0" fontId="2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readingOrder="0" vertical="center"/>
    </xf>
    <xf borderId="15" fillId="0" fontId="22" numFmtId="172" xfId="0" applyAlignment="1" applyBorder="1" applyFont="1" applyNumberFormat="1">
      <alignment horizontal="center" shrinkToFit="0" vertical="center" wrapText="0"/>
    </xf>
    <xf borderId="12" fillId="0" fontId="22" numFmtId="172" xfId="0" applyAlignment="1" applyBorder="1" applyFont="1" applyNumberFormat="1">
      <alignment horizontal="center" shrinkToFit="0" vertical="center" wrapText="0"/>
    </xf>
    <xf borderId="19" fillId="0" fontId="22" numFmtId="0" xfId="0" applyAlignment="1" applyBorder="1" applyFont="1">
      <alignment horizontal="center" shrinkToFit="0" vertical="center" wrapText="0"/>
    </xf>
    <xf borderId="20" fillId="0" fontId="22" numFmtId="172" xfId="0" applyAlignment="1" applyBorder="1" applyFont="1" applyNumberFormat="1">
      <alignment horizontal="center" shrinkToFit="0" vertical="center" wrapText="0"/>
    </xf>
    <xf borderId="20" fillId="0" fontId="22" numFmtId="0" xfId="0" applyAlignment="1" applyBorder="1" applyFont="1">
      <alignment horizontal="center" shrinkToFit="0" vertical="center" wrapText="0"/>
    </xf>
    <xf borderId="20" fillId="0" fontId="22" numFmtId="0" xfId="0" applyAlignment="1" applyBorder="1" applyFont="1">
      <alignment shrinkToFit="0" vertical="center" wrapText="0"/>
    </xf>
    <xf borderId="21" fillId="0" fontId="2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Venu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Per km cost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Bike!$D$21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Bike!$G$22:$G$103</c:f>
            </c:strRef>
          </c:cat>
          <c:val>
            <c:numRef>
              <c:f>Bike!$D$22:$D$103</c:f>
              <c:numCache/>
            </c:numRef>
          </c:val>
        </c:ser>
        <c:axId val="156513976"/>
        <c:axId val="884633881"/>
      </c:barChart>
      <c:catAx>
        <c:axId val="15651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4633881"/>
      </c:catAx>
      <c:valAx>
        <c:axId val="88463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Per km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13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Cost per km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Bike!$R$7:$R$60</c:f>
            </c:strRef>
          </c:cat>
          <c:val>
            <c:numRef>
              <c:f>Bike!$S$7:$S$29</c:f>
              <c:numCache/>
            </c:numRef>
          </c:val>
        </c:ser>
        <c:axId val="1016367693"/>
        <c:axId val="1437677752"/>
      </c:barChart>
      <c:catAx>
        <c:axId val="101636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7677752"/>
      </c:catAx>
      <c:valAx>
        <c:axId val="1437677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Cost per 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636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Date vs Mileage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Venue!$I$30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Venue!$E$31:$E$100</c:f>
            </c:strRef>
          </c:cat>
          <c:val>
            <c:numRef>
              <c:f>Venue!$I$31:$I$100</c:f>
              <c:numCache/>
            </c:numRef>
          </c:val>
        </c:ser>
        <c:axId val="299819950"/>
        <c:axId val="596928102"/>
      </c:barChart>
      <c:catAx>
        <c:axId val="299819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6928102"/>
      </c:catAx>
      <c:valAx>
        <c:axId val="59692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9819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102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38100</xdr:colOff>
      <xdr:row>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18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D16:J109" displayName="Table1" name="Table1" id="1">
  <tableColumns count="7">
    <tableColumn name="Column 1" id="1"/>
    <tableColumn name="Column 2" id="2"/>
    <tableColumn name="Rs." id="3"/>
    <tableColumn name="Odometer" id="4"/>
    <tableColumn name="Fuel price" id="5"/>
    <tableColumn name="Mileage" id="6"/>
    <tableColumn name="Column 3" id="7"/>
  </tableColumns>
  <tableStyleInfo name="Venu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6.88"/>
  </cols>
  <sheetData>
    <row r="1">
      <c r="A1" s="1"/>
      <c r="B1" s="1"/>
      <c r="C1" s="1"/>
      <c r="D1" s="2" t="s">
        <v>0</v>
      </c>
      <c r="E1" s="2"/>
      <c r="F1" s="2" t="s">
        <v>1</v>
      </c>
      <c r="G1" s="2" t="s">
        <v>2</v>
      </c>
      <c r="H1" s="1"/>
      <c r="I1" s="2" t="s">
        <v>3</v>
      </c>
      <c r="J1" s="1"/>
      <c r="K1" s="1"/>
      <c r="L1" s="1"/>
      <c r="M1" s="1"/>
      <c r="N1" s="1"/>
      <c r="O1" s="1"/>
      <c r="P1" s="1"/>
      <c r="Q1" s="3" t="s">
        <v>4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4">
        <f>SUM(F2:F8)/(G8-G2)</f>
        <v>2.390438247</v>
      </c>
      <c r="E2" s="5"/>
      <c r="F2" s="5">
        <v>200.0</v>
      </c>
      <c r="G2" s="6">
        <v>32741.0</v>
      </c>
      <c r="H2" s="1"/>
      <c r="I2" s="1"/>
      <c r="J2" s="7">
        <f>SUM(F3:F27)/(G28-G2)</f>
        <v>2.242031334</v>
      </c>
      <c r="K2" s="1"/>
      <c r="L2" s="1"/>
      <c r="M2" s="1"/>
      <c r="N2" s="1"/>
      <c r="O2" s="1"/>
      <c r="P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E3" s="5"/>
      <c r="F3" s="5">
        <v>400.0</v>
      </c>
      <c r="G3" s="5">
        <v>32840.0</v>
      </c>
      <c r="H3" s="1"/>
      <c r="I3" s="1"/>
      <c r="K3" s="1"/>
      <c r="L3" s="1"/>
      <c r="M3" s="1"/>
      <c r="N3" s="1"/>
      <c r="O3" s="1"/>
      <c r="P3" s="8" t="s">
        <v>5</v>
      </c>
      <c r="Q3" s="8" t="s">
        <v>6</v>
      </c>
      <c r="R3" s="8" t="s">
        <v>3</v>
      </c>
      <c r="S3" s="8" t="s">
        <v>7</v>
      </c>
      <c r="T3" s="8" t="s">
        <v>8</v>
      </c>
      <c r="U3" s="8" t="s">
        <v>9</v>
      </c>
      <c r="V3" s="1"/>
      <c r="W3" s="1"/>
      <c r="X3" s="1"/>
      <c r="Y3" s="1"/>
      <c r="Z3" s="1"/>
      <c r="AA3" s="1"/>
    </row>
    <row r="4">
      <c r="A4" s="1"/>
      <c r="B4" s="1"/>
      <c r="C4" s="1"/>
      <c r="E4" s="5"/>
      <c r="F4" s="5"/>
      <c r="G4" s="5"/>
      <c r="H4" s="1"/>
      <c r="I4" s="1"/>
      <c r="K4" s="1"/>
      <c r="L4" s="1"/>
      <c r="M4" s="1"/>
      <c r="N4" s="1"/>
      <c r="O4" s="9" t="s">
        <v>10</v>
      </c>
      <c r="P4" s="10">
        <v>14250.0</v>
      </c>
      <c r="Q4" s="10"/>
      <c r="R4" s="1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E5" s="5"/>
      <c r="F5" s="5">
        <v>300.0</v>
      </c>
      <c r="G5" s="5">
        <v>33013.0</v>
      </c>
      <c r="H5" s="1"/>
      <c r="I5" s="1"/>
      <c r="K5" s="1"/>
      <c r="L5" s="1"/>
      <c r="M5" s="1"/>
      <c r="N5" s="1"/>
      <c r="O5" s="9" t="s">
        <v>11</v>
      </c>
      <c r="P5" s="10">
        <v>15512.0</v>
      </c>
      <c r="Q5" s="10"/>
      <c r="R5" s="11">
        <v>44197.0</v>
      </c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E6" s="5"/>
      <c r="F6" s="5">
        <v>300.0</v>
      </c>
      <c r="G6" s="5">
        <v>33179.0</v>
      </c>
      <c r="H6" s="1"/>
      <c r="I6" s="1"/>
      <c r="K6" s="1"/>
      <c r="L6" s="1"/>
      <c r="M6" s="1"/>
      <c r="N6" s="1"/>
      <c r="O6" s="1"/>
      <c r="P6" s="10">
        <v>15659.0</v>
      </c>
      <c r="Q6" s="10">
        <v>300.0</v>
      </c>
      <c r="R6" s="11">
        <v>44207.0</v>
      </c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E7" s="5"/>
      <c r="F7" s="5">
        <v>300.0</v>
      </c>
      <c r="G7" s="5">
        <v>33350.0</v>
      </c>
      <c r="H7" s="1"/>
      <c r="I7" s="1"/>
      <c r="K7" s="1"/>
      <c r="L7" s="1"/>
      <c r="M7" s="1"/>
      <c r="N7" s="1"/>
      <c r="O7" s="1"/>
      <c r="P7" s="10">
        <v>15916.0</v>
      </c>
      <c r="Q7" s="10">
        <v>250.0</v>
      </c>
      <c r="R7" s="11">
        <v>44221.0</v>
      </c>
      <c r="S7" s="1">
        <f t="shared" ref="S7:S13" si="1">(Q6/(P7-P6))</f>
        <v>1.167315175</v>
      </c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E8" s="5"/>
      <c r="F8" s="5">
        <v>300.0</v>
      </c>
      <c r="G8" s="5">
        <v>33494.0</v>
      </c>
      <c r="H8" s="1"/>
      <c r="I8" s="1"/>
      <c r="K8" s="1"/>
      <c r="L8" s="1"/>
      <c r="M8" s="1"/>
      <c r="N8" s="1"/>
      <c r="O8" s="1"/>
      <c r="P8" s="10">
        <v>16058.0</v>
      </c>
      <c r="Q8" s="10">
        <v>200.0</v>
      </c>
      <c r="R8" s="11">
        <v>44237.0</v>
      </c>
      <c r="S8" s="1">
        <f t="shared" si="1"/>
        <v>1.76056338</v>
      </c>
      <c r="T8" s="10">
        <v>91.38</v>
      </c>
      <c r="U8" s="1">
        <f t="shared" ref="U8:U30" si="2">(T8/S8)</f>
        <v>51.90384</v>
      </c>
      <c r="V8" s="1"/>
      <c r="W8" s="1"/>
      <c r="X8" s="1"/>
      <c r="Y8" s="1"/>
      <c r="Z8" s="1"/>
      <c r="AA8" s="1"/>
    </row>
    <row r="9">
      <c r="A9" s="1"/>
      <c r="B9" s="1"/>
      <c r="C9" s="12">
        <f>(H9-G2)</f>
        <v>1172</v>
      </c>
      <c r="D9" s="13">
        <f>SUM(F9:F13)/(G13-G9)</f>
        <v>2.75862069</v>
      </c>
      <c r="E9" s="14"/>
      <c r="F9" s="14">
        <v>800.0</v>
      </c>
      <c r="G9" s="14">
        <v>33597.0</v>
      </c>
      <c r="H9" s="10">
        <v>33913.0</v>
      </c>
      <c r="I9" s="10" t="s">
        <v>12</v>
      </c>
      <c r="K9" s="1"/>
      <c r="L9" s="1"/>
      <c r="M9" s="1"/>
      <c r="N9" s="1"/>
      <c r="O9" s="1"/>
      <c r="P9" s="10">
        <v>16167.0</v>
      </c>
      <c r="Q9" s="10">
        <v>200.0</v>
      </c>
      <c r="R9" s="11">
        <v>44249.0</v>
      </c>
      <c r="S9" s="1">
        <f t="shared" si="1"/>
        <v>1.834862385</v>
      </c>
      <c r="T9" s="1"/>
      <c r="U9" s="1">
        <f t="shared" si="2"/>
        <v>0</v>
      </c>
      <c r="V9" s="1"/>
      <c r="W9" s="1"/>
      <c r="X9" s="1"/>
      <c r="Y9" s="1"/>
      <c r="Z9" s="1"/>
      <c r="AA9" s="1"/>
    </row>
    <row r="10">
      <c r="A10" s="1"/>
      <c r="B10" s="1"/>
      <c r="C10" s="15">
        <f>(H21-H9)</f>
        <v>1629</v>
      </c>
      <c r="E10" s="14"/>
      <c r="F10" s="14">
        <v>300.0</v>
      </c>
      <c r="G10" s="14">
        <v>33985.0</v>
      </c>
      <c r="H10" s="1"/>
      <c r="I10" s="1"/>
      <c r="K10" s="1"/>
      <c r="L10" s="1"/>
      <c r="M10" s="1"/>
      <c r="N10" s="1"/>
      <c r="O10" s="1"/>
      <c r="P10" s="10">
        <v>16277.0</v>
      </c>
      <c r="Q10" s="10">
        <v>200.0</v>
      </c>
      <c r="R10" s="11">
        <v>44256.0</v>
      </c>
      <c r="S10" s="1">
        <f t="shared" si="1"/>
        <v>1.818181818</v>
      </c>
      <c r="T10" s="10">
        <v>94.8</v>
      </c>
      <c r="U10" s="1">
        <f t="shared" si="2"/>
        <v>52.14</v>
      </c>
      <c r="V10" s="1"/>
      <c r="W10" s="1"/>
      <c r="X10" s="1"/>
      <c r="Y10" s="1"/>
      <c r="Z10" s="1"/>
      <c r="AA10" s="1"/>
    </row>
    <row r="11">
      <c r="A11" s="1"/>
      <c r="B11" s="1"/>
      <c r="E11" s="14"/>
      <c r="F11" s="14">
        <v>300.0</v>
      </c>
      <c r="G11" s="14">
        <v>34141.0</v>
      </c>
      <c r="H11" s="1"/>
      <c r="I11" s="1"/>
      <c r="K11" s="1"/>
      <c r="L11" s="1"/>
      <c r="M11" s="1"/>
      <c r="N11" s="1"/>
      <c r="O11" s="1"/>
      <c r="P11" s="10">
        <v>16381.0</v>
      </c>
      <c r="Q11" s="10">
        <v>200.0</v>
      </c>
      <c r="R11" s="11">
        <v>44268.0</v>
      </c>
      <c r="S11" s="1">
        <f t="shared" si="1"/>
        <v>1.923076923</v>
      </c>
      <c r="T11" s="10">
        <v>95.03</v>
      </c>
      <c r="U11" s="1">
        <f t="shared" si="2"/>
        <v>49.4156</v>
      </c>
      <c r="V11" s="1"/>
      <c r="W11" s="1"/>
      <c r="X11" s="1"/>
      <c r="Y11" s="1"/>
      <c r="Z11" s="1"/>
      <c r="AA11" s="1"/>
    </row>
    <row r="12">
      <c r="A12" s="1"/>
      <c r="B12" s="1"/>
      <c r="E12" s="14"/>
      <c r="F12" s="14">
        <v>300.0</v>
      </c>
      <c r="G12" s="14">
        <v>34248.0</v>
      </c>
      <c r="H12" s="1"/>
      <c r="I12" s="1"/>
      <c r="K12" s="1"/>
      <c r="L12" s="1"/>
      <c r="M12" s="1"/>
      <c r="N12" s="1"/>
      <c r="O12" s="1"/>
      <c r="P12" s="10">
        <v>16514.0</v>
      </c>
      <c r="Q12" s="10">
        <v>200.0</v>
      </c>
      <c r="R12" s="11">
        <v>44281.0</v>
      </c>
      <c r="S12" s="1">
        <f t="shared" si="1"/>
        <v>1.503759398</v>
      </c>
      <c r="T12" s="10">
        <v>94.43</v>
      </c>
      <c r="U12" s="1">
        <f t="shared" si="2"/>
        <v>62.79595</v>
      </c>
      <c r="V12" s="1"/>
      <c r="W12" s="1"/>
      <c r="X12" s="1"/>
      <c r="Y12" s="1"/>
      <c r="Z12" s="1"/>
      <c r="AA12" s="1"/>
    </row>
    <row r="13">
      <c r="A13" s="1"/>
      <c r="B13" s="1"/>
      <c r="E13" s="14"/>
      <c r="F13" s="14">
        <v>300.0</v>
      </c>
      <c r="G13" s="14">
        <v>34322.0</v>
      </c>
      <c r="H13" s="1"/>
      <c r="I13" s="1"/>
      <c r="K13" s="1"/>
      <c r="L13" s="1"/>
      <c r="M13" s="1"/>
      <c r="N13" s="1"/>
      <c r="O13" s="1"/>
      <c r="P13" s="10">
        <v>16563.0</v>
      </c>
      <c r="Q13" s="10">
        <v>200.0</v>
      </c>
      <c r="R13" s="11">
        <v>44289.0</v>
      </c>
      <c r="S13" s="1">
        <f t="shared" si="1"/>
        <v>4.081632653</v>
      </c>
      <c r="T13" s="1"/>
      <c r="U13" s="1">
        <f t="shared" si="2"/>
        <v>0</v>
      </c>
      <c r="V13" s="1"/>
      <c r="W13" s="1"/>
      <c r="X13" s="1"/>
      <c r="Y13" s="1"/>
      <c r="Z13" s="1"/>
      <c r="AA13" s="1"/>
    </row>
    <row r="14">
      <c r="A14" s="1"/>
      <c r="B14" s="1"/>
      <c r="D14" s="16">
        <f>SUM(F14:F19)/(G19-G14)</f>
        <v>2.657342657</v>
      </c>
      <c r="E14" s="17"/>
      <c r="F14" s="17">
        <v>300.0</v>
      </c>
      <c r="G14" s="17">
        <v>34515.0</v>
      </c>
      <c r="H14" s="1"/>
      <c r="I14" s="1"/>
      <c r="K14" s="18" t="s">
        <v>13</v>
      </c>
      <c r="L14" s="19">
        <v>2800.0</v>
      </c>
      <c r="M14" s="1"/>
      <c r="N14" s="1">
        <f>(P14-P4)</f>
        <v>2333</v>
      </c>
      <c r="O14" s="9" t="s">
        <v>14</v>
      </c>
      <c r="P14" s="10">
        <v>16583.0</v>
      </c>
      <c r="Q14" s="1"/>
      <c r="R14" s="1"/>
      <c r="S14" s="1"/>
      <c r="T14" s="1"/>
      <c r="U14" s="1" t="str">
        <f t="shared" si="2"/>
        <v>#DIV/0!</v>
      </c>
      <c r="V14" s="1"/>
      <c r="W14" s="1"/>
      <c r="X14" s="1"/>
      <c r="Y14" s="1"/>
      <c r="Z14" s="1"/>
      <c r="AA14" s="1"/>
    </row>
    <row r="15">
      <c r="A15" s="1"/>
      <c r="B15" s="1"/>
      <c r="E15" s="17"/>
      <c r="F15" s="17">
        <v>300.0</v>
      </c>
      <c r="G15" s="17">
        <v>34670.0</v>
      </c>
      <c r="H15" s="1"/>
      <c r="I15" s="1"/>
      <c r="K15" s="20" t="s">
        <v>15</v>
      </c>
      <c r="L15" s="21">
        <v>252.0</v>
      </c>
      <c r="M15" s="1"/>
      <c r="N15" s="1"/>
      <c r="O15" s="1"/>
      <c r="P15" s="10">
        <v>16635.0</v>
      </c>
      <c r="Q15" s="10">
        <v>200.0</v>
      </c>
      <c r="R15" s="11">
        <v>44297.0</v>
      </c>
      <c r="S15" s="1">
        <f>(Q13/(P15-P13))</f>
        <v>2.777777778</v>
      </c>
      <c r="T15" s="1"/>
      <c r="U15" s="1">
        <f t="shared" si="2"/>
        <v>0</v>
      </c>
      <c r="V15" s="1"/>
      <c r="W15" s="1"/>
      <c r="X15" s="1"/>
      <c r="Y15" s="1"/>
      <c r="Z15" s="1"/>
      <c r="AA15" s="1"/>
    </row>
    <row r="16">
      <c r="A16" s="1"/>
      <c r="B16" s="1"/>
      <c r="E16" s="17"/>
      <c r="F16" s="17">
        <v>300.0</v>
      </c>
      <c r="G16" s="17">
        <v>34799.0</v>
      </c>
      <c r="H16" s="1"/>
      <c r="I16" s="1"/>
      <c r="K16" s="20" t="s">
        <v>16</v>
      </c>
      <c r="L16" s="21">
        <v>519.0</v>
      </c>
      <c r="M16" s="1"/>
      <c r="N16" s="1"/>
      <c r="O16" s="1"/>
      <c r="P16" s="10">
        <v>16695.0</v>
      </c>
      <c r="Q16" s="10">
        <v>100.0</v>
      </c>
      <c r="R16" s="11">
        <v>44306.0</v>
      </c>
      <c r="S16" s="1">
        <f t="shared" ref="S16:S30" si="3">(Q15/(P16-P15))</f>
        <v>3.333333333</v>
      </c>
      <c r="T16" s="10">
        <v>94.0</v>
      </c>
      <c r="U16" s="1">
        <f t="shared" si="2"/>
        <v>28.2</v>
      </c>
      <c r="V16" s="1"/>
      <c r="W16" s="1"/>
      <c r="X16" s="1"/>
      <c r="Y16" s="1"/>
      <c r="Z16" s="1"/>
      <c r="AA16" s="1"/>
    </row>
    <row r="17">
      <c r="A17" s="1"/>
      <c r="B17" s="1"/>
      <c r="E17" s="17"/>
      <c r="F17" s="17">
        <v>300.0</v>
      </c>
      <c r="G17" s="17">
        <v>34934.0</v>
      </c>
      <c r="H17" s="1"/>
      <c r="I17" s="1"/>
      <c r="K17" s="20" t="s">
        <v>17</v>
      </c>
      <c r="L17" s="21">
        <v>250.0</v>
      </c>
      <c r="M17" s="1"/>
      <c r="N17" s="1"/>
      <c r="O17" s="1"/>
      <c r="P17" s="10">
        <v>16813.0</v>
      </c>
      <c r="Q17" s="10">
        <v>200.0</v>
      </c>
      <c r="R17" s="22">
        <v>44322.0</v>
      </c>
      <c r="S17" s="1">
        <f t="shared" si="3"/>
        <v>0.8474576271</v>
      </c>
      <c r="T17" s="10">
        <v>94.63</v>
      </c>
      <c r="U17" s="1">
        <f t="shared" si="2"/>
        <v>111.6634</v>
      </c>
      <c r="V17" s="1"/>
      <c r="W17" s="1"/>
      <c r="X17" s="1"/>
      <c r="Y17" s="1"/>
      <c r="Z17" s="1"/>
      <c r="AA17" s="1"/>
    </row>
    <row r="18">
      <c r="A18" s="1"/>
      <c r="B18" s="1"/>
      <c r="E18" s="17"/>
      <c r="F18" s="17">
        <v>300.0</v>
      </c>
      <c r="G18" s="17">
        <v>35069.0</v>
      </c>
      <c r="H18" s="1"/>
      <c r="I18" s="1"/>
      <c r="K18" s="20" t="s">
        <v>18</v>
      </c>
      <c r="L18" s="21">
        <v>250.0</v>
      </c>
      <c r="M18" s="1"/>
      <c r="N18" s="1"/>
      <c r="O18" s="1"/>
      <c r="P18" s="10">
        <v>16891.0</v>
      </c>
      <c r="Q18" s="10">
        <v>200.0</v>
      </c>
      <c r="R18" s="11">
        <v>44354.0</v>
      </c>
      <c r="S18" s="1">
        <f t="shared" si="3"/>
        <v>2.564102564</v>
      </c>
      <c r="T18" s="10">
        <v>98.54</v>
      </c>
      <c r="U18" s="1">
        <f t="shared" si="2"/>
        <v>38.4306</v>
      </c>
      <c r="V18" s="1"/>
      <c r="W18" s="1"/>
      <c r="X18" s="1"/>
      <c r="Y18" s="1"/>
      <c r="Z18" s="1"/>
      <c r="AA18" s="1"/>
    </row>
    <row r="19">
      <c r="A19" s="1"/>
      <c r="B19" s="1"/>
      <c r="E19" s="17"/>
      <c r="F19" s="17">
        <v>400.0</v>
      </c>
      <c r="G19" s="17">
        <v>35230.0</v>
      </c>
      <c r="H19" s="10" t="s">
        <v>19</v>
      </c>
      <c r="I19" s="11">
        <v>43409.0</v>
      </c>
      <c r="K19" s="23"/>
      <c r="L19" s="24">
        <f>SUM(L14:L18)</f>
        <v>4071</v>
      </c>
      <c r="M19" s="1"/>
      <c r="N19" s="1"/>
      <c r="O19" s="1"/>
      <c r="P19" s="10">
        <v>16946.0</v>
      </c>
      <c r="Q19" s="10">
        <v>150.0</v>
      </c>
      <c r="R19" s="11">
        <v>44368.0</v>
      </c>
      <c r="S19" s="1">
        <f t="shared" si="3"/>
        <v>3.636363636</v>
      </c>
      <c r="T19" s="10">
        <v>101.09</v>
      </c>
      <c r="U19" s="1">
        <f t="shared" si="2"/>
        <v>27.79975</v>
      </c>
      <c r="V19" s="1"/>
      <c r="W19" s="1"/>
      <c r="X19" s="1"/>
      <c r="Y19" s="1"/>
      <c r="Z19" s="1"/>
      <c r="AA19" s="1"/>
    </row>
    <row r="20">
      <c r="A20" s="1"/>
      <c r="B20" s="1"/>
      <c r="D20" s="25">
        <f>SUM(F20:F21)/(G21-G20)</f>
        <v>8.695652174</v>
      </c>
      <c r="E20" s="26"/>
      <c r="F20" s="26">
        <v>500.0</v>
      </c>
      <c r="G20" s="26">
        <v>35473.0</v>
      </c>
      <c r="H20" s="1"/>
      <c r="I20" s="1"/>
      <c r="K20" s="1"/>
      <c r="L20" s="1"/>
      <c r="M20" s="1"/>
      <c r="N20" s="1"/>
      <c r="O20" s="1"/>
      <c r="P20" s="10">
        <v>17072.0</v>
      </c>
      <c r="Q20" s="10">
        <v>200.0</v>
      </c>
      <c r="R20" s="11">
        <v>44389.0</v>
      </c>
      <c r="S20" s="1">
        <f t="shared" si="3"/>
        <v>1.19047619</v>
      </c>
      <c r="T20" s="10">
        <v>105.94</v>
      </c>
      <c r="U20" s="1">
        <f t="shared" si="2"/>
        <v>88.9896</v>
      </c>
      <c r="V20" s="1"/>
      <c r="W20" s="1"/>
      <c r="X20" s="1"/>
      <c r="Y20" s="1"/>
      <c r="Z20" s="1"/>
      <c r="AA20" s="1"/>
    </row>
    <row r="21">
      <c r="A21" s="1"/>
      <c r="B21" s="1"/>
      <c r="E21" s="26"/>
      <c r="F21" s="26">
        <v>500.0</v>
      </c>
      <c r="G21" s="26">
        <v>35588.0</v>
      </c>
      <c r="H21" s="10">
        <v>35542.0</v>
      </c>
      <c r="I21" s="10" t="s">
        <v>20</v>
      </c>
      <c r="K21" s="1"/>
      <c r="L21" s="1"/>
      <c r="M21" s="1"/>
      <c r="N21" s="1"/>
      <c r="O21" s="1"/>
      <c r="P21" s="10">
        <v>17161.0</v>
      </c>
      <c r="Q21" s="10">
        <v>200.0</v>
      </c>
      <c r="R21" s="11">
        <v>44404.0</v>
      </c>
      <c r="S21" s="1">
        <f t="shared" si="3"/>
        <v>2.247191011</v>
      </c>
      <c r="T21" s="10">
        <v>105.83</v>
      </c>
      <c r="U21" s="1">
        <f t="shared" si="2"/>
        <v>47.09435</v>
      </c>
      <c r="V21" s="1"/>
      <c r="W21" s="1"/>
      <c r="X21" s="1"/>
      <c r="Y21" s="1"/>
      <c r="Z21" s="1"/>
      <c r="AA21" s="1"/>
    </row>
    <row r="22">
      <c r="A22" s="1"/>
      <c r="B22" s="1"/>
      <c r="D22" s="27">
        <f>SUM(F22:F25)/(G25-G22)</f>
        <v>2.823529412</v>
      </c>
      <c r="E22" s="28"/>
      <c r="F22" s="28">
        <v>300.0</v>
      </c>
      <c r="G22" s="28">
        <v>35710.0</v>
      </c>
      <c r="H22" s="1"/>
      <c r="I22" s="1"/>
      <c r="K22" s="1"/>
      <c r="L22" s="1"/>
      <c r="M22" s="1"/>
      <c r="N22" s="1"/>
      <c r="O22" s="1"/>
      <c r="P22" s="10">
        <v>17223.0</v>
      </c>
      <c r="Q22" s="10">
        <v>150.0</v>
      </c>
      <c r="R22" s="11">
        <v>44409.0</v>
      </c>
      <c r="S22" s="1">
        <f t="shared" si="3"/>
        <v>3.225806452</v>
      </c>
      <c r="T22" s="10">
        <v>106.11</v>
      </c>
      <c r="U22" s="1">
        <f t="shared" si="2"/>
        <v>32.8941</v>
      </c>
      <c r="V22" s="1"/>
      <c r="W22" s="1"/>
      <c r="X22" s="1"/>
      <c r="Y22" s="1"/>
      <c r="Z22" s="1"/>
      <c r="AA22" s="1"/>
    </row>
    <row r="23">
      <c r="A23" s="1"/>
      <c r="B23" s="1"/>
      <c r="E23" s="28"/>
      <c r="F23" s="28">
        <v>600.0</v>
      </c>
      <c r="G23" s="28">
        <v>35818.0</v>
      </c>
      <c r="H23" s="1"/>
      <c r="I23" s="1"/>
      <c r="K23" s="1"/>
      <c r="L23" s="1"/>
      <c r="M23" s="1"/>
      <c r="N23" s="1"/>
      <c r="O23" s="1"/>
      <c r="P23" s="10">
        <v>17435.0</v>
      </c>
      <c r="Q23" s="10">
        <v>200.0</v>
      </c>
      <c r="R23" s="11">
        <v>44431.0</v>
      </c>
      <c r="S23" s="1">
        <f t="shared" si="3"/>
        <v>0.7075471698</v>
      </c>
      <c r="T23" s="1"/>
      <c r="U23" s="1">
        <f t="shared" si="2"/>
        <v>0</v>
      </c>
      <c r="V23" s="1"/>
      <c r="W23" s="1"/>
      <c r="X23" s="1"/>
      <c r="Y23" s="1"/>
      <c r="Z23" s="1"/>
      <c r="AA23" s="1"/>
    </row>
    <row r="24">
      <c r="A24" s="1"/>
      <c r="B24" s="1"/>
      <c r="E24" s="28"/>
      <c r="F24" s="28"/>
      <c r="G24" s="28"/>
      <c r="H24" s="1"/>
      <c r="I24" s="1"/>
      <c r="K24" s="1"/>
      <c r="L24" s="1"/>
      <c r="M24" s="1"/>
      <c r="N24" s="1"/>
      <c r="O24" s="1"/>
      <c r="P24" s="10">
        <v>17536.0</v>
      </c>
      <c r="Q24" s="10">
        <v>200.0</v>
      </c>
      <c r="R24" s="11">
        <v>44443.0</v>
      </c>
      <c r="S24" s="1">
        <f t="shared" si="3"/>
        <v>1.98019802</v>
      </c>
      <c r="T24" s="10">
        <v>105.92</v>
      </c>
      <c r="U24" s="1">
        <f t="shared" si="2"/>
        <v>53.4896</v>
      </c>
      <c r="V24" s="1"/>
      <c r="W24" s="1"/>
      <c r="X24" s="1"/>
      <c r="Y24" s="1"/>
      <c r="Z24" s="1"/>
      <c r="AA24" s="1"/>
    </row>
    <row r="25">
      <c r="A25" s="1"/>
      <c r="B25" s="1"/>
      <c r="E25" s="28"/>
      <c r="F25" s="28">
        <v>300.0</v>
      </c>
      <c r="G25" s="28">
        <v>36135.0</v>
      </c>
      <c r="H25" s="1"/>
      <c r="I25" s="1"/>
      <c r="K25" s="1"/>
      <c r="L25" s="1"/>
      <c r="M25" s="1"/>
      <c r="N25" s="1"/>
      <c r="O25" s="1"/>
      <c r="P25" s="10">
        <v>17630.0</v>
      </c>
      <c r="Q25" s="10">
        <v>200.0</v>
      </c>
      <c r="R25" s="11">
        <v>44459.0</v>
      </c>
      <c r="S25" s="1">
        <f t="shared" si="3"/>
        <v>2.127659574</v>
      </c>
      <c r="T25" s="1"/>
      <c r="U25" s="1">
        <f t="shared" si="2"/>
        <v>0</v>
      </c>
      <c r="V25" s="1"/>
      <c r="W25" s="1"/>
      <c r="X25" s="1"/>
      <c r="Y25" s="1"/>
      <c r="Z25" s="1"/>
      <c r="AA25" s="1"/>
    </row>
    <row r="26">
      <c r="A26" s="1"/>
      <c r="B26" s="1"/>
      <c r="D26" s="1">
        <f t="shared" ref="D26:D28" si="4">(F25/(G26-G25))</f>
        <v>3.448275862</v>
      </c>
      <c r="E26" s="10"/>
      <c r="F26" s="10">
        <v>300.0</v>
      </c>
      <c r="G26" s="10">
        <v>36222.0</v>
      </c>
      <c r="H26" s="1"/>
      <c r="I26" s="1"/>
      <c r="K26" s="1"/>
      <c r="L26" s="1"/>
      <c r="M26" s="1"/>
      <c r="N26" s="1"/>
      <c r="O26" s="1"/>
      <c r="P26" s="10">
        <v>17728.0</v>
      </c>
      <c r="Q26" s="10">
        <v>200.0</v>
      </c>
      <c r="R26" s="11">
        <v>44470.0</v>
      </c>
      <c r="S26" s="1">
        <f t="shared" si="3"/>
        <v>2.040816327</v>
      </c>
      <c r="T26" s="1"/>
      <c r="U26" s="1">
        <f t="shared" si="2"/>
        <v>0</v>
      </c>
      <c r="V26" s="1"/>
      <c r="W26" s="1"/>
      <c r="X26" s="1"/>
      <c r="Y26" s="1"/>
      <c r="Z26" s="1"/>
      <c r="AA26" s="1"/>
    </row>
    <row r="27">
      <c r="A27" s="1"/>
      <c r="B27" s="1"/>
      <c r="D27" s="29">
        <f t="shared" si="4"/>
        <v>3</v>
      </c>
      <c r="E27" s="10"/>
      <c r="F27" s="10">
        <v>300.0</v>
      </c>
      <c r="G27" s="10">
        <v>36322.0</v>
      </c>
      <c r="H27" s="1"/>
      <c r="I27" s="1"/>
      <c r="K27" s="1"/>
      <c r="L27" s="1"/>
      <c r="M27" s="1"/>
      <c r="N27" s="1"/>
      <c r="O27" s="1"/>
      <c r="P27" s="10">
        <v>17825.0</v>
      </c>
      <c r="Q27" s="10">
        <v>400.0</v>
      </c>
      <c r="R27" s="11">
        <v>44483.0</v>
      </c>
      <c r="S27" s="1">
        <f t="shared" si="3"/>
        <v>2.06185567</v>
      </c>
      <c r="T27" s="10">
        <v>110.23</v>
      </c>
      <c r="U27" s="1">
        <f t="shared" si="2"/>
        <v>53.46155</v>
      </c>
      <c r="V27" s="1"/>
      <c r="W27" s="1"/>
      <c r="X27" s="1"/>
      <c r="Y27" s="1"/>
      <c r="Z27" s="1"/>
      <c r="AA27" s="1"/>
    </row>
    <row r="28">
      <c r="A28" s="1"/>
      <c r="B28" s="1"/>
      <c r="D28" s="30">
        <f t="shared" si="4"/>
        <v>2.479338843</v>
      </c>
      <c r="E28" s="1"/>
      <c r="F28" s="1"/>
      <c r="G28" s="10">
        <v>36443.0</v>
      </c>
      <c r="H28" s="1"/>
      <c r="I28" s="1"/>
      <c r="K28" s="1"/>
      <c r="L28" s="1"/>
      <c r="M28" s="1"/>
      <c r="N28" s="1"/>
      <c r="O28" s="1"/>
      <c r="P28" s="10">
        <v>17991.0</v>
      </c>
      <c r="Q28" s="10">
        <v>200.0</v>
      </c>
      <c r="R28" s="11">
        <v>44503.0</v>
      </c>
      <c r="S28" s="1">
        <f t="shared" si="3"/>
        <v>2.409638554</v>
      </c>
      <c r="T28" s="10">
        <v>114.27</v>
      </c>
      <c r="U28" s="1">
        <f t="shared" si="2"/>
        <v>47.42205</v>
      </c>
      <c r="V28" s="1"/>
      <c r="W28" s="1"/>
      <c r="X28" s="1"/>
      <c r="Y28" s="1"/>
      <c r="Z28" s="1"/>
      <c r="AA28" s="1"/>
    </row>
    <row r="29">
      <c r="A29" s="1"/>
      <c r="B29" s="1"/>
      <c r="D29" s="10">
        <v>0.0</v>
      </c>
      <c r="E29" s="1"/>
      <c r="F29" s="1"/>
      <c r="G29" s="10">
        <v>36487.0</v>
      </c>
      <c r="H29" s="10">
        <v>36487.0</v>
      </c>
      <c r="I29" s="10" t="s">
        <v>21</v>
      </c>
      <c r="K29" s="1"/>
      <c r="L29" s="1"/>
      <c r="M29" s="1"/>
      <c r="N29" s="1"/>
      <c r="O29" s="1"/>
      <c r="P29" s="10">
        <v>18084.0</v>
      </c>
      <c r="Q29" s="10">
        <v>200.0</v>
      </c>
      <c r="R29" s="11">
        <v>44514.0</v>
      </c>
      <c r="S29" s="1">
        <f t="shared" si="3"/>
        <v>2.150537634</v>
      </c>
      <c r="T29" s="1"/>
      <c r="U29" s="1">
        <f t="shared" si="2"/>
        <v>0</v>
      </c>
      <c r="V29" s="1"/>
      <c r="W29" s="1"/>
      <c r="X29" s="1"/>
      <c r="Y29" s="1"/>
      <c r="Z29" s="1"/>
      <c r="AA29" s="1"/>
    </row>
    <row r="30">
      <c r="A30" s="1"/>
      <c r="B30" s="1"/>
      <c r="C30" s="31">
        <f>(H35-H29)</f>
        <v>945</v>
      </c>
      <c r="D30" s="1"/>
      <c r="E30" s="10"/>
      <c r="F30" s="10">
        <v>300.0</v>
      </c>
      <c r="G30" s="10">
        <v>36683.0</v>
      </c>
      <c r="H30" s="1"/>
      <c r="I30" s="1"/>
      <c r="K30" s="1"/>
      <c r="L30" s="1"/>
      <c r="M30" s="1"/>
      <c r="P30" s="10">
        <v>18264.0</v>
      </c>
      <c r="Q30" s="10">
        <v>300.0</v>
      </c>
      <c r="R30" s="11">
        <v>44537.0</v>
      </c>
      <c r="S30" s="1">
        <f t="shared" si="3"/>
        <v>1.111111111</v>
      </c>
      <c r="T30" s="10">
        <v>108.3</v>
      </c>
      <c r="U30" s="1">
        <f t="shared" si="2"/>
        <v>97.47</v>
      </c>
      <c r="V30" s="1"/>
      <c r="W30" s="1"/>
      <c r="X30" s="1"/>
      <c r="Y30" s="1"/>
      <c r="Z30" s="1"/>
      <c r="AA30" s="1"/>
    </row>
    <row r="31">
      <c r="A31" s="1"/>
      <c r="B31" s="1"/>
      <c r="D31" s="30">
        <f t="shared" ref="D31:D32" si="5">(F30/(G31-G30))</f>
        <v>3.191489362</v>
      </c>
      <c r="E31" s="10"/>
      <c r="F31" s="10">
        <v>300.0</v>
      </c>
      <c r="G31" s="10">
        <v>36777.0</v>
      </c>
      <c r="H31" s="1"/>
      <c r="I31" s="1"/>
      <c r="K31" s="1"/>
      <c r="L31" s="1"/>
      <c r="M31" s="1"/>
      <c r="P31" s="1"/>
      <c r="Q31" s="10">
        <v>200.0</v>
      </c>
      <c r="R31" s="32">
        <v>44569.0</v>
      </c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D32" s="30">
        <f t="shared" si="5"/>
        <v>1.785714286</v>
      </c>
      <c r="E32" s="10"/>
      <c r="F32" s="10">
        <v>500.0</v>
      </c>
      <c r="G32" s="33">
        <v>36945.0</v>
      </c>
      <c r="H32" s="1"/>
      <c r="I32" s="1"/>
      <c r="K32" s="1"/>
      <c r="L32" s="1"/>
      <c r="M32" s="1"/>
      <c r="P32" s="10">
        <v>18571.0</v>
      </c>
      <c r="Q32" s="10">
        <v>200.0</v>
      </c>
      <c r="R32" s="32">
        <v>44582.0</v>
      </c>
      <c r="S32" s="1">
        <f>((Q31+Q30)/(P32-P30))</f>
        <v>1.628664495</v>
      </c>
      <c r="T32" s="10">
        <v>108.26</v>
      </c>
      <c r="U32" s="1">
        <f t="shared" ref="U32:U46" si="6">(T32/S32)</f>
        <v>66.47164</v>
      </c>
      <c r="V32" s="10" t="s">
        <v>22</v>
      </c>
      <c r="W32" s="1"/>
      <c r="X32" s="1"/>
      <c r="Y32" s="1"/>
      <c r="Z32" s="1"/>
      <c r="AA32" s="1"/>
    </row>
    <row r="33">
      <c r="A33" s="1"/>
      <c r="B33" s="1"/>
      <c r="D33" s="30">
        <f t="shared" ref="D33:D34" si="7">(F33/(G33-G32))</f>
        <v>1.038062284</v>
      </c>
      <c r="E33" s="10"/>
      <c r="F33" s="10">
        <v>300.0</v>
      </c>
      <c r="G33" s="10">
        <v>37234.0</v>
      </c>
      <c r="H33" s="1"/>
      <c r="I33" s="11">
        <v>43495.0</v>
      </c>
      <c r="K33" s="10" t="s">
        <v>23</v>
      </c>
      <c r="L33" s="1"/>
      <c r="M33" s="1"/>
      <c r="P33" s="10">
        <v>18819.0</v>
      </c>
      <c r="Q33" s="10">
        <v>200.0</v>
      </c>
      <c r="R33" s="32">
        <v>44601.0</v>
      </c>
      <c r="S33" s="1">
        <f t="shared" ref="S33:S36" si="8">(Q32/(P33-P32))</f>
        <v>0.8064516129</v>
      </c>
      <c r="T33" s="10">
        <v>108.72</v>
      </c>
      <c r="U33" s="1">
        <f t="shared" si="6"/>
        <v>134.8128</v>
      </c>
      <c r="V33" s="10" t="s">
        <v>24</v>
      </c>
      <c r="W33" s="1"/>
      <c r="X33" s="1"/>
      <c r="Y33" s="1"/>
      <c r="Z33" s="1"/>
      <c r="AA33" s="1"/>
    </row>
    <row r="34">
      <c r="A34" s="1"/>
      <c r="B34" s="1"/>
      <c r="D34" s="30">
        <f t="shared" si="7"/>
        <v>1.578947368</v>
      </c>
      <c r="E34" s="10"/>
      <c r="F34" s="10">
        <v>300.0</v>
      </c>
      <c r="G34" s="10">
        <v>37424.0</v>
      </c>
      <c r="H34" s="1"/>
      <c r="I34" s="11">
        <v>43513.0</v>
      </c>
      <c r="K34" s="1"/>
      <c r="L34" s="1"/>
      <c r="M34" s="1"/>
      <c r="P34" s="10">
        <v>18900.0</v>
      </c>
      <c r="Q34" s="10">
        <v>200.0</v>
      </c>
      <c r="R34" s="32">
        <v>44609.0</v>
      </c>
      <c r="S34" s="1">
        <f t="shared" si="8"/>
        <v>2.469135802</v>
      </c>
      <c r="T34" s="10">
        <v>108.26</v>
      </c>
      <c r="U34" s="1">
        <f t="shared" si="6"/>
        <v>43.8453</v>
      </c>
      <c r="V34" s="1"/>
      <c r="W34" s="1"/>
      <c r="X34" s="1"/>
      <c r="Y34" s="1"/>
      <c r="Z34" s="1"/>
      <c r="AA34" s="1"/>
    </row>
    <row r="35">
      <c r="A35" s="1"/>
      <c r="B35" s="1"/>
      <c r="D35" s="1"/>
      <c r="E35" s="1"/>
      <c r="F35" s="1"/>
      <c r="G35" s="1"/>
      <c r="H35" s="10">
        <v>37432.0</v>
      </c>
      <c r="I35" s="10" t="s">
        <v>25</v>
      </c>
      <c r="J35" s="1"/>
      <c r="K35" s="1"/>
      <c r="L35" s="1"/>
      <c r="M35" s="1"/>
      <c r="O35" s="34" t="s">
        <v>26</v>
      </c>
      <c r="P35" s="10">
        <v>19156.0</v>
      </c>
      <c r="Q35" s="10">
        <v>200.0</v>
      </c>
      <c r="R35" s="32">
        <v>44637.0</v>
      </c>
      <c r="S35" s="1">
        <f t="shared" si="8"/>
        <v>0.78125</v>
      </c>
      <c r="T35" s="1"/>
      <c r="U35" s="1">
        <f t="shared" si="6"/>
        <v>0</v>
      </c>
      <c r="V35" s="1"/>
      <c r="W35" s="1"/>
      <c r="X35" s="1"/>
      <c r="Y35" s="1"/>
      <c r="Z35" s="1"/>
      <c r="AA35" s="1"/>
    </row>
    <row r="36">
      <c r="A36" s="1"/>
      <c r="B36" s="1"/>
      <c r="C36" s="35">
        <f>(H53-H35)</f>
        <v>2618</v>
      </c>
      <c r="D36" s="30">
        <f>(F36/(G36-G34))</f>
        <v>2.255639098</v>
      </c>
      <c r="E36" s="10"/>
      <c r="F36" s="10">
        <v>300.0</v>
      </c>
      <c r="G36" s="10">
        <v>37557.0</v>
      </c>
      <c r="H36" s="1"/>
      <c r="I36" s="11">
        <v>43520.0</v>
      </c>
      <c r="J36" s="1"/>
      <c r="K36" s="1"/>
      <c r="L36" s="1"/>
      <c r="M36" s="1"/>
      <c r="N36">
        <f>(P36-P14)</f>
        <v>2614</v>
      </c>
      <c r="O36" s="36" t="s">
        <v>27</v>
      </c>
      <c r="P36" s="10">
        <v>19197.0</v>
      </c>
      <c r="Q36" s="10">
        <v>250.0</v>
      </c>
      <c r="R36" s="32">
        <v>44645.0</v>
      </c>
      <c r="S36" s="1">
        <f t="shared" si="8"/>
        <v>4.87804878</v>
      </c>
      <c r="T36" s="10">
        <v>110.98</v>
      </c>
      <c r="U36" s="1">
        <f t="shared" si="6"/>
        <v>22.7509</v>
      </c>
      <c r="V36" s="10" t="s">
        <v>22</v>
      </c>
      <c r="W36" s="1"/>
      <c r="X36" s="1"/>
      <c r="Y36" s="1"/>
      <c r="Z36" s="1"/>
      <c r="AA36" s="1"/>
    </row>
    <row r="37">
      <c r="A37" s="1"/>
      <c r="B37" s="1"/>
      <c r="D37" s="1">
        <f t="shared" ref="D37:D38" si="9">(F37/(-G36+G37))</f>
        <v>1.863354037</v>
      </c>
      <c r="E37" s="10"/>
      <c r="F37" s="10">
        <v>300.0</v>
      </c>
      <c r="G37" s="10">
        <v>37718.0</v>
      </c>
      <c r="H37" s="1"/>
      <c r="I37" s="11">
        <v>43533.0</v>
      </c>
      <c r="J37" s="1"/>
      <c r="K37" s="10" t="s">
        <v>28</v>
      </c>
      <c r="L37" s="1"/>
      <c r="M37" s="1"/>
      <c r="N37" s="10" t="s">
        <v>29</v>
      </c>
      <c r="O37" s="10" t="s">
        <v>30</v>
      </c>
      <c r="P37" s="10">
        <v>20260.0</v>
      </c>
      <c r="Q37" s="10">
        <v>200.0</v>
      </c>
      <c r="R37" s="32">
        <v>45334.0</v>
      </c>
      <c r="S37" s="1"/>
      <c r="T37" s="10">
        <v>109.66</v>
      </c>
      <c r="U37" s="1" t="str">
        <f t="shared" si="6"/>
        <v>#DIV/0!</v>
      </c>
      <c r="V37" s="10" t="s">
        <v>31</v>
      </c>
      <c r="W37" s="1"/>
      <c r="X37" s="1"/>
      <c r="Y37" s="1"/>
      <c r="Z37" s="1"/>
      <c r="AA37" s="1"/>
    </row>
    <row r="38">
      <c r="A38" s="1"/>
      <c r="B38" s="1"/>
      <c r="D38" s="30">
        <f t="shared" si="9"/>
        <v>1.775147929</v>
      </c>
      <c r="E38" s="10"/>
      <c r="F38" s="10">
        <v>300.0</v>
      </c>
      <c r="G38" s="10">
        <v>37887.0</v>
      </c>
      <c r="H38" s="1"/>
      <c r="I38" s="11">
        <v>43546.0</v>
      </c>
      <c r="J38" s="1"/>
      <c r="K38" s="10" t="s">
        <v>32</v>
      </c>
      <c r="L38" s="10" t="s">
        <v>33</v>
      </c>
      <c r="M38" s="1"/>
      <c r="N38" s="1"/>
      <c r="O38" s="10" t="s">
        <v>34</v>
      </c>
      <c r="P38" s="10">
        <v>20320.0</v>
      </c>
      <c r="Q38" s="10">
        <v>200.0</v>
      </c>
      <c r="R38" s="32">
        <v>45346.0</v>
      </c>
      <c r="S38" s="1">
        <f t="shared" ref="S38:S59" si="10">(Q37/(P38-P37))</f>
        <v>3.333333333</v>
      </c>
      <c r="T38" s="10">
        <v>109.66</v>
      </c>
      <c r="U38" s="1">
        <f t="shared" si="6"/>
        <v>32.898</v>
      </c>
      <c r="V38" s="10" t="s">
        <v>24</v>
      </c>
      <c r="W38" s="1"/>
      <c r="X38" s="1"/>
      <c r="Y38" s="1"/>
      <c r="Z38" s="1"/>
      <c r="AA38" s="1"/>
    </row>
    <row r="39">
      <c r="A39" s="1"/>
      <c r="B39" s="1"/>
      <c r="D39" s="1">
        <f>F39/(G39-G38)</f>
        <v>1.621621622</v>
      </c>
      <c r="E39" s="10"/>
      <c r="F39" s="10">
        <v>300.0</v>
      </c>
      <c r="G39" s="10">
        <v>38072.0</v>
      </c>
      <c r="H39" s="1"/>
      <c r="I39" s="11">
        <v>43556.0</v>
      </c>
      <c r="J39" s="1"/>
      <c r="K39" s="10" t="s">
        <v>35</v>
      </c>
      <c r="L39" s="10" t="s">
        <v>24</v>
      </c>
      <c r="M39" s="1"/>
      <c r="N39" s="1"/>
      <c r="O39" s="1"/>
      <c r="P39" s="10">
        <v>20345.0</v>
      </c>
      <c r="Q39" s="10">
        <v>200.0</v>
      </c>
      <c r="R39" s="32">
        <v>45352.0</v>
      </c>
      <c r="S39" s="1">
        <f t="shared" si="10"/>
        <v>8</v>
      </c>
      <c r="T39" s="10">
        <v>109.8</v>
      </c>
      <c r="U39" s="1">
        <f t="shared" si="6"/>
        <v>13.725</v>
      </c>
      <c r="V39" s="10" t="s">
        <v>31</v>
      </c>
      <c r="W39" s="1"/>
      <c r="X39" s="1"/>
      <c r="Y39" s="1"/>
      <c r="Z39" s="1"/>
      <c r="AA39" s="1"/>
    </row>
    <row r="40">
      <c r="A40" s="1"/>
      <c r="B40" s="1"/>
      <c r="D40" s="30">
        <f t="shared" ref="D40:D43" si="11">(F39/(G40-G39))</f>
        <v>3.06122449</v>
      </c>
      <c r="E40" s="10"/>
      <c r="F40" s="10">
        <v>100.0</v>
      </c>
      <c r="G40" s="10">
        <v>38170.0</v>
      </c>
      <c r="H40" s="1"/>
      <c r="I40" s="32">
        <v>43569.0</v>
      </c>
      <c r="J40" s="1"/>
      <c r="K40" s="1"/>
      <c r="L40" s="1"/>
      <c r="M40" s="1"/>
      <c r="N40" s="1"/>
      <c r="O40" s="1"/>
      <c r="P40" s="10">
        <v>20402.0</v>
      </c>
      <c r="Q40" s="10">
        <v>120.0</v>
      </c>
      <c r="R40" s="32">
        <v>45374.0</v>
      </c>
      <c r="S40" s="1">
        <f t="shared" si="10"/>
        <v>3.50877193</v>
      </c>
      <c r="T40" s="10">
        <v>107.2</v>
      </c>
      <c r="U40" s="1">
        <f t="shared" si="6"/>
        <v>30.552</v>
      </c>
      <c r="V40" s="1"/>
      <c r="W40" s="1"/>
      <c r="X40" s="1"/>
      <c r="Y40" s="1"/>
      <c r="Z40" s="1"/>
      <c r="AA40" s="1"/>
    </row>
    <row r="41">
      <c r="A41" s="1"/>
      <c r="B41" s="1"/>
      <c r="D41" s="30">
        <f t="shared" si="11"/>
        <v>1.515151515</v>
      </c>
      <c r="E41" s="10"/>
      <c r="F41" s="10">
        <v>300.0</v>
      </c>
      <c r="G41" s="10">
        <v>38236.0</v>
      </c>
      <c r="H41" s="1"/>
      <c r="I41" s="37">
        <v>43579.0</v>
      </c>
      <c r="J41" s="1"/>
      <c r="K41" s="1"/>
      <c r="L41" s="10" t="s">
        <v>36</v>
      </c>
      <c r="M41" s="1"/>
      <c r="N41" s="1"/>
      <c r="O41" s="1"/>
      <c r="P41" s="10">
        <v>20471.0</v>
      </c>
      <c r="Q41" s="10">
        <v>200.0</v>
      </c>
      <c r="R41" s="32">
        <v>45396.0</v>
      </c>
      <c r="S41" s="1">
        <f t="shared" si="10"/>
        <v>1.739130435</v>
      </c>
      <c r="T41" s="1"/>
      <c r="U41" s="1">
        <f t="shared" si="6"/>
        <v>0</v>
      </c>
      <c r="V41" s="1"/>
      <c r="W41" s="1"/>
      <c r="X41" s="1"/>
      <c r="Y41" s="1"/>
      <c r="Z41" s="1"/>
      <c r="AA41" s="1"/>
    </row>
    <row r="42">
      <c r="A42" s="1"/>
      <c r="B42" s="1"/>
      <c r="D42" s="30">
        <f t="shared" si="11"/>
        <v>2.727272727</v>
      </c>
      <c r="E42" s="10"/>
      <c r="F42" s="10">
        <v>500.0</v>
      </c>
      <c r="G42" s="10">
        <v>38346.0</v>
      </c>
      <c r="H42" s="1"/>
      <c r="I42" s="37">
        <v>43583.0</v>
      </c>
      <c r="J42" s="1"/>
      <c r="K42" s="1"/>
      <c r="L42" s="1"/>
      <c r="M42" s="1"/>
      <c r="N42" s="1"/>
      <c r="O42" s="1"/>
      <c r="P42" s="10">
        <v>20573.0</v>
      </c>
      <c r="Q42" s="10">
        <v>200.0</v>
      </c>
      <c r="R42" s="37">
        <v>45422.0</v>
      </c>
      <c r="S42" s="1">
        <f t="shared" si="10"/>
        <v>1.960784314</v>
      </c>
      <c r="T42" s="10">
        <v>107.41</v>
      </c>
      <c r="U42" s="1">
        <f t="shared" si="6"/>
        <v>54.7791</v>
      </c>
      <c r="V42" s="10" t="s">
        <v>22</v>
      </c>
      <c r="W42" s="1"/>
      <c r="X42" s="1"/>
      <c r="Y42" s="1"/>
      <c r="Z42" s="1"/>
      <c r="AA42" s="1"/>
    </row>
    <row r="43">
      <c r="A43" s="1"/>
      <c r="B43" s="1"/>
      <c r="D43" s="30">
        <f t="shared" si="11"/>
        <v>1.644736842</v>
      </c>
      <c r="E43" s="10"/>
      <c r="F43" s="10">
        <v>500.0</v>
      </c>
      <c r="G43" s="10">
        <v>38650.0</v>
      </c>
      <c r="H43" s="1"/>
      <c r="I43" s="37">
        <v>43604.0</v>
      </c>
      <c r="J43" s="1"/>
      <c r="K43" s="1"/>
      <c r="L43" s="1"/>
      <c r="M43" s="1"/>
      <c r="N43" s="1"/>
      <c r="O43" s="1"/>
      <c r="P43" s="10">
        <v>20601.0</v>
      </c>
      <c r="Q43" s="10">
        <v>200.0</v>
      </c>
      <c r="R43" s="37">
        <v>45435.0</v>
      </c>
      <c r="S43" s="1">
        <f t="shared" si="10"/>
        <v>7.142857143</v>
      </c>
      <c r="T43" s="10">
        <v>107.4</v>
      </c>
      <c r="U43" s="1">
        <f t="shared" si="6"/>
        <v>15.036</v>
      </c>
      <c r="V43" s="10" t="s">
        <v>22</v>
      </c>
      <c r="W43" s="1"/>
      <c r="X43" s="1"/>
      <c r="Y43" s="1"/>
      <c r="Z43" s="1"/>
      <c r="AA43" s="1"/>
    </row>
    <row r="44">
      <c r="A44" s="1"/>
      <c r="B44" s="1"/>
      <c r="D44" s="30"/>
      <c r="E44" s="1"/>
      <c r="F44" s="1"/>
      <c r="G44" s="10"/>
      <c r="H44" s="10">
        <v>38768.0</v>
      </c>
      <c r="I44" s="10" t="s">
        <v>37</v>
      </c>
      <c r="J44" s="1"/>
      <c r="K44" s="1"/>
      <c r="L44" s="1"/>
      <c r="M44" s="1"/>
      <c r="N44" s="1"/>
      <c r="O44" s="1"/>
      <c r="P44" s="10">
        <v>20812.0</v>
      </c>
      <c r="Q44" s="10">
        <v>200.0</v>
      </c>
      <c r="R44" s="32">
        <v>45480.0</v>
      </c>
      <c r="S44" s="1">
        <f t="shared" si="10"/>
        <v>0.9478672986</v>
      </c>
      <c r="T44" s="1"/>
      <c r="U44" s="1">
        <f t="shared" si="6"/>
        <v>0</v>
      </c>
      <c r="V44" s="1"/>
      <c r="W44" s="1"/>
      <c r="X44" s="1"/>
      <c r="Y44" s="1"/>
      <c r="Z44" s="1"/>
      <c r="AA44" s="1"/>
    </row>
    <row r="45">
      <c r="A45" s="1"/>
      <c r="B45" s="1"/>
      <c r="D45" s="30">
        <f>(F43/(G45-G43+60))</f>
        <v>2.109704641</v>
      </c>
      <c r="E45" s="10"/>
      <c r="F45" s="10">
        <v>500.0</v>
      </c>
      <c r="G45" s="10">
        <v>38827.0</v>
      </c>
      <c r="H45" s="1"/>
      <c r="I45" s="37">
        <v>43628.0</v>
      </c>
      <c r="J45" s="1"/>
      <c r="K45" s="1"/>
      <c r="L45" s="1"/>
      <c r="M45" s="1"/>
      <c r="N45" s="1"/>
      <c r="O45" s="1"/>
      <c r="P45" s="10">
        <v>20860.0</v>
      </c>
      <c r="Q45" s="10">
        <v>200.0</v>
      </c>
      <c r="R45" s="32">
        <v>45501.0</v>
      </c>
      <c r="S45" s="1">
        <f t="shared" si="10"/>
        <v>4.166666667</v>
      </c>
      <c r="T45" s="1"/>
      <c r="U45" s="1">
        <f t="shared" si="6"/>
        <v>0</v>
      </c>
      <c r="V45" s="1"/>
      <c r="W45" s="1"/>
      <c r="X45" s="1"/>
      <c r="Y45" s="1"/>
      <c r="Z45" s="1"/>
      <c r="AA45" s="1"/>
    </row>
    <row r="46">
      <c r="A46" s="1"/>
      <c r="B46" s="1"/>
      <c r="D46" s="30">
        <f t="shared" ref="D46:D48" si="12">(F45/(G46-G45))</f>
        <v>2.008032129</v>
      </c>
      <c r="E46" s="10"/>
      <c r="F46" s="10">
        <v>300.0</v>
      </c>
      <c r="G46" s="10">
        <v>39076.0</v>
      </c>
      <c r="H46" s="1"/>
      <c r="I46" s="37">
        <v>43639.0</v>
      </c>
      <c r="J46" s="1"/>
      <c r="K46" s="1"/>
      <c r="L46" s="1"/>
      <c r="M46" s="1"/>
      <c r="N46" s="1"/>
      <c r="O46" s="1"/>
      <c r="P46" s="10">
        <v>20950.0</v>
      </c>
      <c r="Q46" s="10">
        <v>200.0</v>
      </c>
      <c r="R46" s="32">
        <v>45537.0</v>
      </c>
      <c r="S46" s="1">
        <f t="shared" si="10"/>
        <v>2.222222222</v>
      </c>
      <c r="T46" s="1">
        <f>(Q46/1.75)</f>
        <v>114.2857143</v>
      </c>
      <c r="U46" s="1">
        <f t="shared" si="6"/>
        <v>51.42857143</v>
      </c>
      <c r="V46" s="10" t="s">
        <v>38</v>
      </c>
      <c r="W46" s="1"/>
      <c r="X46" s="1"/>
      <c r="Y46" s="1"/>
      <c r="Z46" s="1"/>
      <c r="AA46" s="1"/>
    </row>
    <row r="47">
      <c r="A47" s="1"/>
      <c r="B47" s="1"/>
      <c r="D47" s="30">
        <f t="shared" si="12"/>
        <v>2.830188679</v>
      </c>
      <c r="E47" s="10"/>
      <c r="F47" s="10">
        <v>500.0</v>
      </c>
      <c r="G47" s="10">
        <v>39182.0</v>
      </c>
      <c r="H47" s="1"/>
      <c r="I47" s="37">
        <v>43647.0</v>
      </c>
      <c r="J47" s="1"/>
      <c r="K47" s="1"/>
      <c r="L47" s="10" t="s">
        <v>24</v>
      </c>
      <c r="M47" s="1"/>
      <c r="N47" s="10" t="s">
        <v>39</v>
      </c>
      <c r="O47" s="10" t="s">
        <v>40</v>
      </c>
      <c r="P47" s="10">
        <v>21020.0</v>
      </c>
      <c r="Q47" s="10">
        <v>200.0</v>
      </c>
      <c r="R47" s="32">
        <v>45564.0</v>
      </c>
      <c r="S47" s="1">
        <f t="shared" si="10"/>
        <v>2.857142857</v>
      </c>
      <c r="T47" s="1"/>
      <c r="U47" s="1"/>
      <c r="V47" s="10"/>
      <c r="W47" s="1"/>
      <c r="X47" s="1"/>
      <c r="Y47" s="1"/>
      <c r="Z47" s="1"/>
      <c r="AA47" s="1"/>
    </row>
    <row r="48">
      <c r="A48" s="1"/>
      <c r="B48" s="1"/>
      <c r="D48" s="30">
        <f t="shared" si="12"/>
        <v>2.5</v>
      </c>
      <c r="E48" s="10"/>
      <c r="F48" s="10">
        <f>(500+100)</f>
        <v>600</v>
      </c>
      <c r="G48" s="10">
        <v>39382.0</v>
      </c>
      <c r="H48" s="1"/>
      <c r="I48" s="37">
        <v>43660.0</v>
      </c>
      <c r="J48" s="1"/>
      <c r="K48" s="1"/>
      <c r="L48" s="10" t="s">
        <v>41</v>
      </c>
      <c r="M48" s="1"/>
      <c r="N48" s="1"/>
      <c r="O48" s="1"/>
      <c r="P48" s="10">
        <v>21078.0</v>
      </c>
      <c r="Q48" s="10">
        <v>200.0</v>
      </c>
      <c r="R48" s="38">
        <v>45593.0</v>
      </c>
      <c r="S48" s="1">
        <f t="shared" si="10"/>
        <v>3.448275862</v>
      </c>
      <c r="T48" s="1"/>
      <c r="U48" s="1"/>
      <c r="V48" s="10" t="s">
        <v>42</v>
      </c>
      <c r="W48" s="1"/>
      <c r="X48" s="1"/>
      <c r="Y48" s="1"/>
      <c r="Z48" s="1"/>
      <c r="AA48" s="1"/>
    </row>
    <row r="49">
      <c r="A49" s="1"/>
      <c r="B49" s="1"/>
      <c r="D49" s="1"/>
      <c r="E49" s="1"/>
      <c r="F49" s="1"/>
      <c r="G49" s="1"/>
      <c r="H49" s="1"/>
      <c r="I49" s="32">
        <v>43663.0</v>
      </c>
      <c r="J49" s="1"/>
      <c r="K49" s="1"/>
      <c r="L49" s="10" t="s">
        <v>43</v>
      </c>
      <c r="M49" s="1"/>
      <c r="N49" s="1"/>
      <c r="O49" s="1"/>
      <c r="P49" s="10">
        <v>21132.0</v>
      </c>
      <c r="Q49" s="10">
        <v>200.0</v>
      </c>
      <c r="R49" s="32">
        <v>41962.0</v>
      </c>
      <c r="S49" s="1">
        <f t="shared" si="10"/>
        <v>3.703703704</v>
      </c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D50" s="1"/>
      <c r="E50" s="1"/>
      <c r="F50" s="1"/>
      <c r="G50" s="10"/>
      <c r="H50" s="1"/>
      <c r="I50" s="32"/>
      <c r="J50" s="1"/>
      <c r="K50" s="1"/>
      <c r="L50" s="10"/>
      <c r="M50" s="1"/>
      <c r="N50" s="1"/>
      <c r="O50" s="1"/>
      <c r="P50" s="10">
        <v>21205.0</v>
      </c>
      <c r="Q50" s="10">
        <v>200.0</v>
      </c>
      <c r="R50" s="32">
        <v>45639.0</v>
      </c>
      <c r="S50" s="1">
        <f t="shared" si="10"/>
        <v>2.739726027</v>
      </c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D51" s="1"/>
      <c r="E51" s="1"/>
      <c r="F51" s="1"/>
      <c r="G51" s="10">
        <v>39495.0</v>
      </c>
      <c r="H51" s="1"/>
      <c r="I51" s="32">
        <v>43667.0</v>
      </c>
      <c r="J51" s="1"/>
      <c r="K51" s="1"/>
      <c r="L51" s="10" t="s">
        <v>44</v>
      </c>
      <c r="M51" s="1"/>
      <c r="N51" s="1"/>
      <c r="O51" s="1"/>
      <c r="P51" s="10">
        <v>21280.0</v>
      </c>
      <c r="Q51" s="10">
        <v>200.0</v>
      </c>
      <c r="R51" s="32">
        <v>45644.0</v>
      </c>
      <c r="S51" s="1">
        <f t="shared" si="10"/>
        <v>2.666666667</v>
      </c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D52" s="30">
        <f>(F48/(G52-G48))</f>
        <v>1.405152225</v>
      </c>
      <c r="E52" s="10"/>
      <c r="F52" s="10">
        <v>500.0</v>
      </c>
      <c r="G52" s="10">
        <v>39809.0</v>
      </c>
      <c r="H52" s="1"/>
      <c r="I52" s="32">
        <v>43688.0</v>
      </c>
      <c r="J52" s="1"/>
      <c r="K52" s="1"/>
      <c r="L52" s="10" t="s">
        <v>45</v>
      </c>
      <c r="M52" s="1"/>
      <c r="N52" s="1"/>
      <c r="O52" s="1"/>
      <c r="P52" s="10">
        <v>21352.0</v>
      </c>
      <c r="Q52" s="10">
        <v>200.0</v>
      </c>
      <c r="R52" s="32">
        <v>45670.0</v>
      </c>
      <c r="S52" s="1">
        <f t="shared" si="10"/>
        <v>2.777777778</v>
      </c>
      <c r="T52" s="1"/>
      <c r="U52" s="1"/>
      <c r="V52" s="10" t="s">
        <v>24</v>
      </c>
      <c r="W52" s="1"/>
      <c r="X52" s="1"/>
      <c r="Y52" s="1"/>
      <c r="Z52" s="1"/>
      <c r="AA52" s="1"/>
    </row>
    <row r="53">
      <c r="A53" s="1"/>
      <c r="B53" s="1"/>
      <c r="D53" s="30">
        <f>(F52/(G53-G52))</f>
        <v>2.074688797</v>
      </c>
      <c r="E53" s="10"/>
      <c r="F53" s="10">
        <v>500.0</v>
      </c>
      <c r="G53" s="10">
        <v>40050.0</v>
      </c>
      <c r="H53" s="10">
        <v>40050.0</v>
      </c>
      <c r="I53" s="10" t="s">
        <v>46</v>
      </c>
      <c r="J53" s="1"/>
      <c r="K53" s="1"/>
      <c r="L53" s="1"/>
      <c r="M53" s="1"/>
      <c r="N53" s="1"/>
      <c r="O53" s="1"/>
      <c r="P53" s="10">
        <v>21431.0</v>
      </c>
      <c r="Q53" s="10">
        <v>200.0</v>
      </c>
      <c r="R53" s="32">
        <v>45702.0</v>
      </c>
      <c r="S53" s="39">
        <f t="shared" si="10"/>
        <v>2.53164557</v>
      </c>
      <c r="T53" s="1"/>
      <c r="U53" s="1"/>
      <c r="V53" s="10" t="s">
        <v>24</v>
      </c>
      <c r="W53" s="1"/>
      <c r="X53" s="1"/>
      <c r="Y53" s="1"/>
      <c r="Z53" s="1"/>
      <c r="AA53" s="1"/>
    </row>
    <row r="54">
      <c r="A54" s="1"/>
      <c r="B54" s="1"/>
      <c r="C54" s="31">
        <f>(count(F55:F67)*250)</f>
        <v>3250</v>
      </c>
      <c r="D54" s="1"/>
      <c r="E54" s="10"/>
      <c r="F54" s="10">
        <v>500.0</v>
      </c>
      <c r="G54" s="1"/>
      <c r="H54" s="10">
        <v>40105.0</v>
      </c>
      <c r="I54" s="10" t="s">
        <v>47</v>
      </c>
      <c r="J54" s="1"/>
      <c r="K54" s="1"/>
      <c r="L54" s="10" t="s">
        <v>48</v>
      </c>
      <c r="M54" s="1"/>
      <c r="N54" s="1"/>
      <c r="O54" s="1"/>
      <c r="P54" s="10">
        <v>21571.0</v>
      </c>
      <c r="Q54" s="10">
        <v>200.0</v>
      </c>
      <c r="R54" s="32">
        <v>45746.0</v>
      </c>
      <c r="S54" s="1">
        <f t="shared" si="10"/>
        <v>1.428571429</v>
      </c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D55" s="30">
        <f>(F52/(G55-H53))</f>
        <v>2.89017341</v>
      </c>
      <c r="E55" s="10"/>
      <c r="F55" s="10">
        <v>500.0</v>
      </c>
      <c r="G55" s="10">
        <v>40223.0</v>
      </c>
      <c r="H55" s="1"/>
      <c r="I55" s="10" t="s">
        <v>49</v>
      </c>
      <c r="J55" s="1"/>
      <c r="K55" s="1"/>
      <c r="L55" s="1"/>
      <c r="M55" s="1"/>
      <c r="N55" s="1"/>
      <c r="O55" s="1"/>
      <c r="P55" s="10">
        <v>21620.0</v>
      </c>
      <c r="Q55" s="10">
        <v>200.0</v>
      </c>
      <c r="R55" s="32">
        <v>45762.0</v>
      </c>
      <c r="S55" s="1">
        <f t="shared" si="10"/>
        <v>4.081632653</v>
      </c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D56" s="1"/>
      <c r="E56" s="10"/>
      <c r="F56" s="10">
        <v>500.0</v>
      </c>
      <c r="G56" s="1"/>
      <c r="H56" s="1"/>
      <c r="I56" s="40">
        <v>43740.0</v>
      </c>
      <c r="J56" s="1"/>
      <c r="K56" s="1"/>
      <c r="L56" s="10" t="s">
        <v>36</v>
      </c>
      <c r="M56" s="1"/>
      <c r="N56" s="1"/>
      <c r="O56" s="1"/>
      <c r="P56" s="10">
        <v>21776.0</v>
      </c>
      <c r="Q56" s="10">
        <v>198.0</v>
      </c>
      <c r="R56" s="22">
        <v>45808.0</v>
      </c>
      <c r="S56" s="1">
        <f t="shared" si="10"/>
        <v>1.282051282</v>
      </c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D57" s="1"/>
      <c r="E57" s="10"/>
      <c r="F57" s="10">
        <v>500.0</v>
      </c>
      <c r="G57" s="1"/>
      <c r="H57" s="1"/>
      <c r="I57" s="32">
        <v>43758.0</v>
      </c>
      <c r="J57" s="1"/>
      <c r="K57" s="1"/>
      <c r="L57" s="10" t="s">
        <v>50</v>
      </c>
      <c r="M57" s="1"/>
      <c r="N57" s="1"/>
      <c r="O57" s="1"/>
      <c r="P57" s="10">
        <v>21866.0</v>
      </c>
      <c r="Q57" s="10">
        <v>198.0</v>
      </c>
      <c r="R57" s="32">
        <v>45823.0</v>
      </c>
      <c r="S57" s="1">
        <f t="shared" si="10"/>
        <v>2.2</v>
      </c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D58" s="1"/>
      <c r="E58" s="10"/>
      <c r="F58" s="10">
        <v>500.0</v>
      </c>
      <c r="G58" s="1"/>
      <c r="H58" s="1"/>
      <c r="I58" s="32">
        <v>43771.0</v>
      </c>
      <c r="J58" s="1"/>
      <c r="K58" s="1"/>
      <c r="L58" s="10" t="s">
        <v>24</v>
      </c>
      <c r="M58" s="1"/>
      <c r="N58" s="1"/>
      <c r="O58" s="1"/>
      <c r="P58" s="10">
        <v>21960.0</v>
      </c>
      <c r="Q58" s="10">
        <f>(200+385.78)</f>
        <v>585.78</v>
      </c>
      <c r="R58" s="32">
        <v>45840.0</v>
      </c>
      <c r="S58" s="1">
        <f t="shared" si="10"/>
        <v>2.106382979</v>
      </c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D59" s="1"/>
      <c r="E59" s="10"/>
      <c r="F59" s="10">
        <v>500.0</v>
      </c>
      <c r="G59" s="1"/>
      <c r="H59" s="1"/>
      <c r="I59" s="32">
        <v>43789.0</v>
      </c>
      <c r="J59" s="1"/>
      <c r="K59" s="1"/>
      <c r="L59" s="10" t="s">
        <v>36</v>
      </c>
      <c r="M59" s="1"/>
      <c r="N59" s="1"/>
      <c r="O59" s="10" t="s">
        <v>51</v>
      </c>
      <c r="P59" s="10">
        <v>22037.0</v>
      </c>
      <c r="Q59" s="10">
        <v>167.0</v>
      </c>
      <c r="R59" s="32">
        <v>45851.0</v>
      </c>
      <c r="S59" s="1">
        <f t="shared" si="10"/>
        <v>7.607532468</v>
      </c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D60" s="1"/>
      <c r="E60" s="10"/>
      <c r="F60" s="10">
        <v>500.0</v>
      </c>
      <c r="G60" s="1"/>
      <c r="H60" s="1"/>
      <c r="I60" s="32">
        <v>43799.0</v>
      </c>
      <c r="J60" s="1"/>
      <c r="K60" s="1"/>
      <c r="L60" s="10" t="s">
        <v>24</v>
      </c>
      <c r="M60" s="1"/>
      <c r="N60" s="1"/>
      <c r="O60" s="1"/>
      <c r="P60" s="10">
        <v>22252.0</v>
      </c>
      <c r="Q60" s="10">
        <v>222.0</v>
      </c>
      <c r="R60" s="32">
        <v>45918.0</v>
      </c>
      <c r="S60" s="1">
        <f>((Q59+Q60+Q58+Q57+Q56)/(P60-P56))</f>
        <v>2.879789916</v>
      </c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D61" s="1"/>
      <c r="E61" s="10"/>
      <c r="F61" s="10">
        <v>500.0</v>
      </c>
      <c r="G61" s="1"/>
      <c r="H61" s="1"/>
      <c r="I61" s="32">
        <v>43811.0</v>
      </c>
      <c r="J61" s="1"/>
      <c r="K61" s="1"/>
      <c r="L61" s="10" t="s">
        <v>41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D62" s="1"/>
      <c r="E62" s="10"/>
      <c r="F62" s="10">
        <v>500.0</v>
      </c>
      <c r="G62" s="1"/>
      <c r="H62" s="1"/>
      <c r="I62" s="32">
        <v>43833.0</v>
      </c>
      <c r="J62" s="1"/>
      <c r="K62" s="1"/>
      <c r="L62" s="10" t="s">
        <v>24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D63" s="1"/>
      <c r="E63" s="10"/>
      <c r="F63" s="10">
        <v>500.0</v>
      </c>
      <c r="G63" s="1"/>
      <c r="H63" s="1"/>
      <c r="I63" s="32">
        <v>43842.0</v>
      </c>
      <c r="J63" s="1"/>
      <c r="K63" s="1"/>
      <c r="L63" s="10" t="s">
        <v>41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D64" s="1"/>
      <c r="E64" s="10"/>
      <c r="F64" s="10">
        <v>500.0</v>
      </c>
      <c r="G64" s="1"/>
      <c r="H64" s="1"/>
      <c r="I64" s="32">
        <v>43855.0</v>
      </c>
      <c r="J64" s="1"/>
      <c r="K64" s="1"/>
      <c r="L64" s="10" t="s">
        <v>24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D65" s="1"/>
      <c r="E65" s="10"/>
      <c r="F65" s="10">
        <v>500.0</v>
      </c>
      <c r="G65" s="1"/>
      <c r="H65" s="1"/>
      <c r="I65" s="32">
        <v>43870.0</v>
      </c>
      <c r="J65" s="1"/>
      <c r="K65" s="1"/>
      <c r="L65" s="10" t="s">
        <v>41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D66" s="1"/>
      <c r="E66" s="10"/>
      <c r="F66" s="10">
        <v>500.0</v>
      </c>
      <c r="G66" s="1"/>
      <c r="H66" s="1"/>
      <c r="I66" s="32">
        <v>43885.0</v>
      </c>
      <c r="J66" s="1"/>
      <c r="K66" s="10" t="s">
        <v>52</v>
      </c>
      <c r="L66" s="10" t="s">
        <v>41</v>
      </c>
      <c r="M66" s="10" t="s">
        <v>53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D67" s="1"/>
      <c r="E67" s="10"/>
      <c r="F67" s="10">
        <v>500.0</v>
      </c>
      <c r="G67" s="1"/>
      <c r="H67" s="1"/>
      <c r="I67" s="32">
        <v>43898.0</v>
      </c>
      <c r="J67" s="1"/>
      <c r="K67" s="1"/>
      <c r="L67" s="10" t="s">
        <v>24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D68" s="1"/>
      <c r="E68" s="10"/>
      <c r="F68" s="10">
        <v>650.0</v>
      </c>
      <c r="G68" s="1"/>
      <c r="H68" s="1"/>
      <c r="I68" s="32">
        <v>44096.0</v>
      </c>
      <c r="J68" s="1"/>
      <c r="K68" s="10" t="s">
        <v>54</v>
      </c>
      <c r="L68" s="10"/>
      <c r="M68" s="10"/>
      <c r="N68" s="10"/>
      <c r="O68" s="1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D69" s="1"/>
      <c r="E69" s="10"/>
      <c r="F69" s="10">
        <v>200.0</v>
      </c>
      <c r="G69" s="1"/>
      <c r="H69" s="1"/>
      <c r="I69" s="32">
        <v>44122.0</v>
      </c>
      <c r="J69" s="1"/>
      <c r="K69" s="1"/>
      <c r="L69" s="10" t="s">
        <v>22</v>
      </c>
      <c r="M69" s="1"/>
      <c r="N69" s="1"/>
      <c r="O69" s="1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0" t="s">
        <v>55</v>
      </c>
      <c r="J70" s="1"/>
      <c r="K70" s="1"/>
      <c r="L70" s="10" t="s">
        <v>56</v>
      </c>
      <c r="M70" s="10"/>
      <c r="N70" s="11"/>
      <c r="O70" s="1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>
        <f>SUM(F71:F93)*40/100</f>
        <v>1740</v>
      </c>
      <c r="D71" s="1"/>
      <c r="E71" s="10"/>
      <c r="F71" s="10">
        <v>300.0</v>
      </c>
      <c r="H71" s="1"/>
      <c r="I71" s="11">
        <v>44157.0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0"/>
      <c r="F72" s="10">
        <v>150.0</v>
      </c>
      <c r="G72" s="1"/>
      <c r="H72" s="1"/>
      <c r="I72" s="32">
        <v>44186.0</v>
      </c>
      <c r="J72" s="1"/>
      <c r="K72" s="1"/>
      <c r="L72" s="1"/>
      <c r="M72" s="1"/>
      <c r="N72" s="1"/>
      <c r="O72" s="1"/>
      <c r="P72" s="1"/>
      <c r="Q72" s="10" t="s">
        <v>57</v>
      </c>
      <c r="R72" s="10" t="s">
        <v>58</v>
      </c>
      <c r="S72" s="10">
        <f>(131 + 12 + 14 + 14+8+6)</f>
        <v>185</v>
      </c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0"/>
      <c r="F73" s="10">
        <v>100.0</v>
      </c>
      <c r="G73" s="1"/>
      <c r="H73" s="1"/>
      <c r="I73" s="32">
        <v>43832.0</v>
      </c>
      <c r="J73" s="10" t="s">
        <v>59</v>
      </c>
      <c r="K73" s="1"/>
      <c r="L73" s="1"/>
      <c r="M73" s="1"/>
      <c r="N73" s="1"/>
      <c r="O73" s="1"/>
      <c r="P73" s="1"/>
      <c r="Q73" s="1"/>
      <c r="R73" s="1"/>
      <c r="S73" s="10">
        <v>100.0</v>
      </c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0"/>
      <c r="F74" s="10">
        <v>200.0</v>
      </c>
      <c r="G74" s="1"/>
      <c r="H74" s="1"/>
      <c r="I74" s="32">
        <v>43839.0</v>
      </c>
      <c r="J74" s="1"/>
      <c r="K74" s="1"/>
      <c r="L74" s="1"/>
      <c r="M74" s="1"/>
      <c r="N74" s="1"/>
      <c r="O74" s="1"/>
      <c r="P74" s="1"/>
      <c r="Q74" s="10"/>
      <c r="R74" s="11">
        <v>44157.0</v>
      </c>
      <c r="S74" s="10">
        <v>300.0</v>
      </c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0"/>
      <c r="F75" s="10">
        <v>200.0</v>
      </c>
      <c r="G75" s="10">
        <v>40400.0</v>
      </c>
      <c r="H75" s="1"/>
      <c r="I75" s="32">
        <v>44225.0</v>
      </c>
      <c r="J75" s="10" t="s">
        <v>24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30"/>
      <c r="E76" s="10" t="str">
        <f t="shared" ref="E76:E97" si="13">(K76/D76)</f>
        <v>#DIV/0!</v>
      </c>
      <c r="F76" s="10">
        <v>200.0</v>
      </c>
      <c r="G76" s="10">
        <v>40426.0</v>
      </c>
      <c r="H76" s="1"/>
      <c r="I76" s="32">
        <v>44241.0</v>
      </c>
      <c r="J76" s="10" t="s">
        <v>60</v>
      </c>
      <c r="K76" s="10">
        <v>92.3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30">
        <f>((F76+EF75)/(G77-G75))</f>
        <v>1.162790698</v>
      </c>
      <c r="E77" s="10">
        <f t="shared" si="13"/>
        <v>81.5538</v>
      </c>
      <c r="F77" s="10">
        <v>200.0</v>
      </c>
      <c r="G77" s="10">
        <v>40572.0</v>
      </c>
      <c r="H77" s="1"/>
      <c r="I77" s="32">
        <v>44241.0</v>
      </c>
      <c r="J77" s="10" t="s">
        <v>61</v>
      </c>
      <c r="K77" s="10">
        <v>94.83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30">
        <f t="shared" ref="D78:D79" si="14">(F77/(G78-G77))</f>
        <v>1.904761905</v>
      </c>
      <c r="E78" s="10">
        <f t="shared" si="13"/>
        <v>49.56</v>
      </c>
      <c r="F78" s="10">
        <v>200.0</v>
      </c>
      <c r="G78" s="10">
        <v>40677.0</v>
      </c>
      <c r="H78" s="1"/>
      <c r="I78" s="32">
        <v>44268.0</v>
      </c>
      <c r="J78" s="10" t="s">
        <v>24</v>
      </c>
      <c r="K78" s="10">
        <v>94.4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30">
        <f t="shared" si="14"/>
        <v>2.352941176</v>
      </c>
      <c r="E79" s="10">
        <f t="shared" si="13"/>
        <v>41.53525</v>
      </c>
      <c r="F79" s="10">
        <v>400.0</v>
      </c>
      <c r="G79" s="10">
        <v>40762.0</v>
      </c>
      <c r="H79" s="1"/>
      <c r="I79" s="32">
        <v>44296.0</v>
      </c>
      <c r="J79" s="10" t="s">
        <v>33</v>
      </c>
      <c r="K79" s="10">
        <v>97.73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0" t="s">
        <v>62</v>
      </c>
      <c r="D80" s="30">
        <f>((F79+F80)/(G80-G78))</f>
        <v>1.718213058</v>
      </c>
      <c r="E80" s="10">
        <f t="shared" si="13"/>
        <v>54.80694</v>
      </c>
      <c r="F80" s="10">
        <v>100.0</v>
      </c>
      <c r="G80" s="10">
        <v>40968.0</v>
      </c>
      <c r="H80" s="1"/>
      <c r="I80" s="32">
        <v>44297.0</v>
      </c>
      <c r="J80" s="10" t="s">
        <v>31</v>
      </c>
      <c r="K80" s="10">
        <v>94.17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30">
        <f t="shared" ref="D81:D82" si="15">((F80)/(G81-G80))</f>
        <v>2.272727273</v>
      </c>
      <c r="E81" s="10">
        <f t="shared" si="13"/>
        <v>43.956</v>
      </c>
      <c r="F81" s="10">
        <v>200.0</v>
      </c>
      <c r="G81" s="10">
        <v>41012.0</v>
      </c>
      <c r="H81" s="1"/>
      <c r="I81" s="37">
        <v>44332.0</v>
      </c>
      <c r="J81" s="10" t="s">
        <v>33</v>
      </c>
      <c r="K81" s="10">
        <v>99.9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30">
        <f t="shared" si="15"/>
        <v>18.18181818</v>
      </c>
      <c r="E82" s="10">
        <f t="shared" si="13"/>
        <v>5.38945</v>
      </c>
      <c r="F82" s="10">
        <v>300.0</v>
      </c>
      <c r="G82" s="10">
        <v>41023.0</v>
      </c>
      <c r="H82" s="1"/>
      <c r="I82" s="37">
        <v>44347.0</v>
      </c>
      <c r="J82" s="10" t="s">
        <v>60</v>
      </c>
      <c r="K82" s="10">
        <v>97.99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0" t="str">
        <f t="shared" si="13"/>
        <v>#DIV/0!</v>
      </c>
      <c r="F83" s="1"/>
      <c r="G83" s="10">
        <v>41195.0</v>
      </c>
      <c r="H83" s="1"/>
      <c r="I83" s="32">
        <v>44406.0</v>
      </c>
      <c r="J83" s="10" t="s">
        <v>33</v>
      </c>
      <c r="K83" s="10">
        <v>109.5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0" t="str">
        <f t="shared" si="13"/>
        <v>#DIV/0!</v>
      </c>
      <c r="F84" s="10">
        <v>200.0</v>
      </c>
      <c r="G84" s="10">
        <v>41196.0</v>
      </c>
      <c r="H84" s="1"/>
      <c r="I84" s="32">
        <v>44407.0</v>
      </c>
      <c r="J84" s="10" t="s">
        <v>24</v>
      </c>
      <c r="K84" s="10">
        <v>106.11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0" t="str">
        <f t="shared" si="13"/>
        <v>#DIV/0!</v>
      </c>
      <c r="F85" s="1"/>
      <c r="G85" s="10">
        <v>41403.0</v>
      </c>
      <c r="H85" s="1"/>
      <c r="I85" s="32">
        <v>44409.0</v>
      </c>
      <c r="J85" s="10" t="s">
        <v>63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0" t="str">
        <f t="shared" si="13"/>
        <v>#DIV/0!</v>
      </c>
      <c r="F86" s="10">
        <v>200.0</v>
      </c>
      <c r="G86" s="10">
        <v>41404.0</v>
      </c>
      <c r="H86" s="1"/>
      <c r="I86" s="32">
        <v>44413.0</v>
      </c>
      <c r="J86" s="10" t="s">
        <v>33</v>
      </c>
      <c r="K86" s="10">
        <v>109.51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30">
        <f>((F86+F84)/(G87-G84))</f>
        <v>1.320132013</v>
      </c>
      <c r="E87" s="10">
        <f t="shared" si="13"/>
        <v>0</v>
      </c>
      <c r="F87" s="1"/>
      <c r="G87" s="10">
        <v>41499.0</v>
      </c>
      <c r="H87" s="1"/>
      <c r="I87" s="1"/>
      <c r="J87" s="10" t="s">
        <v>64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30">
        <f t="shared" ref="D88:D89" si="16">((F88)/(G88-G87))</f>
        <v>1.62601626</v>
      </c>
      <c r="E88" s="10">
        <f t="shared" si="13"/>
        <v>64.81485</v>
      </c>
      <c r="F88" s="10">
        <v>200.0</v>
      </c>
      <c r="G88" s="10">
        <v>41622.0</v>
      </c>
      <c r="H88" s="1"/>
      <c r="I88" s="32">
        <v>44458.0</v>
      </c>
      <c r="J88" s="10" t="s">
        <v>24</v>
      </c>
      <c r="K88" s="10">
        <v>105.39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30">
        <f t="shared" si="16"/>
        <v>5.494505495</v>
      </c>
      <c r="E89" s="10">
        <f t="shared" si="13"/>
        <v>19.656</v>
      </c>
      <c r="F89" s="10">
        <v>500.0</v>
      </c>
      <c r="G89" s="10">
        <v>41713.0</v>
      </c>
      <c r="H89" s="1"/>
      <c r="I89" s="32">
        <v>44479.0</v>
      </c>
      <c r="J89" s="10" t="s">
        <v>24</v>
      </c>
      <c r="K89" s="10">
        <v>108.0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30">
        <f t="shared" ref="D90:D94" si="17">((F89)/(G90-G89))</f>
        <v>2.314814815</v>
      </c>
      <c r="E90" s="10">
        <f t="shared" si="13"/>
        <v>47.63664</v>
      </c>
      <c r="F90" s="10">
        <v>200.0</v>
      </c>
      <c r="G90" s="10">
        <v>41929.0</v>
      </c>
      <c r="H90" s="1"/>
      <c r="I90" s="32">
        <v>44479.0</v>
      </c>
      <c r="J90" s="10" t="s">
        <v>60</v>
      </c>
      <c r="K90" s="10">
        <v>110.27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30">
        <f t="shared" si="17"/>
        <v>2.5</v>
      </c>
      <c r="E91" s="10">
        <f t="shared" si="13"/>
        <v>43.796</v>
      </c>
      <c r="F91" s="10">
        <v>200.0</v>
      </c>
      <c r="G91" s="10">
        <v>42009.0</v>
      </c>
      <c r="H91" s="1"/>
      <c r="I91" s="32">
        <v>44484.0</v>
      </c>
      <c r="J91" s="10" t="s">
        <v>24</v>
      </c>
      <c r="K91" s="10">
        <v>109.49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30">
        <f t="shared" si="17"/>
        <v>2.469135802</v>
      </c>
      <c r="E92" s="10">
        <f t="shared" si="13"/>
        <v>43.8615</v>
      </c>
      <c r="F92" s="10">
        <v>200.0</v>
      </c>
      <c r="G92" s="10">
        <v>42090.0</v>
      </c>
      <c r="H92" s="1"/>
      <c r="I92" s="32">
        <v>44520.0</v>
      </c>
      <c r="J92" s="10" t="s">
        <v>24</v>
      </c>
      <c r="K92" s="10">
        <v>108.3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30">
        <f t="shared" si="17"/>
        <v>3.571428571</v>
      </c>
      <c r="E93" s="10">
        <f t="shared" si="13"/>
        <v>30.324</v>
      </c>
      <c r="F93" s="10">
        <v>100.0</v>
      </c>
      <c r="G93" s="10">
        <v>42146.0</v>
      </c>
      <c r="H93" s="1"/>
      <c r="I93" s="32">
        <v>44562.0</v>
      </c>
      <c r="J93" s="10" t="s">
        <v>24</v>
      </c>
      <c r="K93" s="10">
        <v>108.3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30">
        <f t="shared" si="17"/>
        <v>2.325581395</v>
      </c>
      <c r="E94" s="10">
        <f t="shared" si="13"/>
        <v>48.418</v>
      </c>
      <c r="F94" s="10">
        <v>100.0</v>
      </c>
      <c r="G94" s="10">
        <v>42189.0</v>
      </c>
      <c r="H94" s="1"/>
      <c r="I94" s="32">
        <v>44563.0</v>
      </c>
      <c r="J94" s="10" t="s">
        <v>33</v>
      </c>
      <c r="K94" s="10">
        <v>112.6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30"/>
      <c r="E95" s="10" t="str">
        <f t="shared" si="13"/>
        <v>#DIV/0!</v>
      </c>
      <c r="F95" s="10"/>
      <c r="G95" s="10">
        <v>42215.0</v>
      </c>
      <c r="H95" s="1"/>
      <c r="I95" s="32">
        <v>44569.0</v>
      </c>
      <c r="J95" s="10"/>
      <c r="K95" s="41"/>
      <c r="L95" s="10" t="s">
        <v>65</v>
      </c>
      <c r="M95" s="10" t="s">
        <v>66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30">
        <f>((F94)/(G96-G94))</f>
        <v>3.225806452</v>
      </c>
      <c r="E96" s="10">
        <f t="shared" si="13"/>
        <v>34.7727</v>
      </c>
      <c r="F96" s="10">
        <v>200.0</v>
      </c>
      <c r="G96" s="10">
        <v>42220.0</v>
      </c>
      <c r="H96" s="1"/>
      <c r="I96" s="32">
        <v>44569.0</v>
      </c>
      <c r="J96" s="10" t="s">
        <v>33</v>
      </c>
      <c r="K96" s="41">
        <v>112.17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30">
        <f t="shared" ref="D97:D99" si="18">((F96)/(G97-G96))</f>
        <v>2.564102564</v>
      </c>
      <c r="E97" s="10">
        <f t="shared" si="13"/>
        <v>42.2214</v>
      </c>
      <c r="F97" s="10">
        <v>200.0</v>
      </c>
      <c r="G97" s="10">
        <v>42298.0</v>
      </c>
      <c r="H97" s="1"/>
      <c r="I97" s="32">
        <v>44569.0</v>
      </c>
      <c r="J97" s="10" t="s">
        <v>24</v>
      </c>
      <c r="K97" s="10">
        <v>108.26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30">
        <f t="shared" si="18"/>
        <v>10</v>
      </c>
      <c r="E98" s="30">
        <f t="shared" ref="E98:E99" si="19">((K98)/(D98))</f>
        <v>10.83</v>
      </c>
      <c r="F98" s="10">
        <v>200.0</v>
      </c>
      <c r="G98" s="10">
        <v>42318.0</v>
      </c>
      <c r="H98" s="1"/>
      <c r="I98" s="32">
        <v>44570.0</v>
      </c>
      <c r="J98" s="10" t="s">
        <v>24</v>
      </c>
      <c r="K98" s="10">
        <v>108.3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30">
        <f t="shared" si="18"/>
        <v>1.069518717</v>
      </c>
      <c r="E99" s="30">
        <f t="shared" si="19"/>
        <v>101.2605</v>
      </c>
      <c r="F99" s="10">
        <v>200.0</v>
      </c>
      <c r="G99" s="10">
        <v>42505.0</v>
      </c>
      <c r="H99" s="1"/>
      <c r="I99" s="32">
        <v>44632.0</v>
      </c>
      <c r="J99" s="10" t="s">
        <v>24</v>
      </c>
      <c r="K99" s="10">
        <v>108.3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U1010" s="1"/>
      <c r="V1010" s="1"/>
      <c r="W1010" s="1"/>
      <c r="X1010" s="1"/>
      <c r="Y1010" s="1"/>
      <c r="Z1010" s="1"/>
      <c r="AA1010" s="1"/>
    </row>
  </sheetData>
  <mergeCells count="10">
    <mergeCell ref="C30:C35"/>
    <mergeCell ref="C36:C53"/>
    <mergeCell ref="C54:C69"/>
    <mergeCell ref="D2:D8"/>
    <mergeCell ref="J2:J28"/>
    <mergeCell ref="D9:D13"/>
    <mergeCell ref="C10:C29"/>
    <mergeCell ref="D14:D19"/>
    <mergeCell ref="D20:D21"/>
    <mergeCell ref="D22:D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67</v>
      </c>
      <c r="B1" s="42" t="s">
        <v>68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>
        <v>44677.0</v>
      </c>
      <c r="B2" s="45">
        <v>100.0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4">
        <v>44678.0</v>
      </c>
      <c r="B3" s="45">
        <v>120.0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6">
        <v>44693.0</v>
      </c>
      <c r="B4" s="45">
        <v>200.0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6">
        <v>44697.0</v>
      </c>
      <c r="B5" s="45">
        <v>50.0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6">
        <v>44698.0</v>
      </c>
      <c r="B6" s="45">
        <v>50.0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6">
        <v>44700.0</v>
      </c>
      <c r="B7" s="45">
        <v>200.0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6">
        <v>44703.0</v>
      </c>
      <c r="B8" s="45">
        <v>150.0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6">
        <v>44708.0</v>
      </c>
      <c r="B9" s="45">
        <v>100.0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6">
        <v>44723.0</v>
      </c>
      <c r="B10" s="45">
        <v>150.0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3.75"/>
    <col customWidth="1" min="4" max="4" width="13.88"/>
    <col customWidth="1" min="5" max="5" width="15.13"/>
    <col customWidth="1" min="12" max="13" width="18.38"/>
    <col customWidth="1" min="14" max="14" width="19.13"/>
    <col customWidth="1" min="15" max="15" width="19.25"/>
    <col customWidth="1" min="16" max="16" width="16.0"/>
    <col customWidth="1" min="17" max="17" width="16.13"/>
    <col customWidth="1" min="18" max="18" width="18.13"/>
    <col customWidth="1" min="19" max="19" width="16.38"/>
    <col customWidth="1" min="20" max="20" width="16.75"/>
    <col customWidth="1" min="21" max="21" width="14.88"/>
    <col customWidth="1" min="22" max="22" width="17.25"/>
    <col customWidth="1" min="24" max="24" width="19.63"/>
    <col customWidth="1" min="29" max="29" width="15.75"/>
    <col customWidth="1" min="30" max="30" width="14.13"/>
    <col customWidth="1" min="31" max="31" width="15.5"/>
    <col customWidth="1" min="32" max="32" width="17.38"/>
    <col customWidth="1" min="35" max="66" width="15.75"/>
  </cols>
  <sheetData>
    <row r="1">
      <c r="A1" s="47" t="s">
        <v>69</v>
      </c>
      <c r="B1" s="48" t="s">
        <v>70</v>
      </c>
      <c r="C1" s="49" t="s">
        <v>71</v>
      </c>
      <c r="D1" s="50" t="s">
        <v>72</v>
      </c>
      <c r="E1" s="50" t="s">
        <v>73</v>
      </c>
      <c r="F1" s="51" t="s">
        <v>74</v>
      </c>
      <c r="G1" s="52" t="s">
        <v>75</v>
      </c>
      <c r="H1" s="53" t="s">
        <v>76</v>
      </c>
      <c r="I1" s="54" t="s">
        <v>77</v>
      </c>
      <c r="J1" s="55" t="s">
        <v>78</v>
      </c>
      <c r="K1" s="56" t="s">
        <v>79</v>
      </c>
      <c r="L1" s="55" t="s">
        <v>80</v>
      </c>
      <c r="M1" s="57" t="s">
        <v>81</v>
      </c>
      <c r="N1" s="58" t="s">
        <v>82</v>
      </c>
      <c r="O1" s="59" t="s">
        <v>83</v>
      </c>
      <c r="P1" s="59" t="s">
        <v>84</v>
      </c>
      <c r="Q1" s="60" t="s">
        <v>85</v>
      </c>
      <c r="R1" s="61" t="s">
        <v>86</v>
      </c>
      <c r="S1" s="61" t="s">
        <v>87</v>
      </c>
      <c r="T1" s="62" t="s">
        <v>88</v>
      </c>
      <c r="U1" s="63" t="s">
        <v>89</v>
      </c>
      <c r="V1" s="63" t="s">
        <v>90</v>
      </c>
      <c r="W1" s="64" t="s">
        <v>91</v>
      </c>
      <c r="X1" s="65" t="s">
        <v>92</v>
      </c>
      <c r="Y1" s="66" t="s">
        <v>93</v>
      </c>
      <c r="Z1" s="66" t="s">
        <v>94</v>
      </c>
      <c r="AA1" s="67" t="s">
        <v>95</v>
      </c>
      <c r="AB1" s="66" t="s">
        <v>96</v>
      </c>
      <c r="AC1" s="68" t="s">
        <v>97</v>
      </c>
      <c r="AD1" s="69" t="s">
        <v>98</v>
      </c>
      <c r="AE1" s="68" t="s">
        <v>99</v>
      </c>
      <c r="AF1" s="53" t="s">
        <v>100</v>
      </c>
      <c r="AG1" s="67" t="s">
        <v>101</v>
      </c>
      <c r="AH1" s="66" t="s">
        <v>102</v>
      </c>
      <c r="AI1" s="55" t="s">
        <v>103</v>
      </c>
      <c r="AJ1" s="56" t="s">
        <v>104</v>
      </c>
      <c r="AK1" s="55" t="s">
        <v>105</v>
      </c>
      <c r="AL1" s="42" t="s">
        <v>106</v>
      </c>
      <c r="AM1" s="70" t="s">
        <v>107</v>
      </c>
      <c r="AN1" s="71" t="s">
        <v>108</v>
      </c>
      <c r="AO1" s="69" t="s">
        <v>109</v>
      </c>
      <c r="AP1" s="72" t="s">
        <v>110</v>
      </c>
      <c r="AQ1" s="73" t="s">
        <v>111</v>
      </c>
      <c r="AR1" s="73" t="s">
        <v>112</v>
      </c>
      <c r="AS1" s="74" t="s">
        <v>113</v>
      </c>
      <c r="AT1" s="74" t="s">
        <v>114</v>
      </c>
      <c r="AU1" s="75" t="s">
        <v>114</v>
      </c>
      <c r="AV1" s="69" t="s">
        <v>115</v>
      </c>
      <c r="AW1" s="72" t="s">
        <v>116</v>
      </c>
      <c r="AX1" s="76" t="s">
        <v>117</v>
      </c>
      <c r="AY1" s="77" t="s">
        <v>118</v>
      </c>
      <c r="AZ1" s="76" t="s">
        <v>119</v>
      </c>
      <c r="BA1" s="76" t="s">
        <v>120</v>
      </c>
      <c r="BB1" s="78" t="s">
        <v>121</v>
      </c>
      <c r="BC1" s="79" t="s">
        <v>122</v>
      </c>
      <c r="BD1" s="80" t="s">
        <v>123</v>
      </c>
      <c r="BE1" s="51" t="s">
        <v>124</v>
      </c>
      <c r="BF1" s="51" t="s">
        <v>125</v>
      </c>
      <c r="BG1" s="52" t="s">
        <v>126</v>
      </c>
      <c r="BH1" s="51" t="s">
        <v>127</v>
      </c>
      <c r="BI1" s="51" t="s">
        <v>128</v>
      </c>
      <c r="BJ1" s="81" t="s">
        <v>129</v>
      </c>
      <c r="BK1" s="82" t="s">
        <v>130</v>
      </c>
      <c r="BL1" s="83" t="s">
        <v>131</v>
      </c>
      <c r="BM1" s="45"/>
      <c r="BN1" s="45" t="s">
        <v>132</v>
      </c>
    </row>
    <row r="2">
      <c r="A2" s="84" t="s">
        <v>133</v>
      </c>
      <c r="B2" s="50" t="s">
        <v>134</v>
      </c>
      <c r="C2" s="85" t="s">
        <v>135</v>
      </c>
      <c r="D2" s="50" t="s">
        <v>136</v>
      </c>
      <c r="E2" s="50" t="s">
        <v>137</v>
      </c>
      <c r="F2" s="51" t="s">
        <v>138</v>
      </c>
      <c r="G2" s="52" t="s">
        <v>139</v>
      </c>
      <c r="H2" s="53" t="s">
        <v>140</v>
      </c>
      <c r="I2" s="54" t="s">
        <v>141</v>
      </c>
      <c r="J2" s="55" t="s">
        <v>142</v>
      </c>
      <c r="K2" s="56" t="s">
        <v>143</v>
      </c>
      <c r="L2" s="55" t="s">
        <v>144</v>
      </c>
      <c r="M2" s="86" t="s">
        <v>140</v>
      </c>
      <c r="N2" s="87" t="s">
        <v>145</v>
      </c>
      <c r="O2" s="59" t="s">
        <v>146</v>
      </c>
      <c r="P2" s="59" t="s">
        <v>147</v>
      </c>
      <c r="Q2" s="60" t="s">
        <v>148</v>
      </c>
      <c r="R2" s="61" t="s">
        <v>149</v>
      </c>
      <c r="S2" s="61" t="s">
        <v>150</v>
      </c>
      <c r="T2" s="88" t="s">
        <v>151</v>
      </c>
      <c r="U2" s="89" t="s">
        <v>152</v>
      </c>
      <c r="V2" s="89" t="s">
        <v>153</v>
      </c>
      <c r="W2" s="64" t="s">
        <v>154</v>
      </c>
      <c r="X2" s="65" t="s">
        <v>155</v>
      </c>
      <c r="Y2" s="66" t="s">
        <v>156</v>
      </c>
      <c r="Z2" s="66" t="s">
        <v>157</v>
      </c>
      <c r="AA2" s="67" t="s">
        <v>158</v>
      </c>
      <c r="AB2" s="66" t="s">
        <v>159</v>
      </c>
      <c r="AC2" s="68" t="s">
        <v>160</v>
      </c>
      <c r="AD2" s="69" t="s">
        <v>161</v>
      </c>
      <c r="AE2" s="68" t="s">
        <v>162</v>
      </c>
      <c r="AF2" s="53" t="s">
        <v>163</v>
      </c>
      <c r="AG2" s="67" t="s">
        <v>164</v>
      </c>
      <c r="AH2" s="66" t="s">
        <v>165</v>
      </c>
      <c r="AI2" s="55" t="s">
        <v>166</v>
      </c>
      <c r="AJ2" s="56" t="s">
        <v>167</v>
      </c>
      <c r="AK2" s="55" t="s">
        <v>168</v>
      </c>
      <c r="AL2" s="42" t="s">
        <v>169</v>
      </c>
      <c r="AM2" s="70" t="s">
        <v>170</v>
      </c>
      <c r="AN2" s="71" t="s">
        <v>171</v>
      </c>
      <c r="AO2" s="69" t="s">
        <v>172</v>
      </c>
      <c r="AP2" s="69" t="s">
        <v>173</v>
      </c>
      <c r="AQ2" s="68" t="s">
        <v>174</v>
      </c>
      <c r="AR2" s="68" t="s">
        <v>175</v>
      </c>
      <c r="AS2" s="74" t="s">
        <v>176</v>
      </c>
      <c r="AT2" s="74" t="s">
        <v>177</v>
      </c>
      <c r="AU2" s="75" t="s">
        <v>178</v>
      </c>
      <c r="AV2" s="69" t="s">
        <v>179</v>
      </c>
      <c r="AW2" s="69" t="s">
        <v>180</v>
      </c>
      <c r="AX2" s="76" t="s">
        <v>181</v>
      </c>
      <c r="AY2" s="77" t="s">
        <v>182</v>
      </c>
      <c r="AZ2" s="76" t="s">
        <v>183</v>
      </c>
      <c r="BA2" s="76" t="s">
        <v>174</v>
      </c>
      <c r="BB2" s="78" t="s">
        <v>184</v>
      </c>
      <c r="BC2" s="79" t="s">
        <v>185</v>
      </c>
      <c r="BD2" s="90" t="s">
        <v>186</v>
      </c>
      <c r="BE2" s="51" t="s">
        <v>187</v>
      </c>
      <c r="BF2" s="51" t="s">
        <v>188</v>
      </c>
      <c r="BG2" s="52" t="s">
        <v>189</v>
      </c>
      <c r="BH2" s="51" t="s">
        <v>190</v>
      </c>
      <c r="BI2" s="51" t="s">
        <v>191</v>
      </c>
      <c r="BJ2" s="51" t="s">
        <v>182</v>
      </c>
      <c r="BK2" s="82" t="s">
        <v>139</v>
      </c>
      <c r="BL2" s="43"/>
      <c r="BM2" s="43"/>
      <c r="BN2" s="43"/>
    </row>
    <row r="3">
      <c r="A3" s="84" t="s">
        <v>192</v>
      </c>
      <c r="B3" s="50" t="s">
        <v>193</v>
      </c>
      <c r="C3" s="85" t="s">
        <v>194</v>
      </c>
      <c r="D3" s="50" t="s">
        <v>195</v>
      </c>
      <c r="E3" s="50" t="s">
        <v>196</v>
      </c>
      <c r="F3" s="51" t="s">
        <v>197</v>
      </c>
      <c r="G3" s="52" t="s">
        <v>198</v>
      </c>
      <c r="H3" s="53" t="s">
        <v>199</v>
      </c>
      <c r="I3" s="54" t="s">
        <v>200</v>
      </c>
      <c r="J3" s="55" t="s">
        <v>201</v>
      </c>
      <c r="K3" s="56" t="s">
        <v>202</v>
      </c>
      <c r="L3" s="55" t="s">
        <v>203</v>
      </c>
      <c r="M3" s="86" t="s">
        <v>204</v>
      </c>
      <c r="N3" s="87" t="s">
        <v>205</v>
      </c>
      <c r="O3" s="59" t="s">
        <v>147</v>
      </c>
      <c r="P3" s="59" t="s">
        <v>206</v>
      </c>
      <c r="Q3" s="60" t="s">
        <v>207</v>
      </c>
      <c r="R3" s="61" t="s">
        <v>202</v>
      </c>
      <c r="S3" s="61" t="s">
        <v>208</v>
      </c>
      <c r="T3" s="88" t="s">
        <v>209</v>
      </c>
      <c r="U3" s="89" t="s">
        <v>210</v>
      </c>
      <c r="V3" s="89" t="s">
        <v>211</v>
      </c>
      <c r="W3" s="64" t="s">
        <v>136</v>
      </c>
      <c r="X3" s="65">
        <v>6.76</v>
      </c>
      <c r="Y3" s="66" t="s">
        <v>212</v>
      </c>
      <c r="Z3" s="66" t="s">
        <v>213</v>
      </c>
      <c r="AA3" s="67" t="s">
        <v>214</v>
      </c>
      <c r="AB3" s="66" t="s">
        <v>215</v>
      </c>
      <c r="AC3" s="68" t="s">
        <v>216</v>
      </c>
      <c r="AD3" s="69" t="s">
        <v>217</v>
      </c>
      <c r="AE3" s="68" t="s">
        <v>218</v>
      </c>
      <c r="AF3" s="53" t="s">
        <v>219</v>
      </c>
      <c r="AG3" s="67" t="s">
        <v>166</v>
      </c>
      <c r="AH3" s="66" t="s">
        <v>220</v>
      </c>
      <c r="AI3" s="55" t="s">
        <v>213</v>
      </c>
      <c r="AJ3" s="56" t="s">
        <v>221</v>
      </c>
      <c r="AK3" s="55" t="s">
        <v>222</v>
      </c>
      <c r="AL3" s="42" t="s">
        <v>161</v>
      </c>
      <c r="AM3" s="70" t="s">
        <v>223</v>
      </c>
      <c r="AN3" s="71" t="s">
        <v>224</v>
      </c>
      <c r="AO3" s="69" t="s">
        <v>225</v>
      </c>
      <c r="AP3" s="69" t="s">
        <v>226</v>
      </c>
      <c r="AQ3" s="68" t="s">
        <v>227</v>
      </c>
      <c r="AR3" s="68" t="s">
        <v>228</v>
      </c>
      <c r="AS3" s="74" t="s">
        <v>229</v>
      </c>
      <c r="AT3" s="74" t="s">
        <v>230</v>
      </c>
      <c r="AU3" s="75" t="s">
        <v>231</v>
      </c>
      <c r="AV3" s="69" t="s">
        <v>232</v>
      </c>
      <c r="AW3" s="69" t="s">
        <v>233</v>
      </c>
      <c r="AX3" s="76" t="s">
        <v>234</v>
      </c>
      <c r="AY3" s="77" t="s">
        <v>235</v>
      </c>
      <c r="AZ3" s="76" t="s">
        <v>236</v>
      </c>
      <c r="BA3" s="76" t="s">
        <v>237</v>
      </c>
      <c r="BB3" s="78" t="s">
        <v>207</v>
      </c>
      <c r="BC3" s="79" t="s">
        <v>238</v>
      </c>
      <c r="BD3" s="80" t="s">
        <v>239</v>
      </c>
      <c r="BE3" s="81"/>
      <c r="BF3" s="81"/>
      <c r="BG3" s="91"/>
      <c r="BH3" s="81"/>
      <c r="BI3" s="81"/>
      <c r="BJ3" s="81"/>
      <c r="BK3" s="92"/>
      <c r="BL3" s="93"/>
      <c r="BM3" s="93"/>
      <c r="BN3" s="93"/>
    </row>
    <row r="4">
      <c r="A4" s="94" t="s">
        <v>240</v>
      </c>
      <c r="B4" s="42" t="b">
        <v>1</v>
      </c>
      <c r="C4" s="42" t="b">
        <v>1</v>
      </c>
      <c r="D4" s="42" t="b">
        <v>1</v>
      </c>
      <c r="E4" s="42" t="b">
        <v>1</v>
      </c>
      <c r="F4" s="45" t="b">
        <v>1</v>
      </c>
      <c r="G4" s="45" t="b">
        <v>1</v>
      </c>
      <c r="H4" s="45" t="b">
        <v>1</v>
      </c>
      <c r="I4" s="45" t="b">
        <v>1</v>
      </c>
      <c r="J4" s="45" t="b">
        <v>1</v>
      </c>
      <c r="K4" s="45" t="b">
        <v>1</v>
      </c>
      <c r="L4" s="45" t="b">
        <v>1</v>
      </c>
      <c r="M4" s="45" t="b">
        <v>1</v>
      </c>
      <c r="N4" s="45" t="b">
        <v>1</v>
      </c>
      <c r="O4" s="95" t="b">
        <v>1</v>
      </c>
      <c r="P4" s="95" t="b">
        <v>1</v>
      </c>
      <c r="Q4" s="95" t="b">
        <v>1</v>
      </c>
      <c r="R4" s="95" t="b">
        <v>1</v>
      </c>
      <c r="S4" s="95" t="b">
        <v>1</v>
      </c>
      <c r="T4" s="95" t="b">
        <v>1</v>
      </c>
      <c r="U4" s="95" t="b">
        <v>1</v>
      </c>
      <c r="V4" s="95" t="b">
        <v>1</v>
      </c>
      <c r="W4" s="95" t="b">
        <v>1</v>
      </c>
      <c r="X4" s="95" t="b">
        <v>1</v>
      </c>
      <c r="Y4" s="45" t="b">
        <v>1</v>
      </c>
      <c r="Z4" s="45" t="b">
        <v>1</v>
      </c>
      <c r="AA4" s="45" t="b">
        <v>1</v>
      </c>
      <c r="AB4" s="45" t="b">
        <v>1</v>
      </c>
      <c r="AC4" s="45" t="b">
        <v>1</v>
      </c>
      <c r="AD4" s="45" t="b">
        <v>1</v>
      </c>
      <c r="AE4" s="45" t="b">
        <v>1</v>
      </c>
      <c r="AF4" s="45" t="b">
        <v>1</v>
      </c>
      <c r="AG4" s="45" t="b">
        <v>1</v>
      </c>
      <c r="AH4" s="45" t="b">
        <v>1</v>
      </c>
      <c r="AI4" s="45" t="b">
        <v>1</v>
      </c>
      <c r="AJ4" s="45" t="b">
        <v>1</v>
      </c>
      <c r="AK4" s="45" t="b">
        <v>1</v>
      </c>
      <c r="AL4" s="45" t="b">
        <v>1</v>
      </c>
      <c r="AM4" s="45" t="b">
        <v>1</v>
      </c>
      <c r="AN4" s="45" t="b">
        <v>1</v>
      </c>
      <c r="AO4" s="45" t="b">
        <v>1</v>
      </c>
      <c r="AP4" s="45" t="b">
        <v>1</v>
      </c>
      <c r="AQ4" s="45" t="b">
        <v>1</v>
      </c>
      <c r="AR4" s="45" t="b">
        <v>1</v>
      </c>
      <c r="AS4" s="45" t="b">
        <v>1</v>
      </c>
      <c r="AT4" s="45" t="b">
        <v>1</v>
      </c>
      <c r="AU4" s="45" t="b">
        <v>1</v>
      </c>
      <c r="AV4" s="45" t="b">
        <v>1</v>
      </c>
      <c r="AW4" s="45" t="b">
        <v>1</v>
      </c>
      <c r="AX4" s="45" t="b">
        <v>1</v>
      </c>
      <c r="AY4" s="45" t="b">
        <v>1</v>
      </c>
      <c r="AZ4" s="45" t="b">
        <v>1</v>
      </c>
      <c r="BA4" s="45" t="b">
        <v>1</v>
      </c>
      <c r="BB4" s="45" t="b">
        <v>1</v>
      </c>
      <c r="BC4" s="45" t="b">
        <v>1</v>
      </c>
      <c r="BD4" s="45" t="b">
        <v>1</v>
      </c>
      <c r="BE4" s="45" t="b">
        <v>1</v>
      </c>
      <c r="BF4" s="45" t="b">
        <v>1</v>
      </c>
      <c r="BG4" s="45" t="b">
        <v>1</v>
      </c>
      <c r="BH4" s="45" t="b">
        <v>1</v>
      </c>
      <c r="BI4" s="45" t="b">
        <v>1</v>
      </c>
      <c r="BJ4" s="45" t="b">
        <v>1</v>
      </c>
      <c r="BK4" s="45" t="b">
        <v>1</v>
      </c>
      <c r="BL4" s="45" t="str">
        <f t="shared" ref="BL4:BL45" si="1">IF(BG4=AX4,"MATCH","MISMATCH")</f>
        <v>MATCH</v>
      </c>
      <c r="BM4" s="45" t="b">
        <v>0</v>
      </c>
      <c r="BN4" s="45" t="b">
        <v>0</v>
      </c>
    </row>
    <row r="5">
      <c r="A5" s="96" t="s">
        <v>241</v>
      </c>
      <c r="B5" s="97">
        <v>1.0</v>
      </c>
      <c r="C5" s="97">
        <v>1.0</v>
      </c>
      <c r="D5" s="97">
        <v>2.0</v>
      </c>
      <c r="E5" s="97">
        <v>2.0</v>
      </c>
      <c r="F5" s="97">
        <v>2.0</v>
      </c>
      <c r="G5" s="97">
        <v>2.0</v>
      </c>
      <c r="H5" s="97">
        <v>2.0</v>
      </c>
      <c r="I5" s="97">
        <v>2.0</v>
      </c>
      <c r="J5" s="97">
        <v>2.0</v>
      </c>
      <c r="K5" s="97">
        <v>2.0</v>
      </c>
      <c r="L5" s="97">
        <v>2.0</v>
      </c>
      <c r="M5" s="97">
        <v>2.0</v>
      </c>
      <c r="N5" s="97">
        <v>2.0</v>
      </c>
      <c r="O5" s="98">
        <v>4.0</v>
      </c>
      <c r="P5" s="98">
        <v>4.0</v>
      </c>
      <c r="Q5" s="98">
        <v>4.0</v>
      </c>
      <c r="R5" s="98">
        <v>2.0</v>
      </c>
      <c r="S5" s="98">
        <v>2.0</v>
      </c>
      <c r="T5" s="98">
        <v>2.0</v>
      </c>
      <c r="U5" s="98">
        <v>2.0</v>
      </c>
      <c r="V5" s="98">
        <v>2.0</v>
      </c>
      <c r="W5" s="98">
        <v>2.0</v>
      </c>
      <c r="X5" s="98">
        <v>2.0</v>
      </c>
      <c r="Y5" s="97">
        <v>2.0</v>
      </c>
      <c r="Z5" s="99"/>
      <c r="AA5" s="99"/>
      <c r="AB5" s="99"/>
      <c r="AC5" s="97">
        <v>2.0</v>
      </c>
      <c r="AD5" s="97">
        <v>2.0</v>
      </c>
      <c r="AE5" s="97">
        <v>2.0</v>
      </c>
      <c r="AF5" s="97">
        <v>2.0</v>
      </c>
      <c r="AG5" s="97">
        <v>2.0</v>
      </c>
      <c r="AH5" s="97">
        <v>4.0</v>
      </c>
      <c r="AI5" s="97">
        <v>2.0</v>
      </c>
      <c r="AJ5" s="97">
        <v>2.0</v>
      </c>
      <c r="AK5" s="97">
        <v>2.0</v>
      </c>
      <c r="AL5" s="97">
        <v>2.0</v>
      </c>
      <c r="AM5" s="97">
        <v>2.0</v>
      </c>
      <c r="AN5" s="97">
        <v>2.0</v>
      </c>
      <c r="AO5" s="97">
        <v>2.0</v>
      </c>
      <c r="AP5" s="97">
        <v>2.0</v>
      </c>
      <c r="AQ5" s="97">
        <v>2.0</v>
      </c>
      <c r="AR5" s="97">
        <v>2.0</v>
      </c>
      <c r="AS5" s="97">
        <v>2.0</v>
      </c>
      <c r="AT5" s="97">
        <v>2.0</v>
      </c>
      <c r="AU5" s="97">
        <v>2.0</v>
      </c>
      <c r="AV5" s="97">
        <v>2.0</v>
      </c>
      <c r="AW5" s="97">
        <v>2.0</v>
      </c>
      <c r="AX5" s="97">
        <v>2.0</v>
      </c>
      <c r="AY5" s="97">
        <v>2.0</v>
      </c>
      <c r="AZ5" s="97">
        <v>2.0</v>
      </c>
      <c r="BA5" s="97">
        <v>2.0</v>
      </c>
      <c r="BB5" s="97">
        <v>2.0</v>
      </c>
      <c r="BC5" s="97">
        <v>2.0</v>
      </c>
      <c r="BD5" s="97">
        <v>2.0</v>
      </c>
      <c r="BE5" s="97">
        <v>2.0</v>
      </c>
      <c r="BF5" s="97">
        <v>2.0</v>
      </c>
      <c r="BG5" s="97">
        <v>4.0</v>
      </c>
      <c r="BH5" s="97">
        <v>2.0</v>
      </c>
      <c r="BI5" s="97">
        <v>4.0</v>
      </c>
      <c r="BJ5" s="97">
        <v>4.0</v>
      </c>
      <c r="BK5" s="97">
        <v>2.0</v>
      </c>
      <c r="BL5" s="45" t="str">
        <f t="shared" si="1"/>
        <v>MISMATCH</v>
      </c>
      <c r="BM5" s="97"/>
      <c r="BN5" s="97">
        <v>2.0</v>
      </c>
    </row>
    <row r="6">
      <c r="A6" s="94" t="s">
        <v>242</v>
      </c>
      <c r="B6" s="42" t="b">
        <v>1</v>
      </c>
      <c r="C6" s="42" t="b">
        <v>1</v>
      </c>
      <c r="D6" s="42" t="b">
        <v>1</v>
      </c>
      <c r="E6" s="42" t="b">
        <v>1</v>
      </c>
      <c r="F6" s="45" t="b">
        <v>1</v>
      </c>
      <c r="G6" s="45" t="b">
        <v>1</v>
      </c>
      <c r="H6" s="45" t="b">
        <v>1</v>
      </c>
      <c r="I6" s="45" t="b">
        <v>1</v>
      </c>
      <c r="J6" s="45" t="b">
        <v>1</v>
      </c>
      <c r="K6" s="45" t="b">
        <v>1</v>
      </c>
      <c r="L6" s="45" t="b">
        <v>1</v>
      </c>
      <c r="M6" s="45" t="b">
        <v>1</v>
      </c>
      <c r="N6" s="45" t="b">
        <v>1</v>
      </c>
      <c r="O6" s="95" t="b">
        <v>1</v>
      </c>
      <c r="P6" s="95" t="b">
        <v>1</v>
      </c>
      <c r="Q6" s="95" t="b">
        <v>1</v>
      </c>
      <c r="R6" s="95" t="b">
        <v>1</v>
      </c>
      <c r="S6" s="95" t="b">
        <v>1</v>
      </c>
      <c r="T6" s="95" t="b">
        <v>1</v>
      </c>
      <c r="U6" s="95" t="b">
        <v>1</v>
      </c>
      <c r="V6" s="95" t="b">
        <v>1</v>
      </c>
      <c r="W6" s="95" t="b">
        <v>1</v>
      </c>
      <c r="X6" s="95" t="b">
        <v>1</v>
      </c>
      <c r="Y6" s="45" t="b">
        <v>1</v>
      </c>
      <c r="Z6" s="45" t="b">
        <v>1</v>
      </c>
      <c r="AA6" s="45" t="b">
        <v>1</v>
      </c>
      <c r="AB6" s="45" t="b">
        <v>1</v>
      </c>
      <c r="AC6" s="45" t="b">
        <v>1</v>
      </c>
      <c r="AD6" s="45" t="b">
        <v>1</v>
      </c>
      <c r="AE6" s="45" t="b">
        <v>1</v>
      </c>
      <c r="AF6" s="45" t="b">
        <v>1</v>
      </c>
      <c r="AG6" s="45" t="b">
        <v>1</v>
      </c>
      <c r="AH6" s="45" t="b">
        <v>1</v>
      </c>
      <c r="AI6" s="45" t="b">
        <v>1</v>
      </c>
      <c r="AJ6" s="45" t="b">
        <v>1</v>
      </c>
      <c r="AK6" s="45" t="b">
        <v>1</v>
      </c>
      <c r="AL6" s="45" t="b">
        <v>1</v>
      </c>
      <c r="AM6" s="45" t="b">
        <v>1</v>
      </c>
      <c r="AN6" s="45" t="b">
        <v>1</v>
      </c>
      <c r="AO6" s="45" t="b">
        <v>1</v>
      </c>
      <c r="AP6" s="45" t="b">
        <v>1</v>
      </c>
      <c r="AQ6" s="45" t="b">
        <v>1</v>
      </c>
      <c r="AR6" s="45" t="b">
        <v>1</v>
      </c>
      <c r="AS6" s="45" t="b">
        <v>1</v>
      </c>
      <c r="AT6" s="45" t="b">
        <v>1</v>
      </c>
      <c r="AU6" s="45" t="b">
        <v>1</v>
      </c>
      <c r="AV6" s="45" t="b">
        <v>1</v>
      </c>
      <c r="AW6" s="45" t="b">
        <v>1</v>
      </c>
      <c r="AX6" s="45" t="b">
        <v>1</v>
      </c>
      <c r="AY6" s="45" t="b">
        <v>1</v>
      </c>
      <c r="AZ6" s="45" t="b">
        <v>1</v>
      </c>
      <c r="BA6" s="45" t="b">
        <v>1</v>
      </c>
      <c r="BB6" s="45" t="b">
        <v>1</v>
      </c>
      <c r="BC6" s="45" t="b">
        <v>1</v>
      </c>
      <c r="BD6" s="45" t="b">
        <v>1</v>
      </c>
      <c r="BE6" s="45" t="b">
        <v>0</v>
      </c>
      <c r="BF6" s="45" t="b">
        <v>0</v>
      </c>
      <c r="BG6" s="45" t="b">
        <v>1</v>
      </c>
      <c r="BH6" s="45" t="b">
        <v>1</v>
      </c>
      <c r="BI6" s="45" t="b">
        <v>1</v>
      </c>
      <c r="BJ6" s="45" t="b">
        <v>1</v>
      </c>
      <c r="BK6" s="45" t="b">
        <v>1</v>
      </c>
      <c r="BL6" s="45" t="str">
        <f t="shared" si="1"/>
        <v>MATCH</v>
      </c>
      <c r="BM6" s="45" t="b">
        <v>0</v>
      </c>
      <c r="BN6" s="45" t="b">
        <v>0</v>
      </c>
    </row>
    <row r="7">
      <c r="A7" s="96" t="s">
        <v>243</v>
      </c>
      <c r="B7" s="100" t="b">
        <v>0</v>
      </c>
      <c r="C7" s="100" t="b">
        <v>1</v>
      </c>
      <c r="D7" s="100" t="b">
        <v>1</v>
      </c>
      <c r="E7" s="100" t="b">
        <v>1</v>
      </c>
      <c r="F7" s="99" t="b">
        <v>0</v>
      </c>
      <c r="G7" s="97" t="b">
        <v>1</v>
      </c>
      <c r="H7" s="99" t="b">
        <v>0</v>
      </c>
      <c r="I7" s="97" t="b">
        <v>1</v>
      </c>
      <c r="J7" s="99" t="b">
        <v>0</v>
      </c>
      <c r="K7" s="99" t="b">
        <v>0</v>
      </c>
      <c r="L7" s="97" t="b">
        <v>1</v>
      </c>
      <c r="M7" s="97" t="b">
        <v>0</v>
      </c>
      <c r="N7" s="97" t="b">
        <v>1</v>
      </c>
      <c r="O7" s="101" t="b">
        <v>0</v>
      </c>
      <c r="P7" s="102" t="b">
        <v>1</v>
      </c>
      <c r="Q7" s="102" t="b">
        <v>1</v>
      </c>
      <c r="R7" s="102" t="b">
        <v>0</v>
      </c>
      <c r="S7" s="102" t="b">
        <v>1</v>
      </c>
      <c r="T7" s="102" t="b">
        <v>1</v>
      </c>
      <c r="U7" s="102" t="b">
        <v>1</v>
      </c>
      <c r="V7" s="102" t="b">
        <v>1</v>
      </c>
      <c r="W7" s="102" t="b">
        <v>1</v>
      </c>
      <c r="X7" s="102" t="b">
        <v>1</v>
      </c>
      <c r="Y7" s="99" t="b">
        <v>0</v>
      </c>
      <c r="Z7" s="99" t="b">
        <v>0</v>
      </c>
      <c r="AA7" s="97" t="b">
        <v>1</v>
      </c>
      <c r="AB7" s="97" t="b">
        <v>1</v>
      </c>
      <c r="AC7" s="99" t="b">
        <v>0</v>
      </c>
      <c r="AD7" s="99" t="b">
        <v>0</v>
      </c>
      <c r="AE7" s="97" t="b">
        <v>1</v>
      </c>
      <c r="AF7" s="97" t="b">
        <v>1</v>
      </c>
      <c r="AG7" s="97" t="b">
        <v>1</v>
      </c>
      <c r="AH7" s="97" t="b">
        <v>1</v>
      </c>
      <c r="AI7" s="97" t="b">
        <v>0</v>
      </c>
      <c r="AJ7" s="97" t="b">
        <v>1</v>
      </c>
      <c r="AK7" s="97" t="b">
        <v>1</v>
      </c>
      <c r="AL7" s="97" t="b">
        <v>0</v>
      </c>
      <c r="AM7" s="97" t="b">
        <v>0</v>
      </c>
      <c r="AN7" s="97" t="b">
        <v>1</v>
      </c>
      <c r="AO7" s="97" t="b">
        <v>0</v>
      </c>
      <c r="AP7" s="97" t="b">
        <v>0</v>
      </c>
      <c r="AQ7" s="97" t="b">
        <v>1</v>
      </c>
      <c r="AR7" s="97" t="b">
        <v>1</v>
      </c>
      <c r="AS7" s="97" t="b">
        <v>0</v>
      </c>
      <c r="AT7" s="97" t="b">
        <v>1</v>
      </c>
      <c r="AU7" s="97" t="b">
        <v>1</v>
      </c>
      <c r="AV7" s="97" t="b">
        <v>1</v>
      </c>
      <c r="AW7" s="97" t="b">
        <v>1</v>
      </c>
      <c r="AX7" s="97" t="b">
        <v>1</v>
      </c>
      <c r="AY7" s="97" t="b">
        <v>1</v>
      </c>
      <c r="AZ7" s="97" t="b">
        <v>1</v>
      </c>
      <c r="BA7" s="97" t="b">
        <v>1</v>
      </c>
      <c r="BB7" s="97" t="b">
        <v>0</v>
      </c>
      <c r="BC7" s="97" t="b">
        <v>1</v>
      </c>
      <c r="BD7" s="97" t="b">
        <v>1</v>
      </c>
      <c r="BE7" s="97" t="b">
        <v>0</v>
      </c>
      <c r="BF7" s="97" t="b">
        <v>0</v>
      </c>
      <c r="BG7" s="97" t="b">
        <v>1</v>
      </c>
      <c r="BH7" s="97" t="b">
        <v>1</v>
      </c>
      <c r="BI7" s="97" t="b">
        <v>1</v>
      </c>
      <c r="BJ7" s="97" t="b">
        <v>1</v>
      </c>
      <c r="BK7" s="97" t="b">
        <v>1</v>
      </c>
      <c r="BL7" s="45" t="str">
        <f t="shared" si="1"/>
        <v>MATCH</v>
      </c>
      <c r="BM7" s="97" t="b">
        <v>0</v>
      </c>
      <c r="BN7" s="97" t="b">
        <v>0</v>
      </c>
    </row>
    <row r="8">
      <c r="A8" s="94" t="s">
        <v>244</v>
      </c>
      <c r="B8" s="103" t="b">
        <v>0</v>
      </c>
      <c r="C8" s="103" t="b">
        <v>0</v>
      </c>
      <c r="D8" s="42" t="b">
        <v>0</v>
      </c>
      <c r="E8" s="42" t="b">
        <v>0</v>
      </c>
      <c r="F8" s="43" t="b">
        <v>0</v>
      </c>
      <c r="G8" s="43" t="b">
        <v>0</v>
      </c>
      <c r="H8" s="45" t="b">
        <v>1</v>
      </c>
      <c r="I8" s="45" t="b">
        <v>1</v>
      </c>
      <c r="J8" s="43" t="b">
        <v>0</v>
      </c>
      <c r="K8" s="45" t="b">
        <v>1</v>
      </c>
      <c r="L8" s="45" t="b">
        <v>1</v>
      </c>
      <c r="M8" s="45" t="b">
        <v>0</v>
      </c>
      <c r="N8" s="45" t="b">
        <v>1</v>
      </c>
      <c r="O8" s="104" t="b">
        <v>0</v>
      </c>
      <c r="P8" s="104" t="b">
        <v>1</v>
      </c>
      <c r="Q8" s="104" t="b">
        <v>1</v>
      </c>
      <c r="R8" s="104" t="b">
        <v>0</v>
      </c>
      <c r="S8" s="104" t="b">
        <v>0</v>
      </c>
      <c r="T8" s="104" t="b">
        <v>0</v>
      </c>
      <c r="U8" s="104" t="b">
        <v>0</v>
      </c>
      <c r="V8" s="104" t="b">
        <v>0</v>
      </c>
      <c r="W8" s="104" t="b">
        <v>0</v>
      </c>
      <c r="X8" s="104" t="b">
        <v>0</v>
      </c>
      <c r="Y8" s="43" t="b">
        <v>0</v>
      </c>
      <c r="Z8" s="43" t="b">
        <v>0</v>
      </c>
      <c r="AA8" s="43" t="b">
        <v>0</v>
      </c>
      <c r="AB8" s="45" t="b">
        <v>1</v>
      </c>
      <c r="AC8" s="43" t="b">
        <v>0</v>
      </c>
      <c r="AD8" s="45" t="b">
        <v>1</v>
      </c>
      <c r="AE8" s="45" t="b">
        <v>1</v>
      </c>
      <c r="AF8" s="43" t="b">
        <v>0</v>
      </c>
      <c r="AG8" s="45" t="b">
        <v>0</v>
      </c>
      <c r="AH8" s="45" t="b">
        <v>0</v>
      </c>
      <c r="AI8" s="43" t="b">
        <v>0</v>
      </c>
      <c r="AJ8" s="45" t="b">
        <v>1</v>
      </c>
      <c r="AK8" s="45" t="b">
        <v>1</v>
      </c>
      <c r="AL8" s="45" t="b">
        <v>1</v>
      </c>
      <c r="AM8" s="45" t="b">
        <v>0</v>
      </c>
      <c r="AN8" s="45" t="b">
        <v>1</v>
      </c>
      <c r="AO8" s="45" t="b">
        <v>0</v>
      </c>
      <c r="AP8" s="45" t="b">
        <v>0</v>
      </c>
      <c r="AQ8" s="45" t="b">
        <v>1</v>
      </c>
      <c r="AR8" s="45" t="b">
        <v>1</v>
      </c>
      <c r="AS8" s="45" t="b">
        <v>1</v>
      </c>
      <c r="AT8" s="45" t="b">
        <v>1</v>
      </c>
      <c r="AU8" s="45" t="b">
        <v>1</v>
      </c>
      <c r="AV8" s="45" t="b">
        <v>0</v>
      </c>
      <c r="AW8" s="45" t="b">
        <v>0</v>
      </c>
      <c r="AX8" s="45" t="b">
        <v>1</v>
      </c>
      <c r="AY8" s="45" t="b">
        <v>1</v>
      </c>
      <c r="AZ8" s="45" t="b">
        <v>1</v>
      </c>
      <c r="BA8" s="45"/>
      <c r="BB8" s="45"/>
      <c r="BC8" s="45"/>
      <c r="BD8" s="45" t="b">
        <v>1</v>
      </c>
      <c r="BE8" s="45" t="b">
        <v>0</v>
      </c>
      <c r="BF8" s="45" t="b">
        <v>0</v>
      </c>
      <c r="BG8" s="45" t="b">
        <v>0</v>
      </c>
      <c r="BH8" s="45" t="b">
        <v>0</v>
      </c>
      <c r="BI8" s="45" t="b">
        <v>0</v>
      </c>
      <c r="BJ8" s="45" t="b">
        <v>1</v>
      </c>
      <c r="BK8" s="45" t="b">
        <v>1</v>
      </c>
      <c r="BL8" s="45" t="str">
        <f t="shared" si="1"/>
        <v>MISMATCH</v>
      </c>
      <c r="BM8" s="45" t="b">
        <v>0</v>
      </c>
      <c r="BN8" s="45" t="b">
        <v>0</v>
      </c>
    </row>
    <row r="9">
      <c r="A9" s="96" t="s">
        <v>245</v>
      </c>
      <c r="B9" s="105" t="b">
        <v>0</v>
      </c>
      <c r="C9" s="105" t="b">
        <v>0</v>
      </c>
      <c r="D9" s="105" t="b">
        <v>0</v>
      </c>
      <c r="E9" s="100" t="b">
        <v>0</v>
      </c>
      <c r="F9" s="97" t="b">
        <v>1</v>
      </c>
      <c r="G9" s="97" t="b">
        <v>1</v>
      </c>
      <c r="H9" s="99" t="b">
        <v>0</v>
      </c>
      <c r="I9" s="99" t="b">
        <v>0</v>
      </c>
      <c r="J9" s="99" t="b">
        <v>0</v>
      </c>
      <c r="K9" s="99" t="b">
        <v>0</v>
      </c>
      <c r="L9" s="97" t="b">
        <v>1</v>
      </c>
      <c r="M9" s="97" t="b">
        <v>0</v>
      </c>
      <c r="N9" s="97" t="b">
        <v>0</v>
      </c>
      <c r="O9" s="98" t="b">
        <v>1</v>
      </c>
      <c r="P9" s="98" t="b">
        <v>1</v>
      </c>
      <c r="Q9" s="98" t="b">
        <v>1</v>
      </c>
      <c r="R9" s="98" t="b">
        <v>1</v>
      </c>
      <c r="S9" s="98" t="b">
        <v>1</v>
      </c>
      <c r="T9" s="98" t="b">
        <v>1</v>
      </c>
      <c r="U9" s="98" t="b">
        <v>1</v>
      </c>
      <c r="V9" s="98" t="b">
        <v>1</v>
      </c>
      <c r="W9" s="98" t="b">
        <v>0</v>
      </c>
      <c r="X9" s="98" t="b">
        <v>0</v>
      </c>
      <c r="Y9" s="97" t="b">
        <v>0</v>
      </c>
      <c r="Z9" s="97" t="b">
        <v>1</v>
      </c>
      <c r="AA9" s="97" t="b">
        <v>1</v>
      </c>
      <c r="AB9" s="97" t="b">
        <v>1</v>
      </c>
      <c r="AC9" s="99" t="b">
        <v>0</v>
      </c>
      <c r="AD9" s="99" t="b">
        <v>0</v>
      </c>
      <c r="AE9" s="99" t="b">
        <v>0</v>
      </c>
      <c r="AF9" s="99" t="b">
        <v>0</v>
      </c>
      <c r="AG9" s="97" t="b">
        <v>1</v>
      </c>
      <c r="AH9" s="97" t="b">
        <v>1</v>
      </c>
      <c r="AI9" s="97" t="b">
        <v>1</v>
      </c>
      <c r="AJ9" s="97" t="b">
        <v>1</v>
      </c>
      <c r="AK9" s="97" t="b">
        <v>1</v>
      </c>
      <c r="AL9" s="97" t="b">
        <v>1</v>
      </c>
      <c r="AM9" s="97" t="b">
        <v>0</v>
      </c>
      <c r="AN9" s="97" t="b">
        <v>1</v>
      </c>
      <c r="AO9" s="97" t="b">
        <v>1</v>
      </c>
      <c r="AP9" s="97" t="b">
        <v>1</v>
      </c>
      <c r="AQ9" s="97" t="b">
        <v>1</v>
      </c>
      <c r="AR9" s="97" t="b">
        <v>1</v>
      </c>
      <c r="AS9" s="97" t="b">
        <v>1</v>
      </c>
      <c r="AT9" s="97" t="b">
        <v>1</v>
      </c>
      <c r="AU9" s="97" t="b">
        <v>1</v>
      </c>
      <c r="AV9" s="97" t="b">
        <v>1</v>
      </c>
      <c r="AW9" s="97" t="b">
        <v>1</v>
      </c>
      <c r="AX9" s="97" t="b">
        <v>1</v>
      </c>
      <c r="AY9" s="97" t="b">
        <v>1</v>
      </c>
      <c r="AZ9" s="97" t="b">
        <v>1</v>
      </c>
      <c r="BA9" s="97" t="b">
        <v>0</v>
      </c>
      <c r="BB9" s="97" t="b">
        <v>1</v>
      </c>
      <c r="BC9" s="97" t="b">
        <v>1</v>
      </c>
      <c r="BD9" s="97" t="b">
        <v>0</v>
      </c>
      <c r="BE9" s="97" t="b">
        <v>0</v>
      </c>
      <c r="BF9" s="97" t="b">
        <v>0</v>
      </c>
      <c r="BG9" s="97" t="b">
        <v>1</v>
      </c>
      <c r="BH9" s="97" t="b">
        <v>1</v>
      </c>
      <c r="BI9" s="97" t="b">
        <v>1</v>
      </c>
      <c r="BJ9" s="97" t="b">
        <v>1</v>
      </c>
      <c r="BK9" s="97" t="b">
        <v>1</v>
      </c>
      <c r="BL9" s="45" t="str">
        <f t="shared" si="1"/>
        <v>MATCH</v>
      </c>
      <c r="BM9" s="97" t="b">
        <v>0</v>
      </c>
      <c r="BN9" s="97" t="b">
        <v>0</v>
      </c>
    </row>
    <row r="10">
      <c r="A10" s="106" t="s">
        <v>246</v>
      </c>
      <c r="B10" s="45">
        <v>279.0</v>
      </c>
      <c r="C10" s="45">
        <v>279.0</v>
      </c>
      <c r="D10" s="45">
        <v>279.0</v>
      </c>
      <c r="E10" s="107"/>
      <c r="F10" s="45">
        <v>345.0</v>
      </c>
      <c r="G10" s="45">
        <v>345.0</v>
      </c>
      <c r="H10" s="107"/>
      <c r="I10" s="107"/>
      <c r="J10" s="45">
        <v>268.0</v>
      </c>
      <c r="K10" s="45">
        <v>268.0</v>
      </c>
      <c r="L10" s="45">
        <v>268.0</v>
      </c>
      <c r="M10" s="45">
        <v>260.0</v>
      </c>
      <c r="N10" s="45">
        <v>260.0</v>
      </c>
      <c r="O10" s="95">
        <v>280.0</v>
      </c>
      <c r="P10" s="95">
        <v>280.0</v>
      </c>
      <c r="Q10" s="95">
        <v>280.0</v>
      </c>
      <c r="R10" s="95">
        <v>285.0</v>
      </c>
      <c r="S10" s="95">
        <v>285.0</v>
      </c>
      <c r="T10" s="95">
        <v>222.0</v>
      </c>
      <c r="U10" s="95">
        <v>222.0</v>
      </c>
      <c r="V10" s="95">
        <v>222.0</v>
      </c>
      <c r="W10" s="95">
        <v>177.0</v>
      </c>
      <c r="X10" s="95">
        <v>347.0</v>
      </c>
      <c r="Y10" s="45">
        <v>350.0</v>
      </c>
      <c r="Z10" s="45">
        <v>350.0</v>
      </c>
      <c r="AA10" s="45">
        <v>350.0</v>
      </c>
      <c r="AB10" s="45">
        <v>350.0</v>
      </c>
      <c r="AC10" s="45">
        <v>328.0</v>
      </c>
      <c r="AD10" s="45">
        <v>328.0</v>
      </c>
      <c r="AE10" s="45">
        <v>328.0</v>
      </c>
      <c r="AF10" s="45">
        <v>270.0</v>
      </c>
      <c r="AG10" s="45">
        <v>84.0</v>
      </c>
      <c r="AH10" s="45">
        <v>84.0</v>
      </c>
      <c r="AI10" s="45">
        <v>350.0</v>
      </c>
      <c r="AJ10" s="45">
        <v>350.0</v>
      </c>
      <c r="AK10" s="45">
        <v>350.0</v>
      </c>
      <c r="AL10" s="45">
        <v>460.0</v>
      </c>
      <c r="AM10" s="45">
        <v>259.0</v>
      </c>
      <c r="AN10" s="45">
        <v>259.0</v>
      </c>
      <c r="AO10" s="45">
        <v>392.0</v>
      </c>
      <c r="AP10" s="45">
        <v>392.0</v>
      </c>
      <c r="AQ10" s="45">
        <v>392.0</v>
      </c>
      <c r="AR10" s="45">
        <v>392.0</v>
      </c>
      <c r="AS10" s="45">
        <v>328.0</v>
      </c>
      <c r="AT10" s="45">
        <v>328.0</v>
      </c>
      <c r="AU10" s="45">
        <v>328.0</v>
      </c>
      <c r="AV10" s="45">
        <v>433.0</v>
      </c>
      <c r="AW10" s="45">
        <v>433.0</v>
      </c>
      <c r="AX10" s="45">
        <v>336.0</v>
      </c>
      <c r="AY10" s="45">
        <v>336.0</v>
      </c>
      <c r="AZ10" s="45">
        <v>336.0</v>
      </c>
      <c r="BA10" s="45">
        <v>336.0</v>
      </c>
      <c r="BB10" s="45">
        <v>352.0</v>
      </c>
      <c r="BC10" s="45">
        <v>352.0</v>
      </c>
      <c r="BD10" s="45">
        <v>420.0</v>
      </c>
      <c r="BE10" s="45">
        <v>405.0</v>
      </c>
      <c r="BF10" s="45">
        <v>405.0</v>
      </c>
      <c r="BG10" s="45">
        <v>405.0</v>
      </c>
      <c r="BH10" s="45">
        <v>405.0</v>
      </c>
      <c r="BI10" s="45">
        <v>405.0</v>
      </c>
      <c r="BJ10" s="45">
        <v>405.0</v>
      </c>
      <c r="BK10" s="45">
        <v>242.0</v>
      </c>
      <c r="BL10" s="45" t="str">
        <f t="shared" si="1"/>
        <v>MISMATCH</v>
      </c>
      <c r="BM10" s="45"/>
      <c r="BN10" s="45"/>
    </row>
    <row r="11">
      <c r="A11" s="96" t="s">
        <v>247</v>
      </c>
      <c r="B11" s="100" t="b">
        <v>1</v>
      </c>
      <c r="C11" s="100" t="b">
        <v>1</v>
      </c>
      <c r="D11" s="100" t="b">
        <v>1</v>
      </c>
      <c r="E11" s="100" t="b">
        <v>1</v>
      </c>
      <c r="F11" s="99" t="b">
        <v>0</v>
      </c>
      <c r="G11" s="99" t="b">
        <v>0</v>
      </c>
      <c r="H11" s="99" t="b">
        <v>0</v>
      </c>
      <c r="I11" s="99" t="b">
        <v>0</v>
      </c>
      <c r="J11" s="99" t="b">
        <v>0</v>
      </c>
      <c r="K11" s="99" t="b">
        <v>0</v>
      </c>
      <c r="L11" s="97" t="b">
        <v>1</v>
      </c>
      <c r="M11" s="97" t="b">
        <v>1</v>
      </c>
      <c r="N11" s="97" t="b">
        <v>1</v>
      </c>
      <c r="O11" s="98" t="b">
        <v>1</v>
      </c>
      <c r="P11" s="98" t="b">
        <v>1</v>
      </c>
      <c r="Q11" s="98" t="b">
        <v>1</v>
      </c>
      <c r="R11" s="98" t="b">
        <v>1</v>
      </c>
      <c r="S11" s="98" t="b">
        <v>1</v>
      </c>
      <c r="T11" s="98" t="b">
        <v>1</v>
      </c>
      <c r="U11" s="98" t="b">
        <v>1</v>
      </c>
      <c r="V11" s="98" t="b">
        <v>1</v>
      </c>
      <c r="W11" s="98" t="b">
        <v>1</v>
      </c>
      <c r="X11" s="98" t="b">
        <v>1</v>
      </c>
      <c r="Y11" s="97" t="b">
        <v>0</v>
      </c>
      <c r="Z11" s="97" t="b">
        <v>1</v>
      </c>
      <c r="AA11" s="97" t="b">
        <v>1</v>
      </c>
      <c r="AB11" s="97" t="b">
        <v>1</v>
      </c>
      <c r="AC11" s="97" t="b">
        <v>1</v>
      </c>
      <c r="AD11" s="97" t="b">
        <v>1</v>
      </c>
      <c r="AE11" s="97" t="b">
        <v>1</v>
      </c>
      <c r="AF11" s="97" t="b">
        <v>1</v>
      </c>
      <c r="AG11" s="97" t="b">
        <v>1</v>
      </c>
      <c r="AH11" s="97" t="b">
        <v>1</v>
      </c>
      <c r="AI11" s="97" t="b">
        <v>1</v>
      </c>
      <c r="AJ11" s="97" t="b">
        <v>1</v>
      </c>
      <c r="AK11" s="97" t="b">
        <v>1</v>
      </c>
      <c r="AL11" s="97" t="b">
        <v>1</v>
      </c>
      <c r="AM11" s="97" t="b">
        <v>1</v>
      </c>
      <c r="AN11" s="97" t="b">
        <v>1</v>
      </c>
      <c r="AO11" s="97" t="b">
        <v>1</v>
      </c>
      <c r="AP11" s="97" t="b">
        <v>1</v>
      </c>
      <c r="AQ11" s="97" t="b">
        <v>1</v>
      </c>
      <c r="AR11" s="97" t="b">
        <v>1</v>
      </c>
      <c r="AS11" s="97" t="b">
        <v>0</v>
      </c>
      <c r="AT11" s="97" t="b">
        <v>1</v>
      </c>
      <c r="AU11" s="97" t="b">
        <v>1</v>
      </c>
      <c r="AV11" s="97" t="b">
        <v>1</v>
      </c>
      <c r="AW11" s="97" t="b">
        <v>1</v>
      </c>
      <c r="AX11" s="97" t="b">
        <v>1</v>
      </c>
      <c r="AY11" s="97" t="b">
        <v>1</v>
      </c>
      <c r="AZ11" s="97" t="b">
        <v>1</v>
      </c>
      <c r="BA11" s="97" t="b">
        <v>1</v>
      </c>
      <c r="BB11" s="97" t="b">
        <v>1</v>
      </c>
      <c r="BC11" s="97" t="b">
        <v>1</v>
      </c>
      <c r="BD11" s="97" t="b">
        <v>1</v>
      </c>
      <c r="BE11" s="97" t="b">
        <v>0</v>
      </c>
      <c r="BF11" s="97" t="b">
        <v>0</v>
      </c>
      <c r="BG11" s="97" t="b">
        <v>0</v>
      </c>
      <c r="BH11" s="97" t="b">
        <v>0</v>
      </c>
      <c r="BI11" s="97" t="b">
        <v>0</v>
      </c>
      <c r="BJ11" s="97" t="b">
        <v>1</v>
      </c>
      <c r="BK11" s="97" t="b">
        <v>1</v>
      </c>
      <c r="BL11" s="45" t="str">
        <f t="shared" si="1"/>
        <v>MISMATCH</v>
      </c>
      <c r="BM11" s="97" t="b">
        <v>0</v>
      </c>
      <c r="BN11" s="97" t="b">
        <v>0</v>
      </c>
    </row>
    <row r="12">
      <c r="A12" s="94" t="s">
        <v>248</v>
      </c>
      <c r="B12" s="42" t="b">
        <v>0</v>
      </c>
      <c r="C12" s="42" t="b">
        <v>0</v>
      </c>
      <c r="D12" s="42" t="b">
        <v>0</v>
      </c>
      <c r="E12" s="42" t="b">
        <v>1</v>
      </c>
      <c r="F12" s="43" t="b">
        <v>0</v>
      </c>
      <c r="G12" s="45" t="b">
        <v>1</v>
      </c>
      <c r="H12" s="43" t="b">
        <v>0</v>
      </c>
      <c r="I12" s="43" t="b">
        <v>0</v>
      </c>
      <c r="J12" s="43" t="b">
        <v>0</v>
      </c>
      <c r="K12" s="43" t="b">
        <v>0</v>
      </c>
      <c r="L12" s="45" t="b">
        <v>0</v>
      </c>
      <c r="M12" s="45" t="b">
        <v>0</v>
      </c>
      <c r="N12" s="45" t="b">
        <v>0</v>
      </c>
      <c r="O12" s="95" t="b">
        <v>0</v>
      </c>
      <c r="P12" s="95" t="b">
        <v>1</v>
      </c>
      <c r="Q12" s="95" t="b">
        <v>1</v>
      </c>
      <c r="R12" s="95" t="b">
        <v>0</v>
      </c>
      <c r="S12" s="95" t="b">
        <v>0</v>
      </c>
      <c r="T12" s="95" t="b">
        <v>0</v>
      </c>
      <c r="U12" s="95" t="b">
        <v>0</v>
      </c>
      <c r="V12" s="95" t="b">
        <v>0</v>
      </c>
      <c r="W12" s="95" t="b">
        <v>0</v>
      </c>
      <c r="X12" s="95" t="b">
        <v>0</v>
      </c>
      <c r="Y12" s="45" t="b">
        <v>0</v>
      </c>
      <c r="Z12" s="45" t="b">
        <v>0</v>
      </c>
      <c r="AA12" s="45" t="b">
        <v>0</v>
      </c>
      <c r="AB12" s="45" t="b">
        <v>0</v>
      </c>
      <c r="AC12" s="43" t="b">
        <v>0</v>
      </c>
      <c r="AD12" s="43" t="b">
        <v>0</v>
      </c>
      <c r="AE12" s="43" t="b">
        <v>0</v>
      </c>
      <c r="AF12" s="45" t="b">
        <v>0</v>
      </c>
      <c r="AG12" s="45" t="b">
        <v>0</v>
      </c>
      <c r="AH12" s="45" t="b">
        <v>0</v>
      </c>
      <c r="AI12" s="43" t="b">
        <v>0</v>
      </c>
      <c r="AJ12" s="45" t="b">
        <v>0</v>
      </c>
      <c r="AK12" s="45" t="b">
        <v>1</v>
      </c>
      <c r="AL12" s="43" t="b">
        <v>0</v>
      </c>
      <c r="AM12" s="45" t="b">
        <v>0</v>
      </c>
      <c r="AN12" s="45" t="b">
        <v>1</v>
      </c>
      <c r="AO12" s="43" t="b">
        <v>0</v>
      </c>
      <c r="AP12" s="43" t="b">
        <v>0</v>
      </c>
      <c r="AQ12" s="43" t="b">
        <v>0</v>
      </c>
      <c r="AR12" s="43" t="b">
        <v>0</v>
      </c>
      <c r="AS12" s="43" t="b">
        <v>0</v>
      </c>
      <c r="AT12" s="45" t="b">
        <v>1</v>
      </c>
      <c r="AU12" s="45" t="b">
        <v>1</v>
      </c>
      <c r="AV12" s="45" t="b">
        <v>0</v>
      </c>
      <c r="AW12" s="45" t="b">
        <v>0</v>
      </c>
      <c r="AX12" s="45" t="b">
        <v>0</v>
      </c>
      <c r="AY12" s="45" t="b">
        <v>1</v>
      </c>
      <c r="AZ12" s="45" t="b">
        <v>0</v>
      </c>
      <c r="BA12" s="45" t="b">
        <v>1</v>
      </c>
      <c r="BB12" s="45" t="b">
        <v>0</v>
      </c>
      <c r="BC12" s="45" t="b">
        <v>0</v>
      </c>
      <c r="BD12" s="45" t="b">
        <v>0</v>
      </c>
      <c r="BE12" s="45" t="b">
        <v>0</v>
      </c>
      <c r="BF12" s="45" t="b">
        <v>0</v>
      </c>
      <c r="BG12" s="45" t="b">
        <v>0</v>
      </c>
      <c r="BH12" s="45" t="b">
        <v>0</v>
      </c>
      <c r="BI12" s="45" t="b">
        <v>0</v>
      </c>
      <c r="BJ12" s="45" t="b">
        <v>0</v>
      </c>
      <c r="BK12" s="45" t="b">
        <v>0</v>
      </c>
      <c r="BL12" s="45" t="str">
        <f t="shared" si="1"/>
        <v>MATCH</v>
      </c>
      <c r="BM12" s="45" t="b">
        <v>0</v>
      </c>
      <c r="BN12" s="45" t="b">
        <v>0</v>
      </c>
    </row>
    <row r="13">
      <c r="A13" s="96" t="s">
        <v>249</v>
      </c>
      <c r="B13" s="97">
        <v>3.0</v>
      </c>
      <c r="C13" s="97">
        <v>3.0</v>
      </c>
      <c r="D13" s="97">
        <v>3.0</v>
      </c>
      <c r="E13" s="108">
        <v>3.0</v>
      </c>
      <c r="F13" s="97">
        <v>3.0</v>
      </c>
      <c r="G13" s="97">
        <v>3.0</v>
      </c>
      <c r="H13" s="97">
        <v>4.0</v>
      </c>
      <c r="I13" s="97">
        <v>4.0</v>
      </c>
      <c r="J13" s="97">
        <v>4.0</v>
      </c>
      <c r="K13" s="97">
        <v>4.0</v>
      </c>
      <c r="L13" s="97">
        <v>4.0</v>
      </c>
      <c r="M13" s="99"/>
      <c r="N13" s="99"/>
      <c r="O13" s="98">
        <v>3.0</v>
      </c>
      <c r="P13" s="98">
        <v>3.0</v>
      </c>
      <c r="Q13" s="98">
        <v>3.0</v>
      </c>
      <c r="R13" s="98">
        <v>4.0</v>
      </c>
      <c r="S13" s="98">
        <v>4.0</v>
      </c>
      <c r="T13" s="98">
        <v>3.0</v>
      </c>
      <c r="U13" s="98">
        <v>3.0</v>
      </c>
      <c r="V13" s="98">
        <v>3.0</v>
      </c>
      <c r="W13" s="98">
        <v>3.0</v>
      </c>
      <c r="X13" s="98">
        <v>3.0</v>
      </c>
      <c r="Y13" s="97">
        <v>3.0</v>
      </c>
      <c r="Z13" s="97">
        <v>3.0</v>
      </c>
      <c r="AA13" s="97">
        <v>3.0</v>
      </c>
      <c r="AB13" s="97">
        <v>3.0</v>
      </c>
      <c r="AC13" s="99"/>
      <c r="AD13" s="99"/>
      <c r="AE13" s="99"/>
      <c r="AF13" s="97">
        <v>3.0</v>
      </c>
      <c r="AG13" s="97">
        <v>3.0</v>
      </c>
      <c r="AH13" s="97">
        <v>3.0</v>
      </c>
      <c r="AI13" s="97">
        <v>4.0</v>
      </c>
      <c r="AJ13" s="97">
        <v>4.0</v>
      </c>
      <c r="AK13" s="97">
        <v>3.0</v>
      </c>
      <c r="AL13" s="97">
        <v>3.0</v>
      </c>
      <c r="AM13" s="97"/>
      <c r="AN13" s="97">
        <v>3.0</v>
      </c>
      <c r="AO13" s="97">
        <v>4.0</v>
      </c>
      <c r="AP13" s="97">
        <v>4.0</v>
      </c>
      <c r="AQ13" s="97">
        <v>4.0</v>
      </c>
      <c r="AR13" s="97">
        <v>4.0</v>
      </c>
      <c r="AS13" s="97">
        <v>4.0</v>
      </c>
      <c r="AT13" s="97">
        <v>4.0</v>
      </c>
      <c r="AU13" s="97">
        <v>4.0</v>
      </c>
      <c r="AV13" s="97">
        <v>4.0</v>
      </c>
      <c r="AW13" s="97">
        <v>4.0</v>
      </c>
      <c r="AX13" s="97">
        <v>3.0</v>
      </c>
      <c r="AY13" s="97">
        <v>3.0</v>
      </c>
      <c r="AZ13" s="97">
        <v>3.0</v>
      </c>
      <c r="BA13" s="97">
        <v>3.0</v>
      </c>
      <c r="BB13" s="97">
        <v>3.0</v>
      </c>
      <c r="BC13" s="97">
        <v>3.0</v>
      </c>
      <c r="BD13" s="97">
        <v>4.0</v>
      </c>
      <c r="BE13" s="97">
        <v>3.0</v>
      </c>
      <c r="BF13" s="97">
        <v>3.0</v>
      </c>
      <c r="BG13" s="97">
        <v>3.0</v>
      </c>
      <c r="BH13" s="97">
        <v>3.0</v>
      </c>
      <c r="BI13" s="97">
        <v>3.0</v>
      </c>
      <c r="BJ13" s="97">
        <v>3.0</v>
      </c>
      <c r="BK13" s="97">
        <v>3.0</v>
      </c>
      <c r="BL13" s="45" t="str">
        <f t="shared" si="1"/>
        <v>MATCH</v>
      </c>
      <c r="BM13" s="97"/>
      <c r="BN13" s="97"/>
    </row>
    <row r="14">
      <c r="A14" s="94" t="s">
        <v>250</v>
      </c>
      <c r="B14" s="45">
        <v>1.0</v>
      </c>
      <c r="C14" s="45">
        <v>1.0</v>
      </c>
      <c r="D14" s="45">
        <v>1.0</v>
      </c>
      <c r="E14" s="45">
        <v>1.0</v>
      </c>
      <c r="F14" s="45">
        <v>2.0</v>
      </c>
      <c r="G14" s="45">
        <v>2.0</v>
      </c>
      <c r="H14" s="45">
        <v>1.0</v>
      </c>
      <c r="I14" s="45">
        <v>1.0</v>
      </c>
      <c r="J14" s="45">
        <v>1.0</v>
      </c>
      <c r="K14" s="45">
        <v>1.0</v>
      </c>
      <c r="L14" s="45">
        <v>1.0</v>
      </c>
      <c r="M14" s="45">
        <v>1.0</v>
      </c>
      <c r="N14" s="45">
        <v>1.0</v>
      </c>
      <c r="O14" s="95">
        <v>1.0</v>
      </c>
      <c r="P14" s="95">
        <v>1.0</v>
      </c>
      <c r="Q14" s="95">
        <v>1.0</v>
      </c>
      <c r="R14" s="95">
        <v>1.0</v>
      </c>
      <c r="S14" s="95">
        <v>1.0</v>
      </c>
      <c r="T14" s="95">
        <v>1.0</v>
      </c>
      <c r="U14" s="95">
        <v>1.0</v>
      </c>
      <c r="V14" s="95">
        <v>1.0</v>
      </c>
      <c r="W14" s="95">
        <v>1.0</v>
      </c>
      <c r="X14" s="95">
        <v>1.0</v>
      </c>
      <c r="Y14" s="45">
        <v>3.0</v>
      </c>
      <c r="Z14" s="45">
        <v>3.0</v>
      </c>
      <c r="AA14" s="45">
        <v>3.0</v>
      </c>
      <c r="AB14" s="45">
        <v>3.0</v>
      </c>
      <c r="AC14" s="45">
        <v>1.0</v>
      </c>
      <c r="AD14" s="45">
        <v>1.0</v>
      </c>
      <c r="AE14" s="45">
        <v>1.0</v>
      </c>
      <c r="AF14" s="45">
        <v>1.0</v>
      </c>
      <c r="AG14" s="45">
        <v>1.0</v>
      </c>
      <c r="AH14" s="45">
        <v>1.0</v>
      </c>
      <c r="AI14" s="45">
        <v>1.0</v>
      </c>
      <c r="AJ14" s="45">
        <v>1.0</v>
      </c>
      <c r="AK14" s="45">
        <v>1.0</v>
      </c>
      <c r="AL14" s="45">
        <v>1.0</v>
      </c>
      <c r="AM14" s="45">
        <v>1.0</v>
      </c>
      <c r="AN14" s="45">
        <v>1.0</v>
      </c>
      <c r="AO14" s="45">
        <v>1.0</v>
      </c>
      <c r="AP14" s="45">
        <v>1.0</v>
      </c>
      <c r="AQ14" s="45">
        <v>1.0</v>
      </c>
      <c r="AR14" s="45">
        <v>1.0</v>
      </c>
      <c r="AS14" s="45">
        <v>1.0</v>
      </c>
      <c r="AT14" s="45">
        <v>1.0</v>
      </c>
      <c r="AU14" s="45">
        <v>1.0</v>
      </c>
      <c r="AV14" s="45">
        <v>1.0</v>
      </c>
      <c r="AW14" s="45">
        <v>1.0</v>
      </c>
      <c r="AX14" s="45">
        <v>1.0</v>
      </c>
      <c r="AY14" s="45">
        <v>1.0</v>
      </c>
      <c r="AZ14" s="45">
        <v>1.0</v>
      </c>
      <c r="BA14" s="45">
        <v>1.0</v>
      </c>
      <c r="BB14" s="45">
        <v>2.0</v>
      </c>
      <c r="BC14" s="45">
        <v>2.0</v>
      </c>
      <c r="BD14" s="45">
        <v>1.0</v>
      </c>
      <c r="BE14" s="45"/>
      <c r="BF14" s="45">
        <v>1.0</v>
      </c>
      <c r="BG14" s="45">
        <v>1.0</v>
      </c>
      <c r="BH14" s="45">
        <v>1.0</v>
      </c>
      <c r="BI14" s="45">
        <v>1.0</v>
      </c>
      <c r="BJ14" s="45">
        <v>3.0</v>
      </c>
      <c r="BK14" s="45">
        <v>1.0</v>
      </c>
      <c r="BL14" s="45" t="str">
        <f t="shared" si="1"/>
        <v>MATCH</v>
      </c>
      <c r="BM14" s="45"/>
      <c r="BN14" s="45"/>
    </row>
    <row r="15">
      <c r="A15" s="96" t="s">
        <v>251</v>
      </c>
      <c r="B15" s="108" t="s">
        <v>252</v>
      </c>
      <c r="C15" s="108" t="s">
        <v>252</v>
      </c>
      <c r="D15" s="108" t="s">
        <v>252</v>
      </c>
      <c r="E15" s="108" t="s">
        <v>252</v>
      </c>
      <c r="F15" s="108" t="s">
        <v>252</v>
      </c>
      <c r="G15" s="108" t="s">
        <v>252</v>
      </c>
      <c r="H15" s="108" t="s">
        <v>252</v>
      </c>
      <c r="I15" s="108" t="s">
        <v>252</v>
      </c>
      <c r="J15" s="108" t="s">
        <v>252</v>
      </c>
      <c r="K15" s="108" t="s">
        <v>252</v>
      </c>
      <c r="L15" s="108" t="s">
        <v>252</v>
      </c>
      <c r="M15" s="97" t="s">
        <v>252</v>
      </c>
      <c r="N15" s="97" t="s">
        <v>252</v>
      </c>
      <c r="O15" s="98" t="s">
        <v>252</v>
      </c>
      <c r="P15" s="98" t="s">
        <v>252</v>
      </c>
      <c r="Q15" s="98" t="s">
        <v>252</v>
      </c>
      <c r="R15" s="98" t="s">
        <v>252</v>
      </c>
      <c r="S15" s="98" t="s">
        <v>252</v>
      </c>
      <c r="T15" s="98" t="s">
        <v>252</v>
      </c>
      <c r="U15" s="98" t="s">
        <v>252</v>
      </c>
      <c r="V15" s="98" t="s">
        <v>252</v>
      </c>
      <c r="W15" s="98" t="s">
        <v>252</v>
      </c>
      <c r="X15" s="98" t="s">
        <v>252</v>
      </c>
      <c r="Y15" s="97" t="s">
        <v>252</v>
      </c>
      <c r="Z15" s="97" t="s">
        <v>252</v>
      </c>
      <c r="AA15" s="97" t="s">
        <v>252</v>
      </c>
      <c r="AB15" s="97" t="s">
        <v>252</v>
      </c>
      <c r="AC15" s="97" t="s">
        <v>252</v>
      </c>
      <c r="AD15" s="97" t="s">
        <v>252</v>
      </c>
      <c r="AE15" s="97" t="s">
        <v>252</v>
      </c>
      <c r="AF15" s="97" t="s">
        <v>252</v>
      </c>
      <c r="AG15" s="97" t="s">
        <v>252</v>
      </c>
      <c r="AH15" s="97" t="s">
        <v>252</v>
      </c>
      <c r="AI15" s="97" t="s">
        <v>252</v>
      </c>
      <c r="AJ15" s="97" t="s">
        <v>252</v>
      </c>
      <c r="AK15" s="97" t="s">
        <v>252</v>
      </c>
      <c r="AL15" s="97" t="s">
        <v>252</v>
      </c>
      <c r="AM15" s="97" t="s">
        <v>252</v>
      </c>
      <c r="AN15" s="97" t="s">
        <v>252</v>
      </c>
      <c r="AO15" s="97" t="s">
        <v>252</v>
      </c>
      <c r="AP15" s="97" t="s">
        <v>252</v>
      </c>
      <c r="AQ15" s="97" t="s">
        <v>252</v>
      </c>
      <c r="AR15" s="97" t="s">
        <v>252</v>
      </c>
      <c r="AS15" s="97" t="s">
        <v>252</v>
      </c>
      <c r="AT15" s="97" t="s">
        <v>252</v>
      </c>
      <c r="AU15" s="97" t="s">
        <v>252</v>
      </c>
      <c r="AV15" s="97" t="s">
        <v>253</v>
      </c>
      <c r="AW15" s="97" t="s">
        <v>253</v>
      </c>
      <c r="AX15" s="97" t="s">
        <v>252</v>
      </c>
      <c r="AY15" s="97" t="s">
        <v>252</v>
      </c>
      <c r="AZ15" s="97" t="s">
        <v>252</v>
      </c>
      <c r="BA15" s="97" t="s">
        <v>252</v>
      </c>
      <c r="BB15" s="97" t="s">
        <v>252</v>
      </c>
      <c r="BC15" s="97" t="s">
        <v>252</v>
      </c>
      <c r="BD15" s="97" t="s">
        <v>252</v>
      </c>
      <c r="BE15" s="97" t="s">
        <v>252</v>
      </c>
      <c r="BF15" s="97" t="s">
        <v>252</v>
      </c>
      <c r="BG15" s="97" t="s">
        <v>252</v>
      </c>
      <c r="BH15" s="97" t="s">
        <v>252</v>
      </c>
      <c r="BI15" s="97" t="s">
        <v>252</v>
      </c>
      <c r="BJ15" s="97" t="s">
        <v>252</v>
      </c>
      <c r="BK15" s="97" t="s">
        <v>252</v>
      </c>
      <c r="BL15" s="45" t="str">
        <f t="shared" si="1"/>
        <v>MATCH</v>
      </c>
      <c r="BM15" s="97"/>
      <c r="BN15" s="97" t="s">
        <v>252</v>
      </c>
    </row>
    <row r="16">
      <c r="A16" s="94" t="s">
        <v>254</v>
      </c>
      <c r="B16" s="42" t="b">
        <v>1</v>
      </c>
      <c r="C16" s="42" t="b">
        <v>1</v>
      </c>
      <c r="D16" s="42" t="b">
        <v>1</v>
      </c>
      <c r="E16" s="42" t="b">
        <v>1</v>
      </c>
      <c r="F16" s="43" t="b">
        <v>0</v>
      </c>
      <c r="G16" s="45" t="b">
        <v>1</v>
      </c>
      <c r="H16" s="43" t="b">
        <v>0</v>
      </c>
      <c r="I16" s="43" t="b">
        <v>0</v>
      </c>
      <c r="J16" s="43" t="b">
        <v>0</v>
      </c>
      <c r="K16" s="43" t="b">
        <v>0</v>
      </c>
      <c r="L16" s="45" t="b">
        <v>1</v>
      </c>
      <c r="M16" s="45" t="b">
        <v>1</v>
      </c>
      <c r="N16" s="45" t="b">
        <v>1</v>
      </c>
      <c r="O16" s="95" t="b">
        <v>0</v>
      </c>
      <c r="P16" s="95" t="b">
        <v>0</v>
      </c>
      <c r="Q16" s="95" t="b">
        <v>0</v>
      </c>
      <c r="R16" s="95" t="b">
        <v>1</v>
      </c>
      <c r="S16" s="95" t="b">
        <v>1</v>
      </c>
      <c r="T16" s="95" t="b">
        <v>1</v>
      </c>
      <c r="U16" s="95" t="b">
        <v>1</v>
      </c>
      <c r="V16" s="95" t="b">
        <v>1</v>
      </c>
      <c r="W16" s="95" t="b">
        <v>0</v>
      </c>
      <c r="X16" s="95" t="b">
        <v>0</v>
      </c>
      <c r="Y16" s="45" t="b">
        <v>1</v>
      </c>
      <c r="Z16" s="45" t="b">
        <v>1</v>
      </c>
      <c r="AA16" s="45" t="b">
        <v>1</v>
      </c>
      <c r="AB16" s="45" t="b">
        <v>1</v>
      </c>
      <c r="AC16" s="43" t="b">
        <v>0</v>
      </c>
      <c r="AD16" s="45" t="b">
        <v>1</v>
      </c>
      <c r="AE16" s="45" t="b">
        <v>1</v>
      </c>
      <c r="AF16" s="43" t="b">
        <v>0</v>
      </c>
      <c r="AG16" s="43" t="b">
        <v>0</v>
      </c>
      <c r="AH16" s="45" t="b">
        <v>1</v>
      </c>
      <c r="AI16" s="43" t="b">
        <v>0</v>
      </c>
      <c r="AJ16" s="45" t="b">
        <v>1</v>
      </c>
      <c r="AK16" s="45" t="b">
        <v>1</v>
      </c>
      <c r="AL16" s="45" t="b">
        <v>0</v>
      </c>
      <c r="AM16" s="45" t="b">
        <v>0</v>
      </c>
      <c r="AN16" s="45" t="b">
        <v>1</v>
      </c>
      <c r="AO16" s="45" t="b">
        <v>0</v>
      </c>
      <c r="AP16" s="45" t="b">
        <v>0</v>
      </c>
      <c r="AQ16" s="45" t="b">
        <v>0</v>
      </c>
      <c r="AR16" s="45" t="b">
        <v>0</v>
      </c>
      <c r="AS16" s="45" t="b">
        <v>1</v>
      </c>
      <c r="AT16" s="45" t="b">
        <v>1</v>
      </c>
      <c r="AU16" s="45" t="b">
        <v>1</v>
      </c>
      <c r="AV16" s="45" t="b">
        <v>0</v>
      </c>
      <c r="AW16" s="45" t="b">
        <v>1</v>
      </c>
      <c r="AX16" s="45" t="b">
        <v>1</v>
      </c>
      <c r="AY16" s="45" t="b">
        <v>1</v>
      </c>
      <c r="AZ16" s="45" t="b">
        <v>1</v>
      </c>
      <c r="BA16" s="45" t="b">
        <v>1</v>
      </c>
      <c r="BB16" s="45" t="b">
        <v>0</v>
      </c>
      <c r="BC16" s="45" t="b">
        <v>0</v>
      </c>
      <c r="BD16" s="45" t="b">
        <v>0</v>
      </c>
      <c r="BE16" s="45" t="b">
        <v>1</v>
      </c>
      <c r="BF16" s="45" t="b">
        <v>1</v>
      </c>
      <c r="BG16" s="45" t="b">
        <v>1</v>
      </c>
      <c r="BH16" s="45" t="b">
        <v>1</v>
      </c>
      <c r="BI16" s="45" t="b">
        <v>1</v>
      </c>
      <c r="BJ16" s="45" t="b">
        <v>1</v>
      </c>
      <c r="BK16" s="45" t="b">
        <v>1</v>
      </c>
      <c r="BL16" s="45" t="str">
        <f t="shared" si="1"/>
        <v>MATCH</v>
      </c>
      <c r="BM16" s="45" t="b">
        <v>0</v>
      </c>
      <c r="BN16" s="45" t="b">
        <v>0</v>
      </c>
    </row>
    <row r="17">
      <c r="A17" s="96" t="s">
        <v>255</v>
      </c>
      <c r="B17" s="97" t="s">
        <v>256</v>
      </c>
      <c r="C17" s="97" t="s">
        <v>256</v>
      </c>
      <c r="D17" s="97" t="s">
        <v>257</v>
      </c>
      <c r="E17" s="108" t="s">
        <v>258</v>
      </c>
      <c r="F17" s="97">
        <v>1199.0</v>
      </c>
      <c r="G17" s="97">
        <v>1199.0</v>
      </c>
      <c r="H17" s="97">
        <v>1197.0</v>
      </c>
      <c r="I17" s="97">
        <v>1197.0</v>
      </c>
      <c r="J17" s="97">
        <v>1197.0</v>
      </c>
      <c r="K17" s="97">
        <v>1197.0</v>
      </c>
      <c r="L17" s="97">
        <v>1197.0</v>
      </c>
      <c r="M17" s="97">
        <v>1197.0</v>
      </c>
      <c r="N17" s="97">
        <v>1197.0</v>
      </c>
      <c r="O17" s="98">
        <v>999.0</v>
      </c>
      <c r="P17" s="98">
        <v>999.0</v>
      </c>
      <c r="Q17" s="98">
        <v>999.0</v>
      </c>
      <c r="R17" s="98">
        <v>1197.0</v>
      </c>
      <c r="S17" s="98">
        <v>1197.0</v>
      </c>
      <c r="T17" s="98">
        <v>799.0</v>
      </c>
      <c r="U17" s="98">
        <v>999.0</v>
      </c>
      <c r="V17" s="98">
        <v>999.0</v>
      </c>
      <c r="W17" s="98">
        <v>796.0</v>
      </c>
      <c r="X17" s="98">
        <v>1198.0</v>
      </c>
      <c r="Y17" s="97">
        <v>1199.0</v>
      </c>
      <c r="Z17" s="97">
        <v>1199.0</v>
      </c>
      <c r="AA17" s="97">
        <v>1199.0</v>
      </c>
      <c r="AB17" s="97">
        <v>1199.0</v>
      </c>
      <c r="AC17" s="97">
        <v>1462.0</v>
      </c>
      <c r="AD17" s="97">
        <v>1462.0</v>
      </c>
      <c r="AE17" s="97">
        <v>1462.0</v>
      </c>
      <c r="AF17" s="97">
        <v>998.0</v>
      </c>
      <c r="AG17" s="97">
        <v>999.0</v>
      </c>
      <c r="AH17" s="97">
        <v>999.0</v>
      </c>
      <c r="AI17" s="97">
        <v>1197.0</v>
      </c>
      <c r="AJ17" s="97">
        <v>1197.0</v>
      </c>
      <c r="AK17" s="97">
        <v>998.0</v>
      </c>
      <c r="AL17" s="97">
        <v>999.0</v>
      </c>
      <c r="AM17" s="97">
        <v>1197.0</v>
      </c>
      <c r="AN17" s="97">
        <v>1197.0</v>
      </c>
      <c r="AO17" s="97">
        <v>1197.0</v>
      </c>
      <c r="AP17" s="97">
        <v>1197.0</v>
      </c>
      <c r="AQ17" s="97">
        <v>1197.0</v>
      </c>
      <c r="AR17" s="97">
        <v>1197.0</v>
      </c>
      <c r="AS17" s="97">
        <v>1462.0</v>
      </c>
      <c r="AT17" s="97">
        <v>1462.0</v>
      </c>
      <c r="AU17" s="97">
        <v>1462.0</v>
      </c>
      <c r="AV17" s="97">
        <v>1497.0</v>
      </c>
      <c r="AW17" s="97">
        <v>1493.0</v>
      </c>
      <c r="AX17" s="97">
        <v>999.0</v>
      </c>
      <c r="AY17" s="97">
        <v>999.0</v>
      </c>
      <c r="AZ17" s="97">
        <v>999.0</v>
      </c>
      <c r="BA17" s="97">
        <v>999.0</v>
      </c>
      <c r="BB17" s="97">
        <v>1496.0</v>
      </c>
      <c r="BC17" s="97">
        <v>1496.0</v>
      </c>
      <c r="BD17" s="97">
        <v>1199.0</v>
      </c>
      <c r="BE17" s="97">
        <v>999.0</v>
      </c>
      <c r="BF17" s="97">
        <v>999.0</v>
      </c>
      <c r="BG17" s="97">
        <v>999.0</v>
      </c>
      <c r="BH17" s="97">
        <v>999.0</v>
      </c>
      <c r="BI17" s="97">
        <v>999.0</v>
      </c>
      <c r="BJ17" s="97">
        <v>999.0</v>
      </c>
      <c r="BK17" s="97">
        <v>1199.0</v>
      </c>
      <c r="BL17" s="45" t="str">
        <f t="shared" si="1"/>
        <v>MATCH</v>
      </c>
      <c r="BM17" s="97"/>
      <c r="BN17" s="97"/>
    </row>
    <row r="18">
      <c r="A18" s="94" t="s">
        <v>259</v>
      </c>
      <c r="B18" s="42" t="b">
        <v>0</v>
      </c>
      <c r="C18" s="42" t="b">
        <v>0</v>
      </c>
      <c r="D18" s="42" t="b">
        <v>0</v>
      </c>
      <c r="E18" s="42" t="b">
        <v>0</v>
      </c>
      <c r="F18" s="43" t="b">
        <v>0</v>
      </c>
      <c r="G18" s="45" t="b">
        <v>1</v>
      </c>
      <c r="H18" s="43" t="b">
        <v>0</v>
      </c>
      <c r="I18" s="45" t="b">
        <v>1</v>
      </c>
      <c r="J18" s="43" t="b">
        <v>0</v>
      </c>
      <c r="K18" s="43" t="b">
        <v>0</v>
      </c>
      <c r="L18" s="45" t="b">
        <v>1</v>
      </c>
      <c r="M18" s="45" t="b">
        <v>1</v>
      </c>
      <c r="N18" s="45" t="b">
        <v>1</v>
      </c>
      <c r="O18" s="95" t="b">
        <v>1</v>
      </c>
      <c r="P18" s="95" t="b">
        <v>1</v>
      </c>
      <c r="Q18" s="95" t="b">
        <v>1</v>
      </c>
      <c r="R18" s="95" t="b">
        <v>1</v>
      </c>
      <c r="S18" s="95" t="b">
        <v>1</v>
      </c>
      <c r="T18" s="95" t="b">
        <v>1</v>
      </c>
      <c r="U18" s="95" t="b">
        <v>1</v>
      </c>
      <c r="V18" s="95" t="b">
        <v>0</v>
      </c>
      <c r="W18" s="95" t="b">
        <v>0</v>
      </c>
      <c r="X18" s="95" t="b">
        <v>1</v>
      </c>
      <c r="Y18" s="45" t="b">
        <v>0</v>
      </c>
      <c r="Z18" s="45" t="b">
        <v>0</v>
      </c>
      <c r="AA18" s="45" t="b">
        <v>1</v>
      </c>
      <c r="AB18" s="45" t="b">
        <v>1</v>
      </c>
      <c r="AC18" s="43" t="b">
        <v>0</v>
      </c>
      <c r="AD18" s="43" t="b">
        <v>0</v>
      </c>
      <c r="AE18" s="43" t="b">
        <v>0</v>
      </c>
      <c r="AF18" s="43" t="b">
        <v>0</v>
      </c>
      <c r="AG18" s="45" t="b">
        <v>0</v>
      </c>
      <c r="AH18" s="45" t="b">
        <v>0</v>
      </c>
      <c r="AI18" s="43" t="b">
        <v>0</v>
      </c>
      <c r="AJ18" s="45" t="b">
        <v>1</v>
      </c>
      <c r="AK18" s="45" t="b">
        <v>1</v>
      </c>
      <c r="AL18" s="45" t="b">
        <v>0</v>
      </c>
      <c r="AM18" s="45" t="b">
        <v>0</v>
      </c>
      <c r="AN18" s="45" t="b">
        <v>1</v>
      </c>
      <c r="AO18" s="45" t="b">
        <v>0</v>
      </c>
      <c r="AP18" s="45" t="b">
        <v>1</v>
      </c>
      <c r="AQ18" s="45" t="b">
        <v>1</v>
      </c>
      <c r="AR18" s="45" t="b">
        <v>1</v>
      </c>
      <c r="AS18" s="45" t="b">
        <v>0</v>
      </c>
      <c r="AT18" s="45" t="b">
        <v>1</v>
      </c>
      <c r="AU18" s="45" t="b">
        <v>1</v>
      </c>
      <c r="AV18" s="45" t="b">
        <v>0</v>
      </c>
      <c r="AW18" s="45" t="b">
        <v>0</v>
      </c>
      <c r="AX18" s="45" t="b">
        <v>1</v>
      </c>
      <c r="AY18" s="45" t="b">
        <v>1</v>
      </c>
      <c r="AZ18" s="45" t="b">
        <v>1</v>
      </c>
      <c r="BA18" s="45" t="b">
        <v>1</v>
      </c>
      <c r="BB18" s="45" t="b">
        <v>0</v>
      </c>
      <c r="BC18" s="45" t="b">
        <v>0</v>
      </c>
      <c r="BD18" s="45" t="b">
        <v>0</v>
      </c>
      <c r="BE18" s="45" t="b">
        <v>0</v>
      </c>
      <c r="BF18" s="45" t="b">
        <v>0</v>
      </c>
      <c r="BG18" s="45" t="b">
        <v>0</v>
      </c>
      <c r="BH18" s="45" t="b">
        <v>0</v>
      </c>
      <c r="BI18" s="45" t="b">
        <v>0</v>
      </c>
      <c r="BJ18" s="45" t="b">
        <v>0</v>
      </c>
      <c r="BK18" s="45" t="b">
        <v>1</v>
      </c>
      <c r="BL18" s="45" t="str">
        <f t="shared" si="1"/>
        <v>MISMATCH</v>
      </c>
      <c r="BM18" s="45" t="b">
        <v>0</v>
      </c>
      <c r="BN18" s="45" t="b">
        <v>0</v>
      </c>
    </row>
    <row r="19">
      <c r="A19" s="96" t="s">
        <v>260</v>
      </c>
      <c r="B19" s="100" t="b">
        <v>0</v>
      </c>
      <c r="C19" s="100" t="b">
        <v>0</v>
      </c>
      <c r="D19" s="100" t="b">
        <v>0</v>
      </c>
      <c r="E19" s="100" t="b">
        <v>0</v>
      </c>
      <c r="F19" s="97" t="b">
        <v>0</v>
      </c>
      <c r="G19" s="97" t="b">
        <v>0</v>
      </c>
      <c r="H19" s="97" t="b">
        <v>0</v>
      </c>
      <c r="I19" s="97" t="b">
        <v>0</v>
      </c>
      <c r="J19" s="97" t="b">
        <v>0</v>
      </c>
      <c r="K19" s="97" t="b">
        <v>0</v>
      </c>
      <c r="L19" s="97" t="b">
        <v>1</v>
      </c>
      <c r="M19" s="97" t="b">
        <v>0</v>
      </c>
      <c r="N19" s="97" t="b">
        <v>0</v>
      </c>
      <c r="O19" s="109" t="b">
        <v>0</v>
      </c>
      <c r="P19" s="109" t="b">
        <v>0</v>
      </c>
      <c r="Q19" s="109" t="b">
        <v>0</v>
      </c>
      <c r="R19" s="109" t="b">
        <v>0</v>
      </c>
      <c r="S19" s="109" t="b">
        <v>0</v>
      </c>
      <c r="T19" s="98" t="b">
        <v>0</v>
      </c>
      <c r="U19" s="98" t="b">
        <v>0</v>
      </c>
      <c r="V19" s="98" t="b">
        <v>0</v>
      </c>
      <c r="W19" s="98" t="b">
        <v>0</v>
      </c>
      <c r="X19" s="98" t="b">
        <v>0</v>
      </c>
      <c r="Y19" s="97" t="b">
        <v>0</v>
      </c>
      <c r="Z19" s="97" t="b">
        <v>1</v>
      </c>
      <c r="AA19" s="97" t="b">
        <v>1</v>
      </c>
      <c r="AB19" s="97" t="b">
        <v>1</v>
      </c>
      <c r="AC19" s="97" t="b">
        <v>1</v>
      </c>
      <c r="AD19" s="97" t="b">
        <v>1</v>
      </c>
      <c r="AE19" s="97" t="b">
        <v>1</v>
      </c>
      <c r="AF19" s="99" t="b">
        <v>0</v>
      </c>
      <c r="AG19" s="99" t="b">
        <v>0</v>
      </c>
      <c r="AH19" s="99" t="b">
        <v>0</v>
      </c>
      <c r="AI19" s="97" t="b">
        <v>0</v>
      </c>
      <c r="AJ19" s="97" t="b">
        <v>0</v>
      </c>
      <c r="AK19" s="97" t="b">
        <v>0</v>
      </c>
      <c r="AL19" s="97" t="b">
        <v>0</v>
      </c>
      <c r="AM19" s="97" t="b">
        <v>0</v>
      </c>
      <c r="AN19" s="97" t="b">
        <v>1</v>
      </c>
      <c r="AO19" s="97" t="b">
        <v>0</v>
      </c>
      <c r="AP19" s="97" t="b">
        <v>1</v>
      </c>
      <c r="AQ19" s="97" t="b">
        <v>1</v>
      </c>
      <c r="AR19" s="97" t="b">
        <v>1</v>
      </c>
      <c r="AS19" s="97" t="b">
        <v>0</v>
      </c>
      <c r="AT19" s="97" t="b">
        <v>0</v>
      </c>
      <c r="AU19" s="97" t="b">
        <v>0</v>
      </c>
      <c r="AV19" s="97" t="b">
        <v>0</v>
      </c>
      <c r="AW19" s="97" t="b">
        <v>0</v>
      </c>
      <c r="AX19" s="97" t="b">
        <v>0</v>
      </c>
      <c r="AY19" s="97" t="b">
        <v>0</v>
      </c>
      <c r="AZ19" s="97" t="b">
        <v>0</v>
      </c>
      <c r="BA19" s="97" t="b">
        <v>0</v>
      </c>
      <c r="BB19" s="97" t="b">
        <v>1</v>
      </c>
      <c r="BC19" s="97" t="b">
        <v>1</v>
      </c>
      <c r="BD19" s="97" t="b">
        <v>0</v>
      </c>
      <c r="BE19" s="97" t="b">
        <v>0</v>
      </c>
      <c r="BF19" s="97" t="b">
        <v>0</v>
      </c>
      <c r="BG19" s="97" t="b">
        <v>0</v>
      </c>
      <c r="BH19" s="97" t="b">
        <v>0</v>
      </c>
      <c r="BI19" s="97" t="b">
        <v>0</v>
      </c>
      <c r="BJ19" s="97" t="b">
        <v>0</v>
      </c>
      <c r="BK19" s="97" t="b">
        <v>1</v>
      </c>
      <c r="BL19" s="45" t="str">
        <f t="shared" si="1"/>
        <v>MATCH</v>
      </c>
      <c r="BM19" s="97" t="b">
        <v>0</v>
      </c>
      <c r="BN19" s="97" t="b">
        <v>0</v>
      </c>
    </row>
    <row r="20">
      <c r="A20" s="94" t="s">
        <v>261</v>
      </c>
      <c r="B20" s="45"/>
      <c r="C20" s="45">
        <v>5.0</v>
      </c>
      <c r="D20" s="45">
        <v>5.0</v>
      </c>
      <c r="E20" s="45">
        <v>5.0</v>
      </c>
      <c r="F20" s="45">
        <v>5.0</v>
      </c>
      <c r="G20" s="45">
        <v>5.0</v>
      </c>
      <c r="H20" s="45">
        <v>5.0</v>
      </c>
      <c r="I20" s="45">
        <v>5.0</v>
      </c>
      <c r="J20" s="45">
        <v>5.0</v>
      </c>
      <c r="K20" s="45">
        <v>5.0</v>
      </c>
      <c r="L20" s="45">
        <v>5.0</v>
      </c>
      <c r="M20" s="45"/>
      <c r="N20" s="45"/>
      <c r="O20" s="95"/>
      <c r="P20" s="95"/>
      <c r="Q20" s="95"/>
      <c r="R20" s="95">
        <v>5.0</v>
      </c>
      <c r="S20" s="95">
        <v>5.0</v>
      </c>
      <c r="T20" s="95">
        <v>5.0</v>
      </c>
      <c r="U20" s="95">
        <v>5.0</v>
      </c>
      <c r="V20" s="95">
        <v>5.0</v>
      </c>
      <c r="W20" s="95">
        <v>5.0</v>
      </c>
      <c r="X20" s="95">
        <v>5.0</v>
      </c>
      <c r="Y20" s="45">
        <v>6.0</v>
      </c>
      <c r="Z20" s="45">
        <v>6.0</v>
      </c>
      <c r="AA20" s="45">
        <v>6.0</v>
      </c>
      <c r="AB20" s="43"/>
      <c r="AC20" s="43"/>
      <c r="AD20" s="43"/>
      <c r="AE20" s="43"/>
      <c r="AF20" s="43"/>
      <c r="AG20" s="43"/>
      <c r="AH20" s="43"/>
      <c r="AI20" s="45">
        <v>5.0</v>
      </c>
      <c r="AJ20" s="45">
        <v>5.0</v>
      </c>
      <c r="AK20" s="45">
        <v>5.0</v>
      </c>
      <c r="AL20" s="45">
        <v>6.0</v>
      </c>
      <c r="AM20" s="45">
        <v>6.0</v>
      </c>
      <c r="AN20" s="45">
        <v>6.0</v>
      </c>
      <c r="AO20" s="45">
        <v>5.0</v>
      </c>
      <c r="AP20" s="45">
        <v>5.0</v>
      </c>
      <c r="AQ20" s="45">
        <v>5.0</v>
      </c>
      <c r="AR20" s="45">
        <v>4.0</v>
      </c>
      <c r="AS20" s="45">
        <v>5.0</v>
      </c>
      <c r="AT20" s="45">
        <v>5.0</v>
      </c>
      <c r="AU20" s="45">
        <v>5.0</v>
      </c>
      <c r="AV20" s="45">
        <v>6.0</v>
      </c>
      <c r="AW20" s="45">
        <v>6.0</v>
      </c>
      <c r="AX20" s="45">
        <v>5.0</v>
      </c>
      <c r="AY20" s="45">
        <v>5.0</v>
      </c>
      <c r="AZ20" s="45">
        <v>5.0</v>
      </c>
      <c r="BA20" s="45">
        <v>5.0</v>
      </c>
      <c r="BB20" s="45">
        <v>5.0</v>
      </c>
      <c r="BC20" s="45">
        <v>5.0</v>
      </c>
      <c r="BD20" s="45">
        <v>5.0</v>
      </c>
      <c r="BE20" s="45">
        <v>5.0</v>
      </c>
      <c r="BF20" s="45">
        <v>5.0</v>
      </c>
      <c r="BG20" s="45">
        <v>5.0</v>
      </c>
      <c r="BH20" s="45">
        <v>5.0</v>
      </c>
      <c r="BI20" s="45">
        <v>5.0</v>
      </c>
      <c r="BJ20" s="45">
        <v>5.0</v>
      </c>
      <c r="BK20" s="45">
        <v>5.0</v>
      </c>
      <c r="BL20" s="45" t="str">
        <f t="shared" si="1"/>
        <v>MATCH</v>
      </c>
      <c r="BM20" s="45"/>
      <c r="BN20" s="45">
        <v>5.0</v>
      </c>
    </row>
    <row r="21">
      <c r="A21" s="96" t="s">
        <v>262</v>
      </c>
      <c r="B21" s="100" t="b">
        <v>1</v>
      </c>
      <c r="C21" s="100" t="b">
        <v>1</v>
      </c>
      <c r="D21" s="100" t="b">
        <v>1</v>
      </c>
      <c r="E21" s="100" t="b">
        <v>1</v>
      </c>
      <c r="F21" s="97" t="b">
        <v>1</v>
      </c>
      <c r="G21" s="97" t="b">
        <v>1</v>
      </c>
      <c r="H21" s="97" t="b">
        <v>1</v>
      </c>
      <c r="I21" s="97" t="b">
        <v>1</v>
      </c>
      <c r="J21" s="99" t="b">
        <v>0</v>
      </c>
      <c r="K21" s="97" t="b">
        <v>1</v>
      </c>
      <c r="L21" s="97" t="b">
        <v>1</v>
      </c>
      <c r="M21" s="97" t="b">
        <v>1</v>
      </c>
      <c r="N21" s="97" t="b">
        <v>1</v>
      </c>
      <c r="O21" s="98" t="b">
        <v>1</v>
      </c>
      <c r="P21" s="98" t="b">
        <v>1</v>
      </c>
      <c r="Q21" s="98" t="b">
        <v>1</v>
      </c>
      <c r="R21" s="98" t="b">
        <v>1</v>
      </c>
      <c r="S21" s="98" t="b">
        <v>1</v>
      </c>
      <c r="T21" s="98" t="b">
        <v>1</v>
      </c>
      <c r="U21" s="98" t="b">
        <v>1</v>
      </c>
      <c r="V21" s="98" t="b">
        <v>0</v>
      </c>
      <c r="W21" s="98" t="b">
        <v>0</v>
      </c>
      <c r="X21" s="98" t="b">
        <v>0</v>
      </c>
      <c r="Y21" s="97" t="b">
        <v>0</v>
      </c>
      <c r="Z21" s="97" t="b">
        <v>0</v>
      </c>
      <c r="AA21" s="97" t="b">
        <v>0</v>
      </c>
      <c r="AB21" s="99" t="b">
        <v>0</v>
      </c>
      <c r="AC21" s="99" t="b">
        <v>0</v>
      </c>
      <c r="AD21" s="99" t="b">
        <v>0</v>
      </c>
      <c r="AE21" s="99" t="b">
        <v>0</v>
      </c>
      <c r="AF21" s="99" t="b">
        <v>0</v>
      </c>
      <c r="AG21" s="97" t="b">
        <v>1</v>
      </c>
      <c r="AH21" s="97" t="b">
        <v>1</v>
      </c>
      <c r="AI21" s="97" t="b">
        <v>1</v>
      </c>
      <c r="AJ21" s="97" t="b">
        <v>1</v>
      </c>
      <c r="AK21" s="97" t="b">
        <v>1</v>
      </c>
      <c r="AL21" s="97" t="b">
        <v>1</v>
      </c>
      <c r="AM21" s="97" t="b">
        <v>1</v>
      </c>
      <c r="AN21" s="97" t="b">
        <v>1</v>
      </c>
      <c r="AO21" s="97" t="b">
        <v>1</v>
      </c>
      <c r="AP21" s="97" t="b">
        <v>0</v>
      </c>
      <c r="AQ21" s="97" t="b">
        <v>0</v>
      </c>
      <c r="AR21" s="97" t="b">
        <v>0</v>
      </c>
      <c r="AS21" s="97" t="b">
        <v>1</v>
      </c>
      <c r="AT21" s="97" t="b">
        <v>0</v>
      </c>
      <c r="AU21" s="97" t="b">
        <v>0</v>
      </c>
      <c r="AV21" s="97" t="b">
        <v>1</v>
      </c>
      <c r="AW21" s="97" t="b">
        <v>1</v>
      </c>
      <c r="AX21" s="97" t="b">
        <v>1</v>
      </c>
      <c r="AY21" s="97" t="b">
        <v>1</v>
      </c>
      <c r="AZ21" s="97" t="b">
        <v>1</v>
      </c>
      <c r="BA21" s="97" t="b">
        <v>1</v>
      </c>
      <c r="BB21" s="97" t="b">
        <v>1</v>
      </c>
      <c r="BC21" s="97" t="b">
        <v>1</v>
      </c>
      <c r="BD21" s="97" t="b">
        <v>0</v>
      </c>
      <c r="BE21" s="97" t="b">
        <v>0</v>
      </c>
      <c r="BF21" s="97" t="b">
        <v>0</v>
      </c>
      <c r="BG21" s="97" t="b">
        <v>1</v>
      </c>
      <c r="BH21" s="97" t="b">
        <v>1</v>
      </c>
      <c r="BI21" s="97" t="b">
        <v>1</v>
      </c>
      <c r="BJ21" s="97" t="b">
        <v>1</v>
      </c>
      <c r="BK21" s="97" t="b">
        <v>1</v>
      </c>
      <c r="BL21" s="45" t="str">
        <f t="shared" si="1"/>
        <v>MATCH</v>
      </c>
      <c r="BM21" s="97" t="b">
        <v>0</v>
      </c>
      <c r="BN21" s="97" t="b">
        <v>0</v>
      </c>
    </row>
    <row r="22">
      <c r="A22" s="94" t="s">
        <v>263</v>
      </c>
      <c r="B22" s="103" t="b">
        <v>0</v>
      </c>
      <c r="C22" s="103" t="b">
        <v>0</v>
      </c>
      <c r="D22" s="103" t="b">
        <v>0</v>
      </c>
      <c r="E22" s="42" t="b">
        <v>0</v>
      </c>
      <c r="F22" s="43" t="b">
        <v>0</v>
      </c>
      <c r="G22" s="43" t="b">
        <v>0</v>
      </c>
      <c r="H22" s="43" t="b">
        <v>0</v>
      </c>
      <c r="I22" s="43" t="b">
        <v>0</v>
      </c>
      <c r="J22" s="43" t="b">
        <v>0</v>
      </c>
      <c r="K22" s="43" t="b">
        <v>0</v>
      </c>
      <c r="L22" s="45" t="b">
        <v>0</v>
      </c>
      <c r="M22" s="45" t="b">
        <v>0</v>
      </c>
      <c r="N22" s="45" t="b">
        <v>0</v>
      </c>
      <c r="O22" s="95" t="b">
        <v>0</v>
      </c>
      <c r="P22" s="95" t="b">
        <v>0</v>
      </c>
      <c r="Q22" s="95" t="b">
        <v>0</v>
      </c>
      <c r="R22" s="95" t="b">
        <v>0</v>
      </c>
      <c r="S22" s="95" t="b">
        <v>0</v>
      </c>
      <c r="T22" s="95" t="b">
        <v>0</v>
      </c>
      <c r="U22" s="95" t="b">
        <v>0</v>
      </c>
      <c r="V22" s="95" t="b">
        <v>0</v>
      </c>
      <c r="W22" s="95" t="b">
        <v>0</v>
      </c>
      <c r="X22" s="95" t="b">
        <v>0</v>
      </c>
      <c r="Y22" s="45" t="b">
        <v>1</v>
      </c>
      <c r="Z22" s="45" t="b">
        <v>1</v>
      </c>
      <c r="AA22" s="45" t="b">
        <v>1</v>
      </c>
      <c r="AB22" s="45" t="b">
        <v>1</v>
      </c>
      <c r="AC22" s="43" t="b">
        <v>0</v>
      </c>
      <c r="AD22" s="43" t="b">
        <v>0</v>
      </c>
      <c r="AE22" s="43" t="b">
        <v>0</v>
      </c>
      <c r="AF22" s="43" t="b">
        <v>0</v>
      </c>
      <c r="AG22" s="43" t="b">
        <v>0</v>
      </c>
      <c r="AH22" s="43" t="b">
        <v>0</v>
      </c>
      <c r="AI22" s="43" t="b">
        <v>0</v>
      </c>
      <c r="AJ22" s="43" t="b">
        <v>0</v>
      </c>
      <c r="AK22" s="43" t="b">
        <v>0</v>
      </c>
      <c r="AL22" s="45" t="b">
        <v>1</v>
      </c>
      <c r="AM22" s="43" t="b">
        <v>0</v>
      </c>
      <c r="AN22" s="43" t="b">
        <v>0</v>
      </c>
      <c r="AO22" s="45" t="b">
        <v>0</v>
      </c>
      <c r="AP22" s="43" t="b">
        <v>0</v>
      </c>
      <c r="AQ22" s="43" t="b">
        <v>0</v>
      </c>
      <c r="AR22" s="43" t="b">
        <v>0</v>
      </c>
      <c r="AS22" s="43" t="b">
        <v>0</v>
      </c>
      <c r="AT22" s="43" t="b">
        <v>0</v>
      </c>
      <c r="AU22" s="45" t="b">
        <v>1</v>
      </c>
      <c r="AV22" s="45" t="b">
        <v>0</v>
      </c>
      <c r="AW22" s="45" t="b">
        <v>0</v>
      </c>
      <c r="AX22" s="45" t="b">
        <v>0</v>
      </c>
      <c r="AY22" s="45" t="b">
        <v>0</v>
      </c>
      <c r="AZ22" s="45" t="b">
        <v>1</v>
      </c>
      <c r="BA22" s="45" t="b">
        <v>1</v>
      </c>
      <c r="BB22" s="45" t="b">
        <v>0</v>
      </c>
      <c r="BC22" s="45" t="b">
        <v>0</v>
      </c>
      <c r="BD22" s="45" t="b">
        <v>0</v>
      </c>
      <c r="BE22" s="45" t="b">
        <v>0</v>
      </c>
      <c r="BF22" s="45" t="b">
        <v>0</v>
      </c>
      <c r="BG22" s="45" t="b">
        <v>0</v>
      </c>
      <c r="BH22" s="45" t="b">
        <v>0</v>
      </c>
      <c r="BI22" s="45" t="b">
        <v>0</v>
      </c>
      <c r="BJ22" s="45" t="b">
        <v>0</v>
      </c>
      <c r="BK22" s="45" t="b">
        <v>0</v>
      </c>
      <c r="BL22" s="45" t="str">
        <f t="shared" si="1"/>
        <v>MATCH</v>
      </c>
      <c r="BM22" s="45" t="b">
        <v>0</v>
      </c>
      <c r="BN22" s="45" t="b">
        <v>0</v>
      </c>
    </row>
    <row r="23">
      <c r="A23" s="96" t="s">
        <v>264</v>
      </c>
      <c r="B23" s="100" t="b">
        <v>1</v>
      </c>
      <c r="C23" s="100" t="b">
        <v>1</v>
      </c>
      <c r="D23" s="100" t="b">
        <v>1</v>
      </c>
      <c r="E23" s="100" t="b">
        <v>1</v>
      </c>
      <c r="F23" s="99" t="b">
        <v>0</v>
      </c>
      <c r="G23" s="97" t="b">
        <v>1</v>
      </c>
      <c r="H23" s="97" t="b">
        <v>1</v>
      </c>
      <c r="I23" s="97" t="b">
        <v>1</v>
      </c>
      <c r="J23" s="97" t="b">
        <v>1</v>
      </c>
      <c r="K23" s="97" t="b">
        <v>1</v>
      </c>
      <c r="L23" s="97" t="b">
        <v>1</v>
      </c>
      <c r="M23" s="97" t="b">
        <v>1</v>
      </c>
      <c r="N23" s="97" t="b">
        <v>1</v>
      </c>
      <c r="O23" s="98" t="b">
        <v>1</v>
      </c>
      <c r="P23" s="98" t="b">
        <v>1</v>
      </c>
      <c r="Q23" s="98" t="b">
        <v>1</v>
      </c>
      <c r="R23" s="98" t="b">
        <v>1</v>
      </c>
      <c r="S23" s="98" t="b">
        <v>1</v>
      </c>
      <c r="T23" s="98" t="b">
        <v>1</v>
      </c>
      <c r="U23" s="98" t="b">
        <v>1</v>
      </c>
      <c r="V23" s="98" t="b">
        <v>1</v>
      </c>
      <c r="W23" s="98" t="b">
        <v>1</v>
      </c>
      <c r="X23" s="98" t="b">
        <v>1</v>
      </c>
      <c r="Y23" s="97" t="b">
        <v>0</v>
      </c>
      <c r="Z23" s="97" t="b">
        <v>1</v>
      </c>
      <c r="AA23" s="97" t="b">
        <v>1</v>
      </c>
      <c r="AB23" s="97" t="b">
        <v>1</v>
      </c>
      <c r="AC23" s="97" t="b">
        <v>1</v>
      </c>
      <c r="AD23" s="97" t="b">
        <v>1</v>
      </c>
      <c r="AE23" s="97" t="b">
        <v>1</v>
      </c>
      <c r="AF23" s="97" t="b">
        <v>1</v>
      </c>
      <c r="AG23" s="97" t="b">
        <v>1</v>
      </c>
      <c r="AH23" s="97" t="b">
        <v>1</v>
      </c>
      <c r="AI23" s="97" t="b">
        <v>1</v>
      </c>
      <c r="AJ23" s="97" t="b">
        <v>1</v>
      </c>
      <c r="AK23" s="97" t="b">
        <v>1</v>
      </c>
      <c r="AL23" s="97" t="b">
        <v>0</v>
      </c>
      <c r="AM23" s="97" t="b">
        <v>0</v>
      </c>
      <c r="AN23" s="97" t="b">
        <v>1</v>
      </c>
      <c r="AO23" s="97" t="b">
        <v>0</v>
      </c>
      <c r="AP23" s="97" t="b">
        <v>0</v>
      </c>
      <c r="AQ23" s="97" t="b">
        <v>0</v>
      </c>
      <c r="AR23" s="97" t="b">
        <v>0</v>
      </c>
      <c r="AS23" s="97" t="b">
        <v>1</v>
      </c>
      <c r="AT23" s="97" t="b">
        <v>0</v>
      </c>
      <c r="AU23" s="97" t="b">
        <v>0</v>
      </c>
      <c r="AV23" s="97" t="b">
        <v>1</v>
      </c>
      <c r="AW23" s="97" t="b">
        <v>1</v>
      </c>
      <c r="AX23" s="97" t="b">
        <v>1</v>
      </c>
      <c r="AY23" s="97" t="b">
        <v>1</v>
      </c>
      <c r="AZ23" s="97" t="b">
        <v>1</v>
      </c>
      <c r="BA23" s="97" t="b">
        <v>1</v>
      </c>
      <c r="BB23" s="97" t="b">
        <v>0</v>
      </c>
      <c r="BC23" s="97" t="b">
        <v>0</v>
      </c>
      <c r="BD23" s="97" t="b">
        <v>1</v>
      </c>
      <c r="BE23" s="97" t="b">
        <v>0</v>
      </c>
      <c r="BF23" s="97" t="b">
        <v>0</v>
      </c>
      <c r="BG23" s="97" t="b">
        <v>1</v>
      </c>
      <c r="BH23" s="97" t="b">
        <v>1</v>
      </c>
      <c r="BI23" s="97" t="b">
        <v>1</v>
      </c>
      <c r="BJ23" s="97" t="b">
        <v>1</v>
      </c>
      <c r="BK23" s="97" t="b">
        <v>1</v>
      </c>
      <c r="BL23" s="45" t="str">
        <f t="shared" si="1"/>
        <v>MATCH</v>
      </c>
      <c r="BM23" s="97" t="b">
        <v>0</v>
      </c>
      <c r="BN23" s="97" t="b">
        <v>0</v>
      </c>
    </row>
    <row r="24">
      <c r="A24" s="94" t="s">
        <v>265</v>
      </c>
      <c r="B24" s="42" t="b">
        <v>1</v>
      </c>
      <c r="C24" s="42" t="b">
        <v>1</v>
      </c>
      <c r="D24" s="42" t="b">
        <v>1</v>
      </c>
      <c r="E24" s="42" t="b">
        <v>1</v>
      </c>
      <c r="F24" s="43" t="b">
        <v>0</v>
      </c>
      <c r="G24" s="43" t="b">
        <v>0</v>
      </c>
      <c r="H24" s="43" t="b">
        <v>0</v>
      </c>
      <c r="I24" s="43" t="b">
        <v>0</v>
      </c>
      <c r="J24" s="43" t="b">
        <v>0</v>
      </c>
      <c r="K24" s="43" t="b">
        <v>0</v>
      </c>
      <c r="L24" s="45" t="b">
        <v>1</v>
      </c>
      <c r="M24" s="45" t="b">
        <v>0</v>
      </c>
      <c r="N24" s="45" t="b">
        <v>0</v>
      </c>
      <c r="O24" s="95" t="b">
        <v>0</v>
      </c>
      <c r="P24" s="95" t="b">
        <v>0</v>
      </c>
      <c r="Q24" s="95" t="b">
        <v>0</v>
      </c>
      <c r="R24" s="95" t="b">
        <v>0</v>
      </c>
      <c r="S24" s="95" t="b">
        <v>0</v>
      </c>
      <c r="T24" s="95" t="b">
        <v>0</v>
      </c>
      <c r="U24" s="95" t="b">
        <v>0</v>
      </c>
      <c r="V24" s="95" t="b">
        <v>0</v>
      </c>
      <c r="W24" s="95" t="b">
        <v>0</v>
      </c>
      <c r="X24" s="95" t="b">
        <v>0</v>
      </c>
      <c r="Y24" s="45" t="b">
        <v>0</v>
      </c>
      <c r="Z24" s="45" t="b">
        <v>0</v>
      </c>
      <c r="AA24" s="45" t="b">
        <v>0</v>
      </c>
      <c r="AB24" s="45" t="b">
        <v>0</v>
      </c>
      <c r="AC24" s="43" t="b">
        <v>0</v>
      </c>
      <c r="AD24" s="45" t="b">
        <v>1</v>
      </c>
      <c r="AE24" s="45" t="b">
        <v>1</v>
      </c>
      <c r="AF24" s="45" t="b">
        <v>0</v>
      </c>
      <c r="AG24" s="43" t="b">
        <v>0</v>
      </c>
      <c r="AH24" s="43" t="b">
        <v>0</v>
      </c>
      <c r="AI24" s="43" t="b">
        <v>0</v>
      </c>
      <c r="AJ24" s="45" t="b">
        <v>1</v>
      </c>
      <c r="AK24" s="45" t="b">
        <v>1</v>
      </c>
      <c r="AL24" s="45" t="b">
        <v>0</v>
      </c>
      <c r="AM24" s="45" t="b">
        <v>0</v>
      </c>
      <c r="AN24" s="45" t="b">
        <v>1</v>
      </c>
      <c r="AO24" s="45" t="b">
        <v>0</v>
      </c>
      <c r="AP24" s="45" t="b">
        <v>0</v>
      </c>
      <c r="AQ24" s="45" t="b">
        <v>0</v>
      </c>
      <c r="AR24" s="45" t="b">
        <v>0</v>
      </c>
      <c r="AS24" s="45" t="b">
        <v>1</v>
      </c>
      <c r="AT24" s="45" t="b">
        <v>0</v>
      </c>
      <c r="AU24" s="45" t="b">
        <v>0</v>
      </c>
      <c r="AV24" s="45" t="b">
        <v>0</v>
      </c>
      <c r="AW24" s="45" t="b">
        <v>0</v>
      </c>
      <c r="AX24" s="110" t="b">
        <v>0</v>
      </c>
      <c r="AY24" s="110" t="b">
        <v>1</v>
      </c>
      <c r="AZ24" s="110" t="b">
        <v>1</v>
      </c>
      <c r="BA24" s="110" t="b">
        <v>1</v>
      </c>
      <c r="BB24" s="45" t="b">
        <v>0</v>
      </c>
      <c r="BC24" s="45" t="b">
        <v>0</v>
      </c>
      <c r="BD24" s="45" t="b">
        <v>0</v>
      </c>
      <c r="BE24" s="45" t="b">
        <v>0</v>
      </c>
      <c r="BF24" s="45" t="b">
        <v>0</v>
      </c>
      <c r="BG24" s="45" t="b">
        <v>0</v>
      </c>
      <c r="BH24" s="45" t="b">
        <v>0</v>
      </c>
      <c r="BI24" s="45" t="b">
        <v>0</v>
      </c>
      <c r="BJ24" s="45" t="b">
        <v>1</v>
      </c>
      <c r="BK24" s="45" t="b">
        <v>1</v>
      </c>
      <c r="BL24" s="45" t="str">
        <f t="shared" si="1"/>
        <v>MATCH</v>
      </c>
      <c r="BM24" s="45" t="b">
        <v>0</v>
      </c>
      <c r="BN24" s="45" t="b">
        <v>0</v>
      </c>
    </row>
    <row r="25">
      <c r="A25" s="96" t="s">
        <v>266</v>
      </c>
      <c r="B25" s="100" t="b">
        <v>0</v>
      </c>
      <c r="C25" s="100" t="b">
        <v>1</v>
      </c>
      <c r="D25" s="100" t="b">
        <v>1</v>
      </c>
      <c r="E25" s="100" t="b">
        <v>1</v>
      </c>
      <c r="F25" s="99" t="b">
        <v>0</v>
      </c>
      <c r="G25" s="97" t="b">
        <v>1</v>
      </c>
      <c r="H25" s="99" t="b">
        <v>0</v>
      </c>
      <c r="I25" s="99" t="b">
        <v>0</v>
      </c>
      <c r="J25" s="99" t="b">
        <v>0</v>
      </c>
      <c r="K25" s="99" t="b">
        <v>0</v>
      </c>
      <c r="L25" s="97" t="b">
        <v>0</v>
      </c>
      <c r="M25" s="97" t="b">
        <v>0</v>
      </c>
      <c r="N25" s="97" t="b">
        <v>0</v>
      </c>
      <c r="O25" s="109" t="b">
        <v>0</v>
      </c>
      <c r="P25" s="109" t="b">
        <v>0</v>
      </c>
      <c r="Q25" s="109" t="b">
        <v>0</v>
      </c>
      <c r="R25" s="109" t="b">
        <v>0</v>
      </c>
      <c r="S25" s="109" t="b">
        <v>0</v>
      </c>
      <c r="T25" s="98" t="b">
        <v>0</v>
      </c>
      <c r="U25" s="98" t="b">
        <v>0</v>
      </c>
      <c r="V25" s="98" t="b">
        <v>0</v>
      </c>
      <c r="W25" s="98" t="b">
        <v>0</v>
      </c>
      <c r="X25" s="98" t="b">
        <v>0</v>
      </c>
      <c r="Y25" s="97" t="b">
        <v>1</v>
      </c>
      <c r="Z25" s="97" t="b">
        <v>1</v>
      </c>
      <c r="AA25" s="97" t="b">
        <v>1</v>
      </c>
      <c r="AB25" s="97" t="b">
        <v>1</v>
      </c>
      <c r="AC25" s="99" t="b">
        <v>0</v>
      </c>
      <c r="AD25" s="99" t="b">
        <v>0</v>
      </c>
      <c r="AE25" s="99" t="b">
        <v>0</v>
      </c>
      <c r="AF25" s="99" t="b">
        <v>0</v>
      </c>
      <c r="AG25" s="99" t="b">
        <v>0</v>
      </c>
      <c r="AH25" s="99" t="b">
        <v>0</v>
      </c>
      <c r="AI25" s="97" t="b">
        <v>0</v>
      </c>
      <c r="AJ25" s="97" t="b">
        <v>1</v>
      </c>
      <c r="AK25" s="97" t="b">
        <v>1</v>
      </c>
      <c r="AL25" s="97" t="b">
        <v>0</v>
      </c>
      <c r="AM25" s="97" t="b">
        <v>1</v>
      </c>
      <c r="AN25" s="97" t="b">
        <v>1</v>
      </c>
      <c r="AO25" s="97" t="b">
        <v>0</v>
      </c>
      <c r="AP25" s="97" t="b">
        <v>0</v>
      </c>
      <c r="AQ25" s="97" t="b">
        <v>0</v>
      </c>
      <c r="AR25" s="97" t="b">
        <v>0</v>
      </c>
      <c r="AS25" s="97" t="b">
        <v>1</v>
      </c>
      <c r="AT25" s="97" t="b">
        <v>0</v>
      </c>
      <c r="AU25" s="97" t="b">
        <v>0</v>
      </c>
      <c r="AV25" s="97" t="b">
        <v>0</v>
      </c>
      <c r="AW25" s="97" t="b">
        <v>1</v>
      </c>
      <c r="AX25" s="97" t="b">
        <v>0</v>
      </c>
      <c r="AY25" s="97" t="b">
        <v>0</v>
      </c>
      <c r="AZ25" s="97" t="b">
        <v>0</v>
      </c>
      <c r="BA25" s="97" t="b">
        <v>0</v>
      </c>
      <c r="BB25" s="97" t="b">
        <v>0</v>
      </c>
      <c r="BC25" s="97" t="b">
        <v>0</v>
      </c>
      <c r="BD25" s="97" t="b">
        <v>0</v>
      </c>
      <c r="BE25" s="97" t="b">
        <v>0</v>
      </c>
      <c r="BF25" s="97" t="b">
        <v>0</v>
      </c>
      <c r="BG25" s="97" t="b">
        <v>1</v>
      </c>
      <c r="BH25" s="97" t="b">
        <v>1</v>
      </c>
      <c r="BI25" s="97" t="b">
        <v>1</v>
      </c>
      <c r="BJ25" s="97" t="b">
        <v>1</v>
      </c>
      <c r="BK25" s="97" t="b">
        <v>0</v>
      </c>
      <c r="BL25" s="45" t="str">
        <f t="shared" si="1"/>
        <v>MISMATCH</v>
      </c>
      <c r="BM25" s="97" t="b">
        <v>0</v>
      </c>
      <c r="BN25" s="97" t="b">
        <v>0</v>
      </c>
    </row>
    <row r="26">
      <c r="A26" s="94" t="s">
        <v>267</v>
      </c>
      <c r="B26" s="45">
        <v>25.17</v>
      </c>
      <c r="C26" s="45">
        <v>25.17</v>
      </c>
      <c r="D26" s="45">
        <v>23.01</v>
      </c>
      <c r="E26" s="111">
        <v>23.01</v>
      </c>
      <c r="F26" s="43"/>
      <c r="G26" s="43"/>
      <c r="H26" s="43"/>
      <c r="I26" s="43"/>
      <c r="J26" s="45" t="s">
        <v>268</v>
      </c>
      <c r="K26" s="45">
        <v>21.21</v>
      </c>
      <c r="L26" s="45">
        <v>21.21</v>
      </c>
      <c r="M26" s="45">
        <v>20.7</v>
      </c>
      <c r="N26" s="45">
        <v>20.7</v>
      </c>
      <c r="O26" s="112">
        <v>17.75</v>
      </c>
      <c r="P26" s="95">
        <v>18.24</v>
      </c>
      <c r="Q26" s="95">
        <v>18.78</v>
      </c>
      <c r="R26" s="95">
        <v>18.6</v>
      </c>
      <c r="S26" s="95">
        <v>18.6</v>
      </c>
      <c r="T26" s="95">
        <v>20.71</v>
      </c>
      <c r="U26" s="95">
        <v>20.71</v>
      </c>
      <c r="V26" s="95">
        <v>22.0</v>
      </c>
      <c r="W26" s="95">
        <v>22.05</v>
      </c>
      <c r="X26" s="95">
        <v>19.44</v>
      </c>
      <c r="Y26" s="45">
        <v>17.0</v>
      </c>
      <c r="Z26" s="45">
        <v>17.0</v>
      </c>
      <c r="AA26" s="45">
        <v>17.0</v>
      </c>
      <c r="AB26" s="45">
        <v>17.0</v>
      </c>
      <c r="AC26" s="45">
        <v>17.03</v>
      </c>
      <c r="AD26" s="45">
        <v>17.03</v>
      </c>
      <c r="AE26" s="45">
        <v>17.03</v>
      </c>
      <c r="AF26" s="45">
        <v>21.7</v>
      </c>
      <c r="AG26" s="45">
        <v>20.0</v>
      </c>
      <c r="AH26" s="45">
        <v>20.0</v>
      </c>
      <c r="AI26" s="45">
        <v>17.52</v>
      </c>
      <c r="AJ26" s="45">
        <v>17.52</v>
      </c>
      <c r="AK26" s="45">
        <v>18.27</v>
      </c>
      <c r="AL26" s="45">
        <v>18.97</v>
      </c>
      <c r="AM26" s="45">
        <v>17.0</v>
      </c>
      <c r="AN26" s="45">
        <v>17.0</v>
      </c>
      <c r="AO26" s="45">
        <v>18.4</v>
      </c>
      <c r="AP26" s="45">
        <v>18.4</v>
      </c>
      <c r="AQ26" s="45">
        <v>18.4</v>
      </c>
      <c r="AR26" s="45">
        <v>18.2</v>
      </c>
      <c r="AS26" s="45">
        <v>17.3</v>
      </c>
      <c r="AT26" s="45">
        <v>17.3</v>
      </c>
      <c r="AU26" s="45">
        <v>17.3</v>
      </c>
      <c r="AV26" s="45">
        <v>16.8</v>
      </c>
      <c r="AW26" s="45">
        <v>16.8</v>
      </c>
      <c r="AX26" s="45">
        <v>18.75</v>
      </c>
      <c r="AY26" s="45">
        <v>18.75</v>
      </c>
      <c r="AZ26" s="45">
        <v>20.0</v>
      </c>
      <c r="BA26" s="45">
        <v>20.0</v>
      </c>
      <c r="BB26" s="45">
        <v>15.9</v>
      </c>
      <c r="BC26" s="45">
        <v>15.9</v>
      </c>
      <c r="BD26" s="45">
        <v>18.6</v>
      </c>
      <c r="BE26" s="45"/>
      <c r="BF26" s="45"/>
      <c r="BG26" s="45"/>
      <c r="BH26" s="45"/>
      <c r="BI26" s="45">
        <v>20.0</v>
      </c>
      <c r="BJ26" s="45"/>
      <c r="BK26" s="45">
        <v>23.84</v>
      </c>
      <c r="BL26" s="45" t="str">
        <f t="shared" si="1"/>
        <v>MISMATCH</v>
      </c>
      <c r="BM26" s="45"/>
      <c r="BN26" s="45"/>
    </row>
    <row r="27">
      <c r="A27" s="96" t="s">
        <v>269</v>
      </c>
      <c r="B27" s="97" t="s">
        <v>270</v>
      </c>
      <c r="C27" s="97" t="s">
        <v>270</v>
      </c>
      <c r="D27" s="97" t="s">
        <v>270</v>
      </c>
      <c r="E27" s="108" t="s">
        <v>270</v>
      </c>
      <c r="F27" s="97" t="s">
        <v>270</v>
      </c>
      <c r="G27" s="97" t="s">
        <v>270</v>
      </c>
      <c r="H27" s="97" t="s">
        <v>270</v>
      </c>
      <c r="I27" s="97" t="s">
        <v>270</v>
      </c>
      <c r="J27" s="97" t="s">
        <v>270</v>
      </c>
      <c r="K27" s="97" t="s">
        <v>270</v>
      </c>
      <c r="L27" s="97" t="s">
        <v>270</v>
      </c>
      <c r="M27" s="97" t="s">
        <v>271</v>
      </c>
      <c r="N27" s="97" t="s">
        <v>270</v>
      </c>
      <c r="O27" s="98" t="s">
        <v>270</v>
      </c>
      <c r="P27" s="98" t="s">
        <v>270</v>
      </c>
      <c r="Q27" s="98" t="s">
        <v>270</v>
      </c>
      <c r="R27" s="98" t="s">
        <v>270</v>
      </c>
      <c r="S27" s="98" t="s">
        <v>270</v>
      </c>
      <c r="T27" s="98" t="s">
        <v>270</v>
      </c>
      <c r="U27" s="98" t="s">
        <v>270</v>
      </c>
      <c r="V27" s="98" t="s">
        <v>271</v>
      </c>
      <c r="W27" s="98"/>
      <c r="X27" s="98"/>
      <c r="Y27" s="97" t="s">
        <v>270</v>
      </c>
      <c r="Z27" s="97" t="s">
        <v>270</v>
      </c>
      <c r="AA27" s="97" t="s">
        <v>270</v>
      </c>
      <c r="AB27" s="97" t="s">
        <v>270</v>
      </c>
      <c r="AC27" s="97" t="s">
        <v>270</v>
      </c>
      <c r="AD27" s="97" t="s">
        <v>270</v>
      </c>
      <c r="AE27" s="97" t="s">
        <v>270</v>
      </c>
      <c r="AF27" s="97" t="s">
        <v>270</v>
      </c>
      <c r="AG27" s="97" t="s">
        <v>270</v>
      </c>
      <c r="AH27" s="97" t="s">
        <v>270</v>
      </c>
      <c r="AI27" s="97" t="s">
        <v>270</v>
      </c>
      <c r="AJ27" s="97" t="s">
        <v>270</v>
      </c>
      <c r="AK27" s="97" t="s">
        <v>270</v>
      </c>
      <c r="AL27" s="97"/>
      <c r="AM27" s="97" t="s">
        <v>270</v>
      </c>
      <c r="AN27" s="97" t="s">
        <v>270</v>
      </c>
      <c r="AO27" s="97" t="s">
        <v>270</v>
      </c>
      <c r="AP27" s="97" t="s">
        <v>270</v>
      </c>
      <c r="AQ27" s="97" t="s">
        <v>270</v>
      </c>
      <c r="AR27" s="97" t="s">
        <v>272</v>
      </c>
      <c r="AS27" s="97" t="s">
        <v>270</v>
      </c>
      <c r="AT27" s="97" t="s">
        <v>270</v>
      </c>
      <c r="AU27" s="97" t="s">
        <v>270</v>
      </c>
      <c r="AV27" s="97" t="s">
        <v>270</v>
      </c>
      <c r="AW27" s="97" t="s">
        <v>270</v>
      </c>
      <c r="AX27" s="97" t="s">
        <v>270</v>
      </c>
      <c r="AY27" s="97" t="s">
        <v>270</v>
      </c>
      <c r="AZ27" s="97" t="s">
        <v>270</v>
      </c>
      <c r="BA27" s="97" t="s">
        <v>270</v>
      </c>
      <c r="BB27" s="97" t="s">
        <v>270</v>
      </c>
      <c r="BC27" s="97" t="s">
        <v>270</v>
      </c>
      <c r="BD27" s="97" t="s">
        <v>270</v>
      </c>
      <c r="BE27" s="97" t="s">
        <v>270</v>
      </c>
      <c r="BF27" s="97" t="s">
        <v>270</v>
      </c>
      <c r="BG27" s="97" t="s">
        <v>270</v>
      </c>
      <c r="BH27" s="97" t="s">
        <v>270</v>
      </c>
      <c r="BI27" s="97" t="s">
        <v>270</v>
      </c>
      <c r="BJ27" s="97" t="s">
        <v>270</v>
      </c>
      <c r="BK27" s="97" t="s">
        <v>270</v>
      </c>
      <c r="BL27" s="45" t="str">
        <f t="shared" si="1"/>
        <v>MATCH</v>
      </c>
      <c r="BM27" s="97"/>
      <c r="BN27" s="97" t="s">
        <v>270</v>
      </c>
    </row>
    <row r="28">
      <c r="A28" s="94" t="s">
        <v>273</v>
      </c>
      <c r="B28" s="42" t="b">
        <v>0</v>
      </c>
      <c r="C28" s="42" t="b">
        <v>1</v>
      </c>
      <c r="D28" s="42" t="b">
        <v>1</v>
      </c>
      <c r="E28" s="42" t="b">
        <v>1</v>
      </c>
      <c r="F28" s="43" t="b">
        <v>0</v>
      </c>
      <c r="G28" s="45" t="b">
        <v>1</v>
      </c>
      <c r="H28" s="43" t="b">
        <v>0</v>
      </c>
      <c r="I28" s="45" t="b">
        <v>1</v>
      </c>
      <c r="J28" s="43" t="b">
        <v>0</v>
      </c>
      <c r="K28" s="43" t="b">
        <v>0</v>
      </c>
      <c r="L28" s="45" t="b">
        <v>0</v>
      </c>
      <c r="M28" s="45" t="b">
        <v>0</v>
      </c>
      <c r="N28" s="45" t="b">
        <v>1</v>
      </c>
      <c r="O28" s="95" t="b">
        <v>0</v>
      </c>
      <c r="P28" s="95" t="b">
        <v>0</v>
      </c>
      <c r="Q28" s="95" t="b">
        <v>0</v>
      </c>
      <c r="R28" s="95" t="b">
        <v>0</v>
      </c>
      <c r="S28" s="95" t="b">
        <v>1</v>
      </c>
      <c r="T28" s="95" t="b">
        <v>0</v>
      </c>
      <c r="U28" s="95" t="b">
        <v>0</v>
      </c>
      <c r="V28" s="95" t="b">
        <v>0</v>
      </c>
      <c r="W28" s="95" t="b">
        <v>0</v>
      </c>
      <c r="X28" s="95" t="b">
        <v>1</v>
      </c>
      <c r="Y28" s="45" t="b">
        <v>0</v>
      </c>
      <c r="Z28" s="45" t="b">
        <v>0</v>
      </c>
      <c r="AA28" s="45" t="b">
        <v>1</v>
      </c>
      <c r="AB28" s="45" t="b">
        <v>1</v>
      </c>
      <c r="AC28" s="43" t="b">
        <v>0</v>
      </c>
      <c r="AD28" s="43" t="b">
        <v>0</v>
      </c>
      <c r="AE28" s="45" t="b">
        <v>1</v>
      </c>
      <c r="AF28" s="45" t="b">
        <v>0</v>
      </c>
      <c r="AG28" s="45" t="b">
        <v>1</v>
      </c>
      <c r="AH28" s="45" t="b">
        <v>1</v>
      </c>
      <c r="AI28" s="43" t="b">
        <v>0</v>
      </c>
      <c r="AJ28" s="43" t="b">
        <v>0</v>
      </c>
      <c r="AK28" s="45" t="b">
        <v>1</v>
      </c>
      <c r="AL28" s="45" t="b">
        <v>0</v>
      </c>
      <c r="AM28" s="45" t="b">
        <v>0</v>
      </c>
      <c r="AN28" s="45" t="b">
        <v>1</v>
      </c>
      <c r="AO28" s="45" t="b">
        <v>0</v>
      </c>
      <c r="AP28" s="45" t="b">
        <v>0</v>
      </c>
      <c r="AQ28" s="45" t="b">
        <v>0</v>
      </c>
      <c r="AR28" s="45" t="b">
        <v>0</v>
      </c>
      <c r="AS28" s="45" t="b">
        <v>0</v>
      </c>
      <c r="AT28" s="45" t="b">
        <v>1</v>
      </c>
      <c r="AU28" s="45" t="b">
        <v>1</v>
      </c>
      <c r="AV28" s="45" t="b">
        <v>1</v>
      </c>
      <c r="AW28" s="45" t="b">
        <v>0</v>
      </c>
      <c r="AX28" s="45" t="b">
        <v>0</v>
      </c>
      <c r="AY28" s="45" t="b">
        <v>0</v>
      </c>
      <c r="AZ28" s="45" t="b">
        <v>0</v>
      </c>
      <c r="BA28" s="45" t="b">
        <v>0</v>
      </c>
      <c r="BB28" s="45" t="b">
        <v>0</v>
      </c>
      <c r="BC28" s="45" t="b">
        <v>0</v>
      </c>
      <c r="BD28" s="45" t="b">
        <v>1</v>
      </c>
      <c r="BE28" s="45" t="b">
        <v>0</v>
      </c>
      <c r="BF28" s="45" t="b">
        <v>0</v>
      </c>
      <c r="BG28" s="45" t="b">
        <v>0</v>
      </c>
      <c r="BH28" s="45" t="b">
        <v>0</v>
      </c>
      <c r="BI28" s="45" t="b">
        <v>0</v>
      </c>
      <c r="BJ28" s="45" t="b">
        <v>0</v>
      </c>
      <c r="BK28" s="45" t="b">
        <v>0</v>
      </c>
      <c r="BL28" s="45" t="str">
        <f t="shared" si="1"/>
        <v>MATCH</v>
      </c>
      <c r="BM28" s="45" t="b">
        <v>0</v>
      </c>
      <c r="BN28" s="45" t="b">
        <v>0</v>
      </c>
    </row>
    <row r="29">
      <c r="A29" s="96" t="s">
        <v>274</v>
      </c>
      <c r="B29" s="100" t="b">
        <v>1</v>
      </c>
      <c r="C29" s="100" t="b">
        <v>1</v>
      </c>
      <c r="D29" s="100" t="b">
        <v>1</v>
      </c>
      <c r="E29" s="100" t="b">
        <v>1</v>
      </c>
      <c r="F29" s="97" t="b">
        <v>1</v>
      </c>
      <c r="G29" s="97" t="b">
        <v>1</v>
      </c>
      <c r="H29" s="97" t="b">
        <v>1</v>
      </c>
      <c r="I29" s="97" t="b">
        <v>1</v>
      </c>
      <c r="J29" s="97" t="b">
        <v>1</v>
      </c>
      <c r="K29" s="97" t="b">
        <v>1</v>
      </c>
      <c r="L29" s="97" t="b">
        <v>1</v>
      </c>
      <c r="M29" s="97" t="b">
        <v>1</v>
      </c>
      <c r="N29" s="97" t="b">
        <v>1</v>
      </c>
      <c r="O29" s="98" t="b">
        <v>1</v>
      </c>
      <c r="P29" s="98" t="b">
        <v>1</v>
      </c>
      <c r="Q29" s="98" t="b">
        <v>1</v>
      </c>
      <c r="R29" s="98" t="b">
        <v>1</v>
      </c>
      <c r="S29" s="98" t="b">
        <v>1</v>
      </c>
      <c r="T29" s="98" t="b">
        <v>1</v>
      </c>
      <c r="U29" s="98" t="b">
        <v>1</v>
      </c>
      <c r="V29" s="98" t="b">
        <v>1</v>
      </c>
      <c r="W29" s="98" t="b">
        <v>1</v>
      </c>
      <c r="X29" s="98" t="b">
        <v>1</v>
      </c>
      <c r="Y29" s="97" t="b">
        <v>1</v>
      </c>
      <c r="Z29" s="97" t="b">
        <v>1</v>
      </c>
      <c r="AA29" s="97" t="b">
        <v>1</v>
      </c>
      <c r="AB29" s="97" t="b">
        <v>1</v>
      </c>
      <c r="AC29" s="97" t="b">
        <v>1</v>
      </c>
      <c r="AD29" s="97" t="b">
        <v>1</v>
      </c>
      <c r="AE29" s="97" t="b">
        <v>1</v>
      </c>
      <c r="AF29" s="97" t="b">
        <v>1</v>
      </c>
      <c r="AG29" s="97" t="b">
        <v>1</v>
      </c>
      <c r="AH29" s="97" t="b">
        <v>1</v>
      </c>
      <c r="AI29" s="97" t="b">
        <v>1</v>
      </c>
      <c r="AJ29" s="97" t="b">
        <v>1</v>
      </c>
      <c r="AK29" s="97" t="b">
        <v>1</v>
      </c>
      <c r="AL29" s="97" t="b">
        <v>1</v>
      </c>
      <c r="AM29" s="97" t="b">
        <v>1</v>
      </c>
      <c r="AN29" s="97" t="b">
        <v>1</v>
      </c>
      <c r="AO29" s="97" t="b">
        <v>1</v>
      </c>
      <c r="AP29" s="97" t="b">
        <v>1</v>
      </c>
      <c r="AQ29" s="97" t="b">
        <v>1</v>
      </c>
      <c r="AR29" s="97" t="b">
        <v>1</v>
      </c>
      <c r="AS29" s="97" t="b">
        <v>1</v>
      </c>
      <c r="AT29" s="97" t="b">
        <v>1</v>
      </c>
      <c r="AU29" s="97" t="b">
        <v>1</v>
      </c>
      <c r="AV29" s="97" t="b">
        <v>1</v>
      </c>
      <c r="AW29" s="97" t="b">
        <v>1</v>
      </c>
      <c r="AX29" s="97" t="b">
        <v>1</v>
      </c>
      <c r="AY29" s="97" t="b">
        <v>1</v>
      </c>
      <c r="AZ29" s="97" t="b">
        <v>1</v>
      </c>
      <c r="BA29" s="97" t="b">
        <v>1</v>
      </c>
      <c r="BB29" s="97" t="b">
        <v>1</v>
      </c>
      <c r="BC29" s="97" t="b">
        <v>1</v>
      </c>
      <c r="BD29" s="97" t="b">
        <v>1</v>
      </c>
      <c r="BE29" s="97" t="b">
        <v>1</v>
      </c>
      <c r="BF29" s="97" t="b">
        <v>1</v>
      </c>
      <c r="BG29" s="97" t="b">
        <v>1</v>
      </c>
      <c r="BH29" s="97" t="b">
        <v>1</v>
      </c>
      <c r="BI29" s="97" t="b">
        <v>1</v>
      </c>
      <c r="BJ29" s="97" t="b">
        <v>1</v>
      </c>
      <c r="BK29" s="97" t="b">
        <v>1</v>
      </c>
      <c r="BL29" s="45" t="str">
        <f t="shared" si="1"/>
        <v>MATCH</v>
      </c>
      <c r="BM29" s="97" t="b">
        <v>0</v>
      </c>
      <c r="BN29" s="97" t="b">
        <v>0</v>
      </c>
    </row>
    <row r="30">
      <c r="A30" s="94" t="s">
        <v>275</v>
      </c>
      <c r="B30" s="42" t="b">
        <v>1</v>
      </c>
      <c r="C30" s="42" t="b">
        <v>1</v>
      </c>
      <c r="D30" s="42" t="b">
        <v>1</v>
      </c>
      <c r="E30" s="42" t="b">
        <v>1</v>
      </c>
      <c r="F30" s="45" t="b">
        <v>1</v>
      </c>
      <c r="G30" s="45" t="b">
        <v>1</v>
      </c>
      <c r="H30" s="45" t="b">
        <v>1</v>
      </c>
      <c r="I30" s="45" t="b">
        <v>1</v>
      </c>
      <c r="J30" s="45" t="b">
        <v>1</v>
      </c>
      <c r="K30" s="45" t="b">
        <v>1</v>
      </c>
      <c r="L30" s="45" t="b">
        <v>1</v>
      </c>
      <c r="M30" s="45" t="b">
        <v>1</v>
      </c>
      <c r="N30" s="45" t="b">
        <v>1</v>
      </c>
      <c r="O30" s="95" t="b">
        <v>1</v>
      </c>
      <c r="P30" s="95" t="b">
        <v>1</v>
      </c>
      <c r="Q30" s="95" t="b">
        <v>1</v>
      </c>
      <c r="R30" s="95" t="b">
        <v>1</v>
      </c>
      <c r="S30" s="95" t="b">
        <v>1</v>
      </c>
      <c r="T30" s="95" t="b">
        <v>1</v>
      </c>
      <c r="U30" s="95" t="b">
        <v>1</v>
      </c>
      <c r="V30" s="95" t="b">
        <v>1</v>
      </c>
      <c r="W30" s="95" t="b">
        <v>1</v>
      </c>
      <c r="X30" s="95" t="b">
        <v>1</v>
      </c>
      <c r="Y30" s="45" t="b">
        <v>1</v>
      </c>
      <c r="Z30" s="45" t="b">
        <v>1</v>
      </c>
      <c r="AA30" s="45" t="b">
        <v>1</v>
      </c>
      <c r="AB30" s="45" t="b">
        <v>1</v>
      </c>
      <c r="AC30" s="45" t="b">
        <v>1</v>
      </c>
      <c r="AD30" s="45" t="b">
        <v>1</v>
      </c>
      <c r="AE30" s="45" t="b">
        <v>1</v>
      </c>
      <c r="AF30" s="45" t="b">
        <v>1</v>
      </c>
      <c r="AG30" s="45" t="b">
        <v>1</v>
      </c>
      <c r="AH30" s="45" t="b">
        <v>1</v>
      </c>
      <c r="AI30" s="45" t="b">
        <v>1</v>
      </c>
      <c r="AJ30" s="45" t="b">
        <v>1</v>
      </c>
      <c r="AK30" s="45" t="b">
        <v>1</v>
      </c>
      <c r="AL30" s="45" t="b">
        <v>1</v>
      </c>
      <c r="AM30" s="45" t="b">
        <v>1</v>
      </c>
      <c r="AN30" s="45" t="b">
        <v>1</v>
      </c>
      <c r="AO30" s="45" t="b">
        <v>1</v>
      </c>
      <c r="AP30" s="45" t="b">
        <v>1</v>
      </c>
      <c r="AQ30" s="45" t="b">
        <v>1</v>
      </c>
      <c r="AR30" s="45" t="b">
        <v>1</v>
      </c>
      <c r="AS30" s="45" t="b">
        <v>1</v>
      </c>
      <c r="AT30" s="45" t="b">
        <v>1</v>
      </c>
      <c r="AU30" s="45" t="b">
        <v>1</v>
      </c>
      <c r="AV30" s="45" t="b">
        <v>1</v>
      </c>
      <c r="AW30" s="45" t="b">
        <v>1</v>
      </c>
      <c r="AX30" s="45" t="b">
        <v>1</v>
      </c>
      <c r="AY30" s="45" t="b">
        <v>1</v>
      </c>
      <c r="AZ30" s="45" t="b">
        <v>1</v>
      </c>
      <c r="BA30" s="45" t="b">
        <v>1</v>
      </c>
      <c r="BB30" s="45" t="b">
        <v>1</v>
      </c>
      <c r="BC30" s="45" t="b">
        <v>1</v>
      </c>
      <c r="BD30" s="45" t="b">
        <v>1</v>
      </c>
      <c r="BE30" s="45" t="b">
        <v>1</v>
      </c>
      <c r="BF30" s="45" t="b">
        <v>1</v>
      </c>
      <c r="BG30" s="45" t="b">
        <v>1</v>
      </c>
      <c r="BH30" s="45" t="b">
        <v>1</v>
      </c>
      <c r="BI30" s="45" t="b">
        <v>1</v>
      </c>
      <c r="BJ30" s="45" t="b">
        <v>1</v>
      </c>
      <c r="BK30" s="45" t="b">
        <v>1</v>
      </c>
      <c r="BL30" s="45" t="str">
        <f t="shared" si="1"/>
        <v>MATCH</v>
      </c>
      <c r="BM30" s="45" t="b">
        <v>0</v>
      </c>
      <c r="BN30" s="45" t="b">
        <v>0</v>
      </c>
    </row>
    <row r="31">
      <c r="A31" s="96" t="s">
        <v>276</v>
      </c>
      <c r="B31" s="100" t="b">
        <v>0</v>
      </c>
      <c r="C31" s="100" t="b">
        <v>0</v>
      </c>
      <c r="D31" s="100" t="b">
        <v>1</v>
      </c>
      <c r="E31" s="100" t="b">
        <v>1</v>
      </c>
      <c r="F31" s="97" t="b">
        <v>1</v>
      </c>
      <c r="G31" s="97" t="b">
        <v>1</v>
      </c>
      <c r="H31" s="97" t="b">
        <v>1</v>
      </c>
      <c r="I31" s="97" t="b">
        <v>1</v>
      </c>
      <c r="J31" s="97" t="b">
        <v>1</v>
      </c>
      <c r="K31" s="97" t="b">
        <v>1</v>
      </c>
      <c r="L31" s="97" t="b">
        <v>1</v>
      </c>
      <c r="M31" s="97" t="b">
        <v>1</v>
      </c>
      <c r="N31" s="97" t="b">
        <v>1</v>
      </c>
      <c r="O31" s="98" t="b">
        <v>1</v>
      </c>
      <c r="P31" s="98" t="b">
        <v>0</v>
      </c>
      <c r="Q31" s="98" t="b">
        <v>1</v>
      </c>
      <c r="R31" s="98" t="b">
        <v>1</v>
      </c>
      <c r="S31" s="98" t="b">
        <v>1</v>
      </c>
      <c r="T31" s="98" t="b">
        <v>0</v>
      </c>
      <c r="U31" s="98" t="b">
        <v>0</v>
      </c>
      <c r="V31" s="98" t="b">
        <v>0</v>
      </c>
      <c r="W31" s="98" t="b">
        <v>0</v>
      </c>
      <c r="X31" s="98" t="b">
        <v>1</v>
      </c>
      <c r="Y31" s="97" t="b">
        <v>0</v>
      </c>
      <c r="Z31" s="97" t="b">
        <v>1</v>
      </c>
      <c r="AA31" s="97" t="b">
        <v>1</v>
      </c>
      <c r="AB31" s="97" t="b">
        <v>1</v>
      </c>
      <c r="AC31" s="97" t="b">
        <v>1</v>
      </c>
      <c r="AD31" s="97" t="b">
        <v>1</v>
      </c>
      <c r="AE31" s="97" t="b">
        <v>1</v>
      </c>
      <c r="AF31" s="99" t="b">
        <v>0</v>
      </c>
      <c r="AG31" s="97" t="b">
        <v>1</v>
      </c>
      <c r="AH31" s="97" t="b">
        <v>1</v>
      </c>
      <c r="AI31" s="97" t="b">
        <v>1</v>
      </c>
      <c r="AJ31" s="97" t="b">
        <v>1</v>
      </c>
      <c r="AK31" s="97" t="b">
        <v>1</v>
      </c>
      <c r="AL31" s="97" t="b">
        <v>1</v>
      </c>
      <c r="AM31" s="97" t="b">
        <v>1</v>
      </c>
      <c r="AN31" s="97" t="b">
        <v>1</v>
      </c>
      <c r="AO31" s="97" t="b">
        <v>0</v>
      </c>
      <c r="AP31" s="97" t="b">
        <v>1</v>
      </c>
      <c r="AQ31" s="97" t="b">
        <v>1</v>
      </c>
      <c r="AR31" s="97" t="b">
        <v>1</v>
      </c>
      <c r="AS31" s="97" t="b">
        <v>1</v>
      </c>
      <c r="AT31" s="97" t="b">
        <v>1</v>
      </c>
      <c r="AU31" s="97" t="b">
        <v>1</v>
      </c>
      <c r="AV31" s="97" t="b">
        <v>1</v>
      </c>
      <c r="AW31" s="97" t="b">
        <v>1</v>
      </c>
      <c r="AX31" s="97" t="b">
        <v>1</v>
      </c>
      <c r="AY31" s="97" t="b">
        <v>1</v>
      </c>
      <c r="AZ31" s="97" t="b">
        <v>1</v>
      </c>
      <c r="BA31" s="97" t="b">
        <v>1</v>
      </c>
      <c r="BB31" s="97" t="b">
        <v>1</v>
      </c>
      <c r="BC31" s="97" t="b">
        <v>1</v>
      </c>
      <c r="BD31" s="97" t="b">
        <v>1</v>
      </c>
      <c r="BE31" s="97" t="b">
        <v>0</v>
      </c>
      <c r="BF31" s="97" t="b">
        <v>1</v>
      </c>
      <c r="BG31" s="97" t="b">
        <v>1</v>
      </c>
      <c r="BH31" s="97" t="b">
        <v>1</v>
      </c>
      <c r="BI31" s="97" t="b">
        <v>1</v>
      </c>
      <c r="BJ31" s="97" t="b">
        <v>1</v>
      </c>
      <c r="BK31" s="97" t="b">
        <v>1</v>
      </c>
      <c r="BL31" s="45" t="str">
        <f t="shared" si="1"/>
        <v>MATCH</v>
      </c>
      <c r="BM31" s="97" t="b">
        <v>0</v>
      </c>
      <c r="BN31" s="97" t="b">
        <v>0</v>
      </c>
    </row>
    <row r="32">
      <c r="A32" s="94" t="s">
        <v>277</v>
      </c>
      <c r="B32" s="42" t="b">
        <v>0</v>
      </c>
      <c r="C32" s="103" t="b">
        <v>0</v>
      </c>
      <c r="D32" s="103" t="b">
        <v>0</v>
      </c>
      <c r="E32" s="42" t="b">
        <v>1</v>
      </c>
      <c r="F32" s="43" t="b">
        <v>0</v>
      </c>
      <c r="G32" s="43" t="b">
        <v>0</v>
      </c>
      <c r="H32" s="43" t="b">
        <v>0</v>
      </c>
      <c r="I32" s="43" t="b">
        <v>0</v>
      </c>
      <c r="J32" s="43" t="b">
        <v>0</v>
      </c>
      <c r="K32" s="43" t="b">
        <v>0</v>
      </c>
      <c r="L32" s="45" t="b">
        <v>0</v>
      </c>
      <c r="M32" s="45" t="b">
        <v>0</v>
      </c>
      <c r="N32" s="45" t="b">
        <v>0</v>
      </c>
      <c r="O32" s="95" t="b">
        <v>0</v>
      </c>
      <c r="P32" s="95" t="b">
        <v>0</v>
      </c>
      <c r="Q32" s="95" t="b">
        <v>0</v>
      </c>
      <c r="R32" s="95" t="b">
        <v>0</v>
      </c>
      <c r="S32" s="95" t="b">
        <v>0</v>
      </c>
      <c r="T32" s="95" t="b">
        <v>0</v>
      </c>
      <c r="U32" s="95" t="b">
        <v>0</v>
      </c>
      <c r="V32" s="95" t="b">
        <v>0</v>
      </c>
      <c r="W32" s="95" t="b">
        <v>0</v>
      </c>
      <c r="X32" s="95" t="b">
        <v>0</v>
      </c>
      <c r="Y32" s="45" t="b">
        <v>1</v>
      </c>
      <c r="Z32" s="45" t="b">
        <v>1</v>
      </c>
      <c r="AA32" s="45" t="b">
        <v>1</v>
      </c>
      <c r="AB32" s="45" t="b">
        <v>1</v>
      </c>
      <c r="AC32" s="43" t="b">
        <v>0</v>
      </c>
      <c r="AD32" s="45" t="b">
        <v>0</v>
      </c>
      <c r="AE32" s="45" t="b">
        <v>1</v>
      </c>
      <c r="AF32" s="43" t="b">
        <v>0</v>
      </c>
      <c r="AG32" s="43" t="b">
        <v>0</v>
      </c>
      <c r="AH32" s="45" t="b">
        <v>1</v>
      </c>
      <c r="AI32" s="43" t="b">
        <v>0</v>
      </c>
      <c r="AJ32" s="45" t="b">
        <v>1</v>
      </c>
      <c r="AK32" s="45" t="b">
        <v>1</v>
      </c>
      <c r="AL32" s="45" t="b">
        <v>0</v>
      </c>
      <c r="AM32" s="45" t="b">
        <v>0</v>
      </c>
      <c r="AN32" s="45" t="b">
        <v>1</v>
      </c>
      <c r="AO32" s="45" t="b">
        <v>0</v>
      </c>
      <c r="AP32" s="45" t="b">
        <v>0</v>
      </c>
      <c r="AQ32" s="45" t="b">
        <v>0</v>
      </c>
      <c r="AR32" s="45" t="b">
        <v>0</v>
      </c>
      <c r="AS32" s="45" t="b">
        <v>1</v>
      </c>
      <c r="AT32" s="45" t="b">
        <v>1</v>
      </c>
      <c r="AU32" s="45" t="b">
        <v>1</v>
      </c>
      <c r="AV32" s="45" t="b">
        <v>1</v>
      </c>
      <c r="AW32" s="45" t="b">
        <v>1</v>
      </c>
      <c r="AX32" s="45" t="b">
        <v>0</v>
      </c>
      <c r="AY32" s="45" t="b">
        <v>1</v>
      </c>
      <c r="AZ32" s="45" t="b">
        <v>0</v>
      </c>
      <c r="BA32" s="45" t="b">
        <v>1</v>
      </c>
      <c r="BB32" s="45" t="b">
        <v>1</v>
      </c>
      <c r="BC32" s="45" t="b">
        <v>1</v>
      </c>
      <c r="BD32" s="45" t="b">
        <v>0</v>
      </c>
      <c r="BE32" s="45" t="b">
        <v>0</v>
      </c>
      <c r="BF32" s="45" t="b">
        <v>0</v>
      </c>
      <c r="BG32" s="45" t="b">
        <v>0</v>
      </c>
      <c r="BH32" s="45" t="b">
        <v>0</v>
      </c>
      <c r="BI32" s="45" t="b">
        <v>0</v>
      </c>
      <c r="BJ32" s="45" t="b">
        <v>0</v>
      </c>
      <c r="BK32" s="45" t="b">
        <v>1</v>
      </c>
      <c r="BL32" s="45" t="str">
        <f t="shared" si="1"/>
        <v>MATCH</v>
      </c>
      <c r="BM32" s="45" t="b">
        <v>0</v>
      </c>
      <c r="BN32" s="45" t="b">
        <v>0</v>
      </c>
    </row>
    <row r="33">
      <c r="A33" s="113" t="s">
        <v>278</v>
      </c>
      <c r="B33" s="100" t="b">
        <v>0</v>
      </c>
      <c r="C33" s="100" t="b">
        <v>0</v>
      </c>
      <c r="D33" s="100" t="b">
        <v>0</v>
      </c>
      <c r="E33" s="100" t="b">
        <v>0</v>
      </c>
      <c r="F33" s="100" t="b">
        <v>0</v>
      </c>
      <c r="G33" s="100" t="b">
        <v>0</v>
      </c>
      <c r="H33" s="100" t="b">
        <v>0</v>
      </c>
      <c r="I33" s="100" t="b">
        <v>0</v>
      </c>
      <c r="J33" s="100" t="b">
        <v>0</v>
      </c>
      <c r="K33" s="100" t="b">
        <v>0</v>
      </c>
      <c r="L33" s="97" t="b">
        <v>0</v>
      </c>
      <c r="M33" s="97" t="b">
        <v>0</v>
      </c>
      <c r="N33" s="97" t="b">
        <v>0</v>
      </c>
      <c r="O33" s="109" t="b">
        <v>0</v>
      </c>
      <c r="P33" s="98" t="b">
        <v>1</v>
      </c>
      <c r="Q33" s="98" t="b">
        <v>1</v>
      </c>
      <c r="R33" s="98" t="b">
        <v>1</v>
      </c>
      <c r="S33" s="98" t="b">
        <v>1</v>
      </c>
      <c r="T33" s="98" t="b">
        <v>0</v>
      </c>
      <c r="U33" s="98" t="b">
        <v>0</v>
      </c>
      <c r="V33" s="98" t="b">
        <v>0</v>
      </c>
      <c r="W33" s="98" t="b">
        <v>0</v>
      </c>
      <c r="X33" s="98" t="b">
        <v>0</v>
      </c>
      <c r="Y33" s="97" t="b">
        <v>0</v>
      </c>
      <c r="Z33" s="97" t="b">
        <v>0</v>
      </c>
      <c r="AA33" s="97" t="b">
        <v>1</v>
      </c>
      <c r="AB33" s="97" t="b">
        <v>1</v>
      </c>
      <c r="AC33" s="99" t="b">
        <v>0</v>
      </c>
      <c r="AD33" s="99" t="b">
        <v>0</v>
      </c>
      <c r="AE33" s="99" t="b">
        <v>0</v>
      </c>
      <c r="AF33" s="99" t="b">
        <v>0</v>
      </c>
      <c r="AG33" s="97" t="b">
        <v>1</v>
      </c>
      <c r="AH33" s="97" t="b">
        <v>1</v>
      </c>
      <c r="AI33" s="97" t="b">
        <v>0</v>
      </c>
      <c r="AJ33" s="97" t="b">
        <v>0</v>
      </c>
      <c r="AK33" s="97" t="b">
        <v>0</v>
      </c>
      <c r="AL33" s="97" t="b">
        <v>0</v>
      </c>
      <c r="AM33" s="97" t="b">
        <v>0</v>
      </c>
      <c r="AN33" s="97" t="b">
        <v>1</v>
      </c>
      <c r="AO33" s="97" t="b">
        <v>0</v>
      </c>
      <c r="AP33" s="97" t="b">
        <v>0</v>
      </c>
      <c r="AQ33" s="97" t="b">
        <v>0</v>
      </c>
      <c r="AR33" s="97" t="b">
        <v>0</v>
      </c>
      <c r="AS33" s="97" t="b">
        <v>0</v>
      </c>
      <c r="AT33" s="97" t="b">
        <v>0</v>
      </c>
      <c r="AU33" s="97" t="b">
        <v>0</v>
      </c>
      <c r="AV33" s="97" t="b">
        <v>0</v>
      </c>
      <c r="AW33" s="97" t="b">
        <v>0</v>
      </c>
      <c r="AX33" s="97" t="b">
        <v>0</v>
      </c>
      <c r="AY33" s="97" t="b">
        <v>0</v>
      </c>
      <c r="AZ33" s="97" t="b">
        <v>0</v>
      </c>
      <c r="BA33" s="97" t="b">
        <v>0</v>
      </c>
      <c r="BB33" s="97" t="b">
        <v>0</v>
      </c>
      <c r="BC33" s="97" t="b">
        <v>0</v>
      </c>
      <c r="BD33" s="97" t="b">
        <v>0</v>
      </c>
      <c r="BE33" s="97" t="b">
        <v>0</v>
      </c>
      <c r="BF33" s="97" t="b">
        <v>0</v>
      </c>
      <c r="BG33" s="97" t="b">
        <v>0</v>
      </c>
      <c r="BH33" s="97" t="b">
        <v>0</v>
      </c>
      <c r="BI33" s="97" t="b">
        <v>0</v>
      </c>
      <c r="BJ33" s="97" t="b">
        <v>0</v>
      </c>
      <c r="BK33" s="97" t="b">
        <v>0</v>
      </c>
      <c r="BL33" s="45" t="str">
        <f t="shared" si="1"/>
        <v>MATCH</v>
      </c>
      <c r="BM33" s="97" t="b">
        <v>0</v>
      </c>
      <c r="BN33" s="97" t="b">
        <v>0</v>
      </c>
    </row>
    <row r="34">
      <c r="A34" s="106" t="s">
        <v>279</v>
      </c>
      <c r="B34" s="42" t="b">
        <v>0</v>
      </c>
      <c r="C34" s="42" t="b">
        <v>0</v>
      </c>
      <c r="D34" s="42" t="b">
        <v>0</v>
      </c>
      <c r="E34" s="42" t="b">
        <v>0</v>
      </c>
      <c r="F34" s="42" t="b">
        <v>0</v>
      </c>
      <c r="G34" s="42" t="b">
        <v>0</v>
      </c>
      <c r="H34" s="42" t="b">
        <v>0</v>
      </c>
      <c r="I34" s="42" t="b">
        <v>0</v>
      </c>
      <c r="J34" s="42" t="b">
        <v>0</v>
      </c>
      <c r="K34" s="42" t="b">
        <v>0</v>
      </c>
      <c r="L34" s="45" t="b">
        <v>0</v>
      </c>
      <c r="M34" s="45" t="b">
        <v>1</v>
      </c>
      <c r="N34" s="45" t="b">
        <v>1</v>
      </c>
      <c r="O34" s="95" t="b">
        <v>0</v>
      </c>
      <c r="P34" s="95" t="b">
        <v>1</v>
      </c>
      <c r="Q34" s="95" t="b">
        <v>1</v>
      </c>
      <c r="R34" s="95" t="b">
        <v>1</v>
      </c>
      <c r="S34" s="95" t="b">
        <v>1</v>
      </c>
      <c r="T34" s="95" t="b">
        <v>0</v>
      </c>
      <c r="U34" s="95" t="b">
        <v>0</v>
      </c>
      <c r="V34" s="95" t="b">
        <v>0</v>
      </c>
      <c r="W34" s="95" t="b">
        <v>0</v>
      </c>
      <c r="X34" s="95" t="b">
        <v>0</v>
      </c>
      <c r="Y34" s="45" t="b">
        <v>0</v>
      </c>
      <c r="Z34" s="45" t="b">
        <v>0</v>
      </c>
      <c r="AA34" s="45" t="b">
        <v>1</v>
      </c>
      <c r="AB34" s="45" t="b">
        <v>1</v>
      </c>
      <c r="AC34" s="43" t="b">
        <v>0</v>
      </c>
      <c r="AD34" s="43" t="b">
        <v>0</v>
      </c>
      <c r="AE34" s="43" t="b">
        <v>0</v>
      </c>
      <c r="AF34" s="43" t="b">
        <v>0</v>
      </c>
      <c r="AG34" s="45" t="b">
        <v>1</v>
      </c>
      <c r="AH34" s="45" t="b">
        <v>1</v>
      </c>
      <c r="AI34" s="45" t="b">
        <v>1</v>
      </c>
      <c r="AJ34" s="45" t="b">
        <v>1</v>
      </c>
      <c r="AK34" s="45" t="b">
        <v>1</v>
      </c>
      <c r="AL34" s="45" t="b">
        <v>1</v>
      </c>
      <c r="AM34" s="45" t="b">
        <v>0</v>
      </c>
      <c r="AN34" s="45" t="b">
        <v>0</v>
      </c>
      <c r="AO34" s="45" t="b">
        <v>1</v>
      </c>
      <c r="AP34" s="45" t="b">
        <v>1</v>
      </c>
      <c r="AQ34" s="45" t="b">
        <v>1</v>
      </c>
      <c r="AR34" s="45" t="b">
        <v>1</v>
      </c>
      <c r="AS34" s="45" t="b">
        <v>0</v>
      </c>
      <c r="AT34" s="45" t="b">
        <v>0</v>
      </c>
      <c r="AU34" s="45" t="b">
        <v>0</v>
      </c>
      <c r="AV34" s="45" t="b">
        <v>1</v>
      </c>
      <c r="AW34" s="45" t="b">
        <v>1</v>
      </c>
      <c r="AX34" s="45" t="b">
        <v>0</v>
      </c>
      <c r="AY34" s="45" t="b">
        <v>1</v>
      </c>
      <c r="AZ34" s="45" t="b">
        <v>0</v>
      </c>
      <c r="BA34" s="45" t="b">
        <v>1</v>
      </c>
      <c r="BB34" s="45" t="b">
        <v>0</v>
      </c>
      <c r="BC34" s="45" t="b">
        <v>0</v>
      </c>
      <c r="BD34" s="45" t="b">
        <v>0</v>
      </c>
      <c r="BE34" s="45" t="b">
        <v>0</v>
      </c>
      <c r="BF34" s="45" t="b">
        <v>1</v>
      </c>
      <c r="BG34" s="45" t="b">
        <v>1</v>
      </c>
      <c r="BH34" s="45" t="b">
        <v>1</v>
      </c>
      <c r="BI34" s="45" t="b">
        <v>1</v>
      </c>
      <c r="BJ34" s="45" t="b">
        <v>1</v>
      </c>
      <c r="BK34" s="45" t="b">
        <v>0</v>
      </c>
      <c r="BL34" s="45" t="str">
        <f t="shared" si="1"/>
        <v>MISMATCH</v>
      </c>
      <c r="BM34" s="45" t="b">
        <v>0</v>
      </c>
      <c r="BN34" s="45" t="b">
        <v>0</v>
      </c>
    </row>
    <row r="35">
      <c r="A35" s="96" t="s">
        <v>280</v>
      </c>
      <c r="B35" s="100" t="b">
        <v>0</v>
      </c>
      <c r="C35" s="100" t="b">
        <v>1</v>
      </c>
      <c r="D35" s="100" t="b">
        <v>1</v>
      </c>
      <c r="E35" s="100" t="b">
        <v>1</v>
      </c>
      <c r="F35" s="99" t="b">
        <v>0</v>
      </c>
      <c r="G35" s="99" t="b">
        <v>0</v>
      </c>
      <c r="H35" s="99" t="b">
        <v>0</v>
      </c>
      <c r="I35" s="99" t="b">
        <v>0</v>
      </c>
      <c r="J35" s="99" t="b">
        <v>0</v>
      </c>
      <c r="K35" s="97" t="b">
        <v>1</v>
      </c>
      <c r="L35" s="97" t="b">
        <v>1</v>
      </c>
      <c r="M35" s="97" t="b">
        <v>0</v>
      </c>
      <c r="N35" s="97" t="b">
        <v>1</v>
      </c>
      <c r="O35" s="109" t="b">
        <v>0</v>
      </c>
      <c r="P35" s="109" t="b">
        <v>0</v>
      </c>
      <c r="Q35" s="109" t="b">
        <v>0</v>
      </c>
      <c r="R35" s="98" t="b">
        <v>0</v>
      </c>
      <c r="S35" s="98" t="b">
        <v>1</v>
      </c>
      <c r="T35" s="98" t="b">
        <v>1</v>
      </c>
      <c r="U35" s="98" t="b">
        <v>1</v>
      </c>
      <c r="V35" s="98" t="b">
        <v>1</v>
      </c>
      <c r="W35" s="98" t="b">
        <v>0</v>
      </c>
      <c r="X35" s="98" t="b">
        <v>0</v>
      </c>
      <c r="Y35" s="97" t="b">
        <v>0</v>
      </c>
      <c r="Z35" s="97" t="b">
        <v>0</v>
      </c>
      <c r="AA35" s="97" t="b">
        <v>1</v>
      </c>
      <c r="AB35" s="97" t="b">
        <v>1</v>
      </c>
      <c r="AC35" s="99" t="b">
        <v>0</v>
      </c>
      <c r="AD35" s="99" t="b">
        <v>0</v>
      </c>
      <c r="AE35" s="99" t="b">
        <v>0</v>
      </c>
      <c r="AF35" s="99" t="b">
        <v>0</v>
      </c>
      <c r="AG35" s="99" t="b">
        <v>0</v>
      </c>
      <c r="AH35" s="97" t="b">
        <v>1</v>
      </c>
      <c r="AI35" s="97" t="b">
        <v>0</v>
      </c>
      <c r="AJ35" s="97" t="b">
        <v>1</v>
      </c>
      <c r="AK35" s="97" t="b">
        <v>1</v>
      </c>
      <c r="AL35" s="97" t="b">
        <v>0</v>
      </c>
      <c r="AM35" s="97" t="b">
        <v>0</v>
      </c>
      <c r="AN35" s="97" t="b">
        <v>1</v>
      </c>
      <c r="AO35" s="97" t="b">
        <v>0</v>
      </c>
      <c r="AP35" s="97" t="b">
        <v>0</v>
      </c>
      <c r="AQ35" s="97" t="b">
        <v>1</v>
      </c>
      <c r="AR35" s="97" t="b">
        <v>1</v>
      </c>
      <c r="AS35" s="97" t="b">
        <v>0</v>
      </c>
      <c r="AT35" s="97" t="b">
        <v>0</v>
      </c>
      <c r="AU35" s="97" t="b">
        <v>1</v>
      </c>
      <c r="AV35" s="97" t="b">
        <v>1</v>
      </c>
      <c r="AW35" s="97" t="b">
        <v>1</v>
      </c>
      <c r="AX35" s="97" t="b">
        <v>1</v>
      </c>
      <c r="AY35" s="97" t="b">
        <v>1</v>
      </c>
      <c r="AZ35" s="97" t="b">
        <v>1</v>
      </c>
      <c r="BA35" s="97">
        <v>360.0</v>
      </c>
      <c r="BB35" s="97" t="b">
        <v>0</v>
      </c>
      <c r="BC35" s="97" t="b">
        <v>0</v>
      </c>
      <c r="BD35" s="97" t="b">
        <v>1</v>
      </c>
      <c r="BE35" s="97" t="b">
        <v>0</v>
      </c>
      <c r="BF35" s="97" t="b">
        <v>0</v>
      </c>
      <c r="BG35" s="97" t="b">
        <v>1</v>
      </c>
      <c r="BH35" s="97" t="b">
        <v>0</v>
      </c>
      <c r="BI35" s="97" t="b">
        <v>1</v>
      </c>
      <c r="BJ35" s="97" t="b">
        <v>1</v>
      </c>
      <c r="BK35" s="97" t="b">
        <v>1</v>
      </c>
      <c r="BL35" s="45" t="str">
        <f t="shared" si="1"/>
        <v>MATCH</v>
      </c>
      <c r="BM35" s="97" t="b">
        <v>0</v>
      </c>
      <c r="BN35" s="97" t="b">
        <v>0</v>
      </c>
    </row>
    <row r="36">
      <c r="A36" s="94" t="s">
        <v>281</v>
      </c>
      <c r="B36" s="103" t="b">
        <v>0</v>
      </c>
      <c r="C36" s="103" t="b">
        <v>0</v>
      </c>
      <c r="D36" s="103" t="b">
        <v>0</v>
      </c>
      <c r="E36" s="42" t="b">
        <v>0</v>
      </c>
      <c r="F36" s="43" t="b">
        <v>0</v>
      </c>
      <c r="G36" s="43" t="b">
        <v>0</v>
      </c>
      <c r="H36" s="43" t="b">
        <v>0</v>
      </c>
      <c r="I36" s="43" t="b">
        <v>0</v>
      </c>
      <c r="J36" s="43" t="b">
        <v>0</v>
      </c>
      <c r="K36" s="45" t="b">
        <v>1</v>
      </c>
      <c r="L36" s="45" t="b">
        <v>1</v>
      </c>
      <c r="M36" s="45" t="b">
        <v>0</v>
      </c>
      <c r="N36" s="45" t="b">
        <v>1</v>
      </c>
      <c r="O36" s="95" t="b">
        <v>0</v>
      </c>
      <c r="P36" s="95" t="b">
        <v>1</v>
      </c>
      <c r="Q36" s="95" t="b">
        <v>1</v>
      </c>
      <c r="R36" s="95" t="b">
        <v>0</v>
      </c>
      <c r="S36" s="95" t="b">
        <v>1</v>
      </c>
      <c r="T36" s="95" t="b">
        <v>0</v>
      </c>
      <c r="U36" s="95" t="b">
        <v>0</v>
      </c>
      <c r="V36" s="95" t="b">
        <v>0</v>
      </c>
      <c r="W36" s="95" t="b">
        <v>0</v>
      </c>
      <c r="X36" s="95" t="b">
        <v>0</v>
      </c>
      <c r="Y36" s="45" t="b">
        <v>0</v>
      </c>
      <c r="Z36" s="45" t="b">
        <v>0</v>
      </c>
      <c r="AA36" s="45" t="b">
        <v>1</v>
      </c>
      <c r="AB36" s="45" t="b">
        <v>1</v>
      </c>
      <c r="AC36" s="43" t="b">
        <v>0</v>
      </c>
      <c r="AD36" s="45" t="b">
        <v>1</v>
      </c>
      <c r="AE36" s="45" t="b">
        <v>1</v>
      </c>
      <c r="AF36" s="43" t="b">
        <v>0</v>
      </c>
      <c r="AG36" s="45" t="b">
        <v>0</v>
      </c>
      <c r="AH36" s="45" t="b">
        <v>0</v>
      </c>
      <c r="AI36" s="45" t="b">
        <v>1</v>
      </c>
      <c r="AJ36" s="45" t="b">
        <v>1</v>
      </c>
      <c r="AK36" s="45" t="b">
        <v>1</v>
      </c>
      <c r="AL36" s="45" t="b">
        <v>0</v>
      </c>
      <c r="AM36" s="45" t="b">
        <v>0</v>
      </c>
      <c r="AN36" s="45" t="b">
        <v>1</v>
      </c>
      <c r="AO36" s="45" t="b">
        <v>0</v>
      </c>
      <c r="AP36" s="45" t="b">
        <v>0</v>
      </c>
      <c r="AQ36" s="45" t="b">
        <v>1</v>
      </c>
      <c r="AR36" s="45" t="b">
        <v>1</v>
      </c>
      <c r="AS36" s="45" t="b">
        <v>1</v>
      </c>
      <c r="AT36" s="45" t="b">
        <v>1</v>
      </c>
      <c r="AU36" s="45" t="b">
        <v>1</v>
      </c>
      <c r="AV36" s="45" t="b">
        <v>0</v>
      </c>
      <c r="AW36" s="45" t="b">
        <v>1</v>
      </c>
      <c r="AX36" s="45" t="b">
        <v>1</v>
      </c>
      <c r="AY36" s="45" t="b">
        <v>1</v>
      </c>
      <c r="AZ36" s="45" t="b">
        <v>1</v>
      </c>
      <c r="BA36" s="45" t="b">
        <v>1</v>
      </c>
      <c r="BB36" s="45" t="b">
        <v>0</v>
      </c>
      <c r="BC36" s="45" t="b">
        <v>0</v>
      </c>
      <c r="BD36" s="45" t="b">
        <v>0</v>
      </c>
      <c r="BE36" s="45" t="b">
        <v>0</v>
      </c>
      <c r="BF36" s="45" t="b">
        <v>0</v>
      </c>
      <c r="BG36" s="45" t="b">
        <v>0</v>
      </c>
      <c r="BH36" s="45" t="b">
        <v>0</v>
      </c>
      <c r="BI36" s="45" t="b">
        <v>0</v>
      </c>
      <c r="BJ36" s="45" t="b">
        <v>1</v>
      </c>
      <c r="BK36" s="45" t="b">
        <v>1</v>
      </c>
      <c r="BL36" s="45" t="str">
        <f t="shared" si="1"/>
        <v>MISMATCH</v>
      </c>
      <c r="BM36" s="45" t="b">
        <v>0</v>
      </c>
      <c r="BN36" s="45" t="b">
        <v>0</v>
      </c>
    </row>
    <row r="37">
      <c r="A37" s="96" t="s">
        <v>282</v>
      </c>
      <c r="B37" s="105" t="b">
        <v>0</v>
      </c>
      <c r="C37" s="105" t="b">
        <v>0</v>
      </c>
      <c r="D37" s="105" t="b">
        <v>0</v>
      </c>
      <c r="E37" s="100" t="b">
        <v>0</v>
      </c>
      <c r="F37" s="99" t="b">
        <v>0</v>
      </c>
      <c r="G37" s="99" t="b">
        <v>0</v>
      </c>
      <c r="H37" s="99" t="b">
        <v>0</v>
      </c>
      <c r="I37" s="99" t="b">
        <v>0</v>
      </c>
      <c r="J37" s="99" t="b">
        <v>0</v>
      </c>
      <c r="K37" s="97" t="b">
        <v>1</v>
      </c>
      <c r="L37" s="97" t="b">
        <v>1</v>
      </c>
      <c r="M37" s="97" t="b">
        <v>0</v>
      </c>
      <c r="N37" s="97" t="b">
        <v>0</v>
      </c>
      <c r="O37" s="109" t="b">
        <v>0</v>
      </c>
      <c r="P37" s="98" t="b">
        <v>1</v>
      </c>
      <c r="Q37" s="98" t="b">
        <v>1</v>
      </c>
      <c r="R37" s="98" t="b">
        <v>0</v>
      </c>
      <c r="S37" s="98" t="b">
        <v>0</v>
      </c>
      <c r="T37" s="98" t="b">
        <v>0</v>
      </c>
      <c r="U37" s="98" t="b">
        <v>0</v>
      </c>
      <c r="V37" s="98" t="b">
        <v>0</v>
      </c>
      <c r="W37" s="98" t="b">
        <v>0</v>
      </c>
      <c r="X37" s="98" t="b">
        <v>0</v>
      </c>
      <c r="Y37" s="97" t="b">
        <v>0</v>
      </c>
      <c r="Z37" s="97" t="b">
        <v>0</v>
      </c>
      <c r="AA37" s="97" t="b">
        <v>0</v>
      </c>
      <c r="AB37" s="99" t="b">
        <v>0</v>
      </c>
      <c r="AC37" s="99" t="b">
        <v>0</v>
      </c>
      <c r="AD37" s="99" t="b">
        <v>0</v>
      </c>
      <c r="AE37" s="99" t="b">
        <v>0</v>
      </c>
      <c r="AF37" s="99" t="b">
        <v>0</v>
      </c>
      <c r="AG37" s="97" t="b">
        <v>0</v>
      </c>
      <c r="AH37" s="97" t="b">
        <v>0</v>
      </c>
      <c r="AI37" s="97" t="b">
        <v>0</v>
      </c>
      <c r="AJ37" s="97" t="b">
        <v>0</v>
      </c>
      <c r="AK37" s="97" t="b">
        <v>0</v>
      </c>
      <c r="AL37" s="97" t="b">
        <v>0</v>
      </c>
      <c r="AM37" s="97" t="b">
        <v>0</v>
      </c>
      <c r="AN37" s="97" t="b">
        <v>1</v>
      </c>
      <c r="AO37" s="97" t="b">
        <v>0</v>
      </c>
      <c r="AP37" s="97" t="b">
        <v>0</v>
      </c>
      <c r="AQ37" s="97" t="b">
        <v>0</v>
      </c>
      <c r="AR37" s="97" t="b">
        <v>0</v>
      </c>
      <c r="AS37" s="97" t="b">
        <v>0</v>
      </c>
      <c r="AT37" s="97" t="b">
        <v>1</v>
      </c>
      <c r="AU37" s="97" t="b">
        <v>1</v>
      </c>
      <c r="AV37" s="97" t="b">
        <v>0</v>
      </c>
      <c r="AW37" s="97" t="b">
        <v>1</v>
      </c>
      <c r="AX37" s="97" t="b">
        <v>1</v>
      </c>
      <c r="AY37" s="97" t="b">
        <v>1</v>
      </c>
      <c r="AZ37" s="97" t="b">
        <v>1</v>
      </c>
      <c r="BA37" s="97" t="b">
        <v>1</v>
      </c>
      <c r="BB37" s="97" t="b">
        <v>0</v>
      </c>
      <c r="BC37" s="97" t="b">
        <v>0</v>
      </c>
      <c r="BD37" s="97" t="b">
        <v>0</v>
      </c>
      <c r="BE37" s="97" t="b">
        <v>0</v>
      </c>
      <c r="BF37" s="97" t="b">
        <v>0</v>
      </c>
      <c r="BG37" s="97" t="b">
        <v>0</v>
      </c>
      <c r="BH37" s="97" t="b">
        <v>0</v>
      </c>
      <c r="BI37" s="97" t="b">
        <v>0</v>
      </c>
      <c r="BJ37" s="97" t="b">
        <v>0</v>
      </c>
      <c r="BK37" s="97" t="b">
        <v>1</v>
      </c>
      <c r="BL37" s="45" t="str">
        <f t="shared" si="1"/>
        <v>MISMATCH</v>
      </c>
      <c r="BM37" s="97" t="b">
        <v>0</v>
      </c>
      <c r="BN37" s="97" t="b">
        <v>0</v>
      </c>
    </row>
    <row r="38">
      <c r="A38" s="94" t="s">
        <v>283</v>
      </c>
      <c r="B38" s="103" t="b">
        <v>0</v>
      </c>
      <c r="C38" s="103" t="b">
        <v>0</v>
      </c>
      <c r="D38" s="103" t="b">
        <v>0</v>
      </c>
      <c r="E38" s="42" t="b">
        <v>0</v>
      </c>
      <c r="F38" s="43" t="b">
        <v>0</v>
      </c>
      <c r="G38" s="43" t="b">
        <v>0</v>
      </c>
      <c r="H38" s="43" t="b">
        <v>0</v>
      </c>
      <c r="I38" s="43" t="b">
        <v>0</v>
      </c>
      <c r="J38" s="43" t="b">
        <v>0</v>
      </c>
      <c r="K38" s="45" t="b">
        <v>1</v>
      </c>
      <c r="L38" s="45" t="b">
        <v>1</v>
      </c>
      <c r="M38" s="45" t="b">
        <v>0</v>
      </c>
      <c r="N38" s="45" t="b">
        <v>0</v>
      </c>
      <c r="O38" s="95" t="b">
        <v>0</v>
      </c>
      <c r="P38" s="95" t="b">
        <v>1</v>
      </c>
      <c r="Q38" s="95" t="b">
        <v>1</v>
      </c>
      <c r="R38" s="95" t="b">
        <v>0</v>
      </c>
      <c r="S38" s="95" t="b">
        <v>0</v>
      </c>
      <c r="T38" s="95" t="b">
        <v>0</v>
      </c>
      <c r="U38" s="95" t="b">
        <v>0</v>
      </c>
      <c r="V38" s="95" t="b">
        <v>0</v>
      </c>
      <c r="W38" s="95" t="b">
        <v>0</v>
      </c>
      <c r="X38" s="95" t="b">
        <v>0</v>
      </c>
      <c r="Y38" s="45" t="b">
        <v>0</v>
      </c>
      <c r="Z38" s="45" t="b">
        <v>0</v>
      </c>
      <c r="AA38" s="45" t="b">
        <v>1</v>
      </c>
      <c r="AB38" s="45" t="b">
        <v>1</v>
      </c>
      <c r="AC38" s="43" t="b">
        <v>0</v>
      </c>
      <c r="AD38" s="45" t="b">
        <v>1</v>
      </c>
      <c r="AE38" s="45" t="b">
        <v>1</v>
      </c>
      <c r="AF38" s="43" t="b">
        <v>0</v>
      </c>
      <c r="AG38" s="45" t="b">
        <v>0</v>
      </c>
      <c r="AH38" s="45" t="b">
        <v>0</v>
      </c>
      <c r="AI38" s="43" t="b">
        <v>0</v>
      </c>
      <c r="AJ38" s="43" t="b">
        <v>0</v>
      </c>
      <c r="AK38" s="43" t="b">
        <v>0</v>
      </c>
      <c r="AL38" s="43" t="b">
        <v>0</v>
      </c>
      <c r="AM38" s="45" t="b">
        <v>0</v>
      </c>
      <c r="AN38" s="45" t="b">
        <v>1</v>
      </c>
      <c r="AO38" s="43" t="b">
        <v>0</v>
      </c>
      <c r="AP38" s="43" t="b">
        <v>0</v>
      </c>
      <c r="AQ38" s="43" t="b">
        <v>0</v>
      </c>
      <c r="AR38" s="43" t="b">
        <v>0</v>
      </c>
      <c r="AS38" s="43" t="b">
        <v>0</v>
      </c>
      <c r="AT38" s="45" t="b">
        <v>1</v>
      </c>
      <c r="AU38" s="45" t="b">
        <v>1</v>
      </c>
      <c r="AV38" s="45" t="b">
        <v>0</v>
      </c>
      <c r="AW38" s="45" t="b">
        <v>1</v>
      </c>
      <c r="AX38" s="45" t="b">
        <v>1</v>
      </c>
      <c r="AY38" s="45" t="b">
        <v>1</v>
      </c>
      <c r="AZ38" s="45" t="b">
        <v>1</v>
      </c>
      <c r="BA38" s="45" t="b">
        <v>1</v>
      </c>
      <c r="BB38" s="45" t="b">
        <v>0</v>
      </c>
      <c r="BC38" s="45" t="b">
        <v>0</v>
      </c>
      <c r="BD38" s="45" t="b">
        <v>0</v>
      </c>
      <c r="BE38" s="45" t="b">
        <v>0</v>
      </c>
      <c r="BF38" s="45" t="b">
        <v>0</v>
      </c>
      <c r="BG38" s="45" t="b">
        <v>1</v>
      </c>
      <c r="BH38" s="45" t="b">
        <v>1</v>
      </c>
      <c r="BI38" s="45" t="b">
        <v>1</v>
      </c>
      <c r="BJ38" s="45" t="b">
        <v>1</v>
      </c>
      <c r="BK38" s="45" t="b">
        <v>1</v>
      </c>
      <c r="BL38" s="45" t="str">
        <f t="shared" si="1"/>
        <v>MATCH</v>
      </c>
      <c r="BM38" s="45" t="b">
        <v>0</v>
      </c>
      <c r="BN38" s="45" t="b">
        <v>0</v>
      </c>
    </row>
    <row r="39">
      <c r="A39" s="96" t="s">
        <v>284</v>
      </c>
      <c r="B39" s="100" t="b">
        <v>0</v>
      </c>
      <c r="C39" s="100" t="b">
        <v>0</v>
      </c>
      <c r="D39" s="100" t="b">
        <v>0</v>
      </c>
      <c r="E39" s="100" t="b">
        <v>1</v>
      </c>
      <c r="F39" s="99" t="b">
        <v>0</v>
      </c>
      <c r="G39" s="99" t="b">
        <v>0</v>
      </c>
      <c r="H39" s="99" t="b">
        <v>0</v>
      </c>
      <c r="I39" s="99" t="b">
        <v>0</v>
      </c>
      <c r="J39" s="99" t="b">
        <v>0</v>
      </c>
      <c r="K39" s="99" t="b">
        <v>0</v>
      </c>
      <c r="L39" s="97" t="b">
        <v>0</v>
      </c>
      <c r="M39" s="97" t="b">
        <v>0</v>
      </c>
      <c r="N39" s="97" t="b">
        <v>1</v>
      </c>
      <c r="O39" s="109" t="b">
        <v>0</v>
      </c>
      <c r="P39" s="109" t="b">
        <v>0</v>
      </c>
      <c r="Q39" s="109" t="b">
        <v>0</v>
      </c>
      <c r="R39" s="98" t="b">
        <v>1</v>
      </c>
      <c r="S39" s="98" t="b">
        <v>1</v>
      </c>
      <c r="T39" s="98" t="b">
        <v>0</v>
      </c>
      <c r="U39" s="98" t="b">
        <v>0</v>
      </c>
      <c r="V39" s="98" t="b">
        <v>0</v>
      </c>
      <c r="W39" s="98" t="b">
        <v>0</v>
      </c>
      <c r="X39" s="98" t="b">
        <v>0</v>
      </c>
      <c r="Y39" s="97" t="b">
        <v>0</v>
      </c>
      <c r="Z39" s="97" t="b">
        <v>1</v>
      </c>
      <c r="AA39" s="97" t="b">
        <v>1</v>
      </c>
      <c r="AB39" s="97" t="b">
        <v>1</v>
      </c>
      <c r="AC39" s="99" t="b">
        <v>0</v>
      </c>
      <c r="AD39" s="97" t="b">
        <v>1</v>
      </c>
      <c r="AE39" s="97" t="b">
        <v>1</v>
      </c>
      <c r="AF39" s="99" t="b">
        <v>0</v>
      </c>
      <c r="AG39" s="97" t="b">
        <v>1</v>
      </c>
      <c r="AH39" s="97" t="b">
        <v>1</v>
      </c>
      <c r="AI39" s="97" t="b">
        <v>1</v>
      </c>
      <c r="AJ39" s="97" t="b">
        <v>1</v>
      </c>
      <c r="AK39" s="97" t="b">
        <v>1</v>
      </c>
      <c r="AL39" s="97" t="b">
        <v>0</v>
      </c>
      <c r="AM39" s="97" t="b">
        <v>0</v>
      </c>
      <c r="AN39" s="97" t="b">
        <v>1</v>
      </c>
      <c r="AO39" s="97" t="b">
        <v>0</v>
      </c>
      <c r="AP39" s="97" t="b">
        <v>0</v>
      </c>
      <c r="AQ39" s="97" t="b">
        <v>1</v>
      </c>
      <c r="AR39" s="97" t="b">
        <v>1</v>
      </c>
      <c r="AS39" s="97" t="b">
        <v>1</v>
      </c>
      <c r="AT39" s="97" t="b">
        <v>1</v>
      </c>
      <c r="AU39" s="97" t="b">
        <v>1</v>
      </c>
      <c r="AV39" s="97" t="b">
        <v>0</v>
      </c>
      <c r="AW39" s="97" t="b">
        <v>1</v>
      </c>
      <c r="AX39" s="97" t="b">
        <v>1</v>
      </c>
      <c r="AY39" s="97" t="b">
        <v>1</v>
      </c>
      <c r="AZ39" s="97" t="b">
        <v>1</v>
      </c>
      <c r="BA39" s="97" t="b">
        <v>1</v>
      </c>
      <c r="BB39" s="97" t="b">
        <v>0</v>
      </c>
      <c r="BC39" s="97" t="b">
        <v>0</v>
      </c>
      <c r="BD39" s="97" t="b">
        <v>0</v>
      </c>
      <c r="BE39" s="97" t="b">
        <v>0</v>
      </c>
      <c r="BF39" s="97" t="b">
        <v>0</v>
      </c>
      <c r="BG39" s="97" t="b">
        <v>1</v>
      </c>
      <c r="BH39" s="97" t="b">
        <v>1</v>
      </c>
      <c r="BI39" s="97" t="b">
        <v>1</v>
      </c>
      <c r="BJ39" s="97" t="b">
        <v>1</v>
      </c>
      <c r="BK39" s="97" t="b">
        <v>0</v>
      </c>
      <c r="BL39" s="45" t="str">
        <f t="shared" si="1"/>
        <v>MATCH</v>
      </c>
      <c r="BM39" s="97" t="b">
        <v>0</v>
      </c>
      <c r="BN39" s="97" t="b">
        <v>0</v>
      </c>
    </row>
    <row r="40">
      <c r="A40" s="94" t="s">
        <v>285</v>
      </c>
      <c r="B40" s="42" t="b">
        <v>1</v>
      </c>
      <c r="C40" s="42" t="b">
        <v>1</v>
      </c>
      <c r="D40" s="42" t="b">
        <v>1</v>
      </c>
      <c r="E40" s="42" t="b">
        <v>1</v>
      </c>
      <c r="F40" s="45" t="b">
        <v>1</v>
      </c>
      <c r="G40" s="45" t="b">
        <v>1</v>
      </c>
      <c r="H40" s="45" t="b">
        <v>1</v>
      </c>
      <c r="I40" s="45" t="b">
        <v>1</v>
      </c>
      <c r="J40" s="45" t="b">
        <v>1</v>
      </c>
      <c r="K40" s="45" t="b">
        <v>1</v>
      </c>
      <c r="L40" s="45" t="b">
        <v>1</v>
      </c>
      <c r="M40" s="45" t="b">
        <v>1</v>
      </c>
      <c r="N40" s="45" t="b">
        <v>1</v>
      </c>
      <c r="O40" s="95" t="b">
        <v>1</v>
      </c>
      <c r="P40" s="95" t="b">
        <v>1</v>
      </c>
      <c r="Q40" s="95" t="b">
        <v>1</v>
      </c>
      <c r="R40" s="95" t="b">
        <v>1</v>
      </c>
      <c r="S40" s="95" t="b">
        <v>1</v>
      </c>
      <c r="T40" s="95" t="b">
        <v>1</v>
      </c>
      <c r="U40" s="95" t="b">
        <v>1</v>
      </c>
      <c r="V40" s="95" t="b">
        <v>1</v>
      </c>
      <c r="W40" s="95" t="b">
        <v>1</v>
      </c>
      <c r="X40" s="95" t="b">
        <v>1</v>
      </c>
      <c r="Y40" s="45" t="b">
        <v>0</v>
      </c>
      <c r="Z40" s="45" t="b">
        <v>1</v>
      </c>
      <c r="AA40" s="45" t="b">
        <v>1</v>
      </c>
      <c r="AB40" s="45" t="b">
        <v>1</v>
      </c>
      <c r="AC40" s="45" t="b">
        <v>1</v>
      </c>
      <c r="AD40" s="45" t="b">
        <v>1</v>
      </c>
      <c r="AE40" s="45" t="b">
        <v>1</v>
      </c>
      <c r="AF40" s="45" t="b">
        <v>1</v>
      </c>
      <c r="AG40" s="45" t="b">
        <v>1</v>
      </c>
      <c r="AH40" s="45" t="b">
        <v>1</v>
      </c>
      <c r="AI40" s="45" t="b">
        <v>1</v>
      </c>
      <c r="AJ40" s="45" t="b">
        <v>1</v>
      </c>
      <c r="AK40" s="45" t="b">
        <v>1</v>
      </c>
      <c r="AL40" s="45" t="b">
        <v>1</v>
      </c>
      <c r="AM40" s="45" t="b">
        <v>0</v>
      </c>
      <c r="AN40" s="45" t="b">
        <v>1</v>
      </c>
      <c r="AO40" s="45" t="b">
        <v>0</v>
      </c>
      <c r="AP40" s="45" t="b">
        <v>1</v>
      </c>
      <c r="AQ40" s="45" t="b">
        <v>1</v>
      </c>
      <c r="AR40" s="45" t="b">
        <v>1</v>
      </c>
      <c r="AS40" s="45" t="b">
        <v>1</v>
      </c>
      <c r="AT40" s="45" t="b">
        <v>1</v>
      </c>
      <c r="AU40" s="45" t="b">
        <v>1</v>
      </c>
      <c r="AV40" s="45" t="b">
        <v>1</v>
      </c>
      <c r="AW40" s="45" t="b">
        <v>1</v>
      </c>
      <c r="AX40" s="45" t="b">
        <v>1</v>
      </c>
      <c r="AY40" s="45" t="b">
        <v>1</v>
      </c>
      <c r="AZ40" s="45" t="b">
        <v>1</v>
      </c>
      <c r="BA40" s="45" t="b">
        <v>1</v>
      </c>
      <c r="BB40" s="45" t="b">
        <v>1</v>
      </c>
      <c r="BC40" s="45" t="b">
        <v>1</v>
      </c>
      <c r="BD40" s="45" t="b">
        <v>1</v>
      </c>
      <c r="BE40" s="45" t="b">
        <v>0</v>
      </c>
      <c r="BF40" s="45" t="b">
        <v>1</v>
      </c>
      <c r="BG40" s="45" t="b">
        <v>1</v>
      </c>
      <c r="BH40" s="45" t="b">
        <v>1</v>
      </c>
      <c r="BI40" s="45" t="b">
        <v>1</v>
      </c>
      <c r="BJ40" s="45" t="b">
        <v>1</v>
      </c>
      <c r="BK40" s="45" t="b">
        <v>1</v>
      </c>
      <c r="BL40" s="45" t="str">
        <f t="shared" si="1"/>
        <v>MATCH</v>
      </c>
      <c r="BM40" s="45" t="b">
        <v>0</v>
      </c>
      <c r="BN40" s="45" t="b">
        <v>0</v>
      </c>
    </row>
    <row r="41">
      <c r="A41" s="96" t="s">
        <v>286</v>
      </c>
      <c r="B41" s="100" t="b">
        <v>0</v>
      </c>
      <c r="C41" s="100" t="b">
        <v>0</v>
      </c>
      <c r="D41" s="100" t="b">
        <v>0</v>
      </c>
      <c r="E41" s="100" t="b">
        <v>0</v>
      </c>
      <c r="F41" s="99" t="b">
        <v>0</v>
      </c>
      <c r="G41" s="97" t="b">
        <v>1</v>
      </c>
      <c r="H41" s="97" t="b">
        <v>1</v>
      </c>
      <c r="I41" s="97" t="b">
        <v>1</v>
      </c>
      <c r="J41" s="97" t="b">
        <v>1</v>
      </c>
      <c r="K41" s="97" t="b">
        <v>1</v>
      </c>
      <c r="L41" s="97" t="b">
        <v>1</v>
      </c>
      <c r="M41" s="97" t="b">
        <v>1</v>
      </c>
      <c r="N41" s="97" t="b">
        <v>1</v>
      </c>
      <c r="O41" s="98" t="b">
        <v>1</v>
      </c>
      <c r="P41" s="98" t="b">
        <v>1</v>
      </c>
      <c r="Q41" s="98" t="b">
        <v>1</v>
      </c>
      <c r="R41" s="98" t="b">
        <v>1</v>
      </c>
      <c r="S41" s="98" t="b">
        <v>1</v>
      </c>
      <c r="T41" s="98" t="b">
        <v>0</v>
      </c>
      <c r="U41" s="98" t="b">
        <v>0</v>
      </c>
      <c r="V41" s="98" t="b">
        <v>0</v>
      </c>
      <c r="W41" s="98" t="b">
        <v>0</v>
      </c>
      <c r="X41" s="98" t="b">
        <v>0</v>
      </c>
      <c r="Y41" s="97" t="b">
        <v>0</v>
      </c>
      <c r="Z41" s="97" t="b">
        <v>1</v>
      </c>
      <c r="AA41" s="97" t="b">
        <v>1</v>
      </c>
      <c r="AB41" s="97" t="b">
        <v>1</v>
      </c>
      <c r="AC41" s="97" t="b">
        <v>1</v>
      </c>
      <c r="AD41" s="97" t="b">
        <v>1</v>
      </c>
      <c r="AE41" s="97" t="b">
        <v>1</v>
      </c>
      <c r="AF41" s="99" t="b">
        <v>0</v>
      </c>
      <c r="AG41" s="97" t="b">
        <v>1</v>
      </c>
      <c r="AH41" s="97" t="b">
        <v>1</v>
      </c>
      <c r="AI41" s="97" t="b">
        <v>1</v>
      </c>
      <c r="AJ41" s="97" t="b">
        <v>1</v>
      </c>
      <c r="AK41" s="97" t="b">
        <v>1</v>
      </c>
      <c r="AL41" s="97" t="b">
        <v>1</v>
      </c>
      <c r="AM41" s="97" t="b">
        <v>0</v>
      </c>
      <c r="AN41" s="97" t="b">
        <v>1</v>
      </c>
      <c r="AO41" s="97" t="b">
        <v>0</v>
      </c>
      <c r="AP41" s="97" t="b">
        <v>1</v>
      </c>
      <c r="AQ41" s="97" t="b">
        <v>1</v>
      </c>
      <c r="AR41" s="97" t="b">
        <v>1</v>
      </c>
      <c r="AS41" s="97" t="b">
        <v>1</v>
      </c>
      <c r="AT41" s="97" t="b">
        <v>1</v>
      </c>
      <c r="AU41" s="97" t="b">
        <v>1</v>
      </c>
      <c r="AV41" s="97" t="b">
        <v>1</v>
      </c>
      <c r="AW41" s="97" t="b">
        <v>1</v>
      </c>
      <c r="AX41" s="97" t="b">
        <v>1</v>
      </c>
      <c r="AY41" s="97" t="b">
        <v>1</v>
      </c>
      <c r="AZ41" s="97" t="b">
        <v>1</v>
      </c>
      <c r="BA41" s="97" t="b">
        <v>1</v>
      </c>
      <c r="BB41" s="97" t="b">
        <v>1</v>
      </c>
      <c r="BC41" s="97" t="b">
        <v>1</v>
      </c>
      <c r="BD41" s="97" t="b">
        <v>1</v>
      </c>
      <c r="BE41" s="97" t="b">
        <v>0</v>
      </c>
      <c r="BF41" s="97" t="b">
        <v>1</v>
      </c>
      <c r="BG41" s="97" t="b">
        <v>1</v>
      </c>
      <c r="BH41" s="97" t="b">
        <v>1</v>
      </c>
      <c r="BI41" s="97" t="b">
        <v>1</v>
      </c>
      <c r="BJ41" s="97" t="b">
        <v>1</v>
      </c>
      <c r="BK41" s="97" t="b">
        <v>1</v>
      </c>
      <c r="BL41" s="45" t="str">
        <f t="shared" si="1"/>
        <v>MATCH</v>
      </c>
      <c r="BM41" s="97" t="b">
        <v>0</v>
      </c>
      <c r="BN41" s="97" t="b">
        <v>0</v>
      </c>
    </row>
    <row r="42">
      <c r="A42" s="106" t="s">
        <v>287</v>
      </c>
      <c r="B42" s="43" t="b">
        <v>0</v>
      </c>
      <c r="C42" s="42" t="b">
        <v>0</v>
      </c>
      <c r="D42" s="42" t="b">
        <v>0</v>
      </c>
      <c r="E42" s="42" t="b">
        <v>0</v>
      </c>
      <c r="F42" s="43"/>
      <c r="G42" s="43"/>
      <c r="H42" s="43"/>
      <c r="I42" s="43"/>
      <c r="J42" s="43"/>
      <c r="K42" s="43"/>
      <c r="L42" s="45" t="b">
        <v>0</v>
      </c>
      <c r="M42" s="45" t="b">
        <v>0</v>
      </c>
      <c r="N42" s="45" t="b">
        <v>0</v>
      </c>
      <c r="O42" s="95" t="b">
        <v>0</v>
      </c>
      <c r="P42" s="95" t="b">
        <v>0</v>
      </c>
      <c r="Q42" s="95" t="b">
        <v>0</v>
      </c>
      <c r="R42" s="95" t="b">
        <v>0</v>
      </c>
      <c r="S42" s="95" t="b">
        <v>0</v>
      </c>
      <c r="T42" s="95" t="b">
        <v>0</v>
      </c>
      <c r="U42" s="95" t="b">
        <v>0</v>
      </c>
      <c r="V42" s="95" t="b">
        <v>0</v>
      </c>
      <c r="W42" s="95" t="b">
        <v>0</v>
      </c>
      <c r="X42" s="95" t="b">
        <v>0</v>
      </c>
      <c r="Y42" s="45" t="b">
        <v>0</v>
      </c>
      <c r="Z42" s="45" t="b">
        <v>0</v>
      </c>
      <c r="AA42" s="45" t="b">
        <v>0</v>
      </c>
      <c r="AB42" s="45" t="b">
        <v>0</v>
      </c>
      <c r="AC42" s="43" t="b">
        <v>0</v>
      </c>
      <c r="AD42" s="43" t="b">
        <v>0</v>
      </c>
      <c r="AE42" s="43" t="b">
        <v>0</v>
      </c>
      <c r="AF42" s="45" t="b">
        <v>0</v>
      </c>
      <c r="AG42" s="45" t="b">
        <v>0</v>
      </c>
      <c r="AH42" s="45" t="b">
        <v>0</v>
      </c>
      <c r="AI42" s="43" t="b">
        <v>0</v>
      </c>
      <c r="AJ42" s="45" t="b">
        <v>0</v>
      </c>
      <c r="AK42" s="45" t="b">
        <v>1</v>
      </c>
      <c r="AL42" s="45" t="b">
        <v>0</v>
      </c>
      <c r="AM42" s="45" t="b">
        <v>0</v>
      </c>
      <c r="AN42" s="45" t="b">
        <v>0</v>
      </c>
      <c r="AO42" s="45" t="b">
        <v>0</v>
      </c>
      <c r="AP42" s="45" t="b">
        <v>0</v>
      </c>
      <c r="AQ42" s="45" t="b">
        <v>0</v>
      </c>
      <c r="AR42" s="45" t="b">
        <v>0</v>
      </c>
      <c r="AS42" s="45" t="b">
        <v>0</v>
      </c>
      <c r="AT42" s="45" t="b">
        <v>0</v>
      </c>
      <c r="AU42" s="45" t="b">
        <v>0</v>
      </c>
      <c r="AV42" s="45" t="b">
        <v>0</v>
      </c>
      <c r="AW42" s="45" t="b">
        <v>0</v>
      </c>
      <c r="AX42" s="45" t="b">
        <v>0</v>
      </c>
      <c r="AY42" s="45" t="b">
        <v>0</v>
      </c>
      <c r="AZ42" s="45" t="b">
        <v>0</v>
      </c>
      <c r="BA42" s="45" t="b">
        <v>0</v>
      </c>
      <c r="BB42" s="45" t="b">
        <v>0</v>
      </c>
      <c r="BC42" s="45" t="b">
        <v>0</v>
      </c>
      <c r="BD42" s="45" t="b">
        <v>0</v>
      </c>
      <c r="BE42" s="45" t="b">
        <v>0</v>
      </c>
      <c r="BF42" s="45" t="b">
        <v>0</v>
      </c>
      <c r="BG42" s="45" t="b">
        <v>0</v>
      </c>
      <c r="BH42" s="45" t="b">
        <v>0</v>
      </c>
      <c r="BI42" s="45" t="b">
        <v>0</v>
      </c>
      <c r="BJ42" s="45" t="b">
        <v>0</v>
      </c>
      <c r="BK42" s="45" t="b">
        <v>0</v>
      </c>
      <c r="BL42" s="45" t="str">
        <f t="shared" si="1"/>
        <v>MATCH</v>
      </c>
      <c r="BM42" s="45" t="b">
        <v>0</v>
      </c>
      <c r="BN42" s="45" t="b">
        <v>0</v>
      </c>
    </row>
    <row r="43">
      <c r="A43" s="113" t="s">
        <v>288</v>
      </c>
      <c r="B43" s="99" t="b">
        <v>0</v>
      </c>
      <c r="C43" s="100" t="b">
        <v>1</v>
      </c>
      <c r="D43" s="100" t="b">
        <v>1</v>
      </c>
      <c r="E43" s="100" t="b">
        <v>1</v>
      </c>
      <c r="F43" s="99"/>
      <c r="G43" s="99"/>
      <c r="H43" s="99"/>
      <c r="I43" s="99"/>
      <c r="J43" s="99"/>
      <c r="K43" s="99"/>
      <c r="L43" s="97" t="b">
        <v>0</v>
      </c>
      <c r="M43" s="97" t="b">
        <v>0</v>
      </c>
      <c r="N43" s="97" t="b">
        <v>1</v>
      </c>
      <c r="O43" s="109" t="b">
        <v>0</v>
      </c>
      <c r="P43" s="109" t="b">
        <v>1</v>
      </c>
      <c r="Q43" s="109" t="b">
        <v>1</v>
      </c>
      <c r="R43" s="109" t="b">
        <v>0</v>
      </c>
      <c r="S43" s="109" t="b">
        <v>1</v>
      </c>
      <c r="T43" s="109" t="b">
        <v>1</v>
      </c>
      <c r="U43" s="109" t="b">
        <v>1</v>
      </c>
      <c r="V43" s="109" t="b">
        <v>1</v>
      </c>
      <c r="W43" s="109" t="b">
        <v>1</v>
      </c>
      <c r="X43" s="109" t="b">
        <v>1</v>
      </c>
      <c r="Y43" s="97" t="b">
        <v>0</v>
      </c>
      <c r="Z43" s="97" t="b">
        <v>0</v>
      </c>
      <c r="AA43" s="97" t="b">
        <v>1</v>
      </c>
      <c r="AB43" s="97" t="b">
        <v>1</v>
      </c>
      <c r="AC43" s="99" t="b">
        <v>0</v>
      </c>
      <c r="AD43" s="99" t="b">
        <v>0</v>
      </c>
      <c r="AE43" s="97" t="b">
        <v>1</v>
      </c>
      <c r="AF43" s="97" t="b">
        <v>1</v>
      </c>
      <c r="AG43" s="97" t="b">
        <v>1</v>
      </c>
      <c r="AH43" s="97" t="b">
        <v>1</v>
      </c>
      <c r="AI43" s="99" t="b">
        <v>0</v>
      </c>
      <c r="AJ43" s="97" t="b">
        <v>1</v>
      </c>
      <c r="AK43" s="97" t="b">
        <v>1</v>
      </c>
      <c r="AL43" s="97" t="b">
        <v>1</v>
      </c>
      <c r="AM43" s="97" t="b">
        <v>0</v>
      </c>
      <c r="AN43" s="97" t="b">
        <v>1</v>
      </c>
      <c r="AO43" s="97" t="b">
        <v>0</v>
      </c>
      <c r="AP43" s="97" t="b">
        <v>0</v>
      </c>
      <c r="AQ43" s="97" t="b">
        <v>1</v>
      </c>
      <c r="AR43" s="97" t="b">
        <v>1</v>
      </c>
      <c r="AS43" s="97" t="b">
        <v>1</v>
      </c>
      <c r="AT43" s="97" t="b">
        <v>1</v>
      </c>
      <c r="AU43" s="97" t="b">
        <v>1</v>
      </c>
      <c r="AV43" s="97" t="b">
        <v>1</v>
      </c>
      <c r="AW43" s="97" t="b">
        <v>1</v>
      </c>
      <c r="AX43" s="97" t="b">
        <v>1</v>
      </c>
      <c r="AY43" s="97" t="b">
        <v>1</v>
      </c>
      <c r="AZ43" s="97" t="b">
        <v>1</v>
      </c>
      <c r="BA43" s="97" t="b">
        <v>1</v>
      </c>
      <c r="BB43" s="97" t="b">
        <v>0</v>
      </c>
      <c r="BC43" s="97" t="b">
        <v>0</v>
      </c>
      <c r="BD43" s="97" t="b">
        <v>1</v>
      </c>
      <c r="BE43" s="97" t="b">
        <v>0</v>
      </c>
      <c r="BF43" s="97" t="b">
        <v>0</v>
      </c>
      <c r="BG43" s="97" t="b">
        <v>1</v>
      </c>
      <c r="BH43" s="97" t="b">
        <v>0</v>
      </c>
      <c r="BI43" s="97" t="b">
        <v>1</v>
      </c>
      <c r="BJ43" s="97" t="b">
        <v>1</v>
      </c>
      <c r="BK43" s="97" t="b">
        <v>1</v>
      </c>
      <c r="BL43" s="45" t="str">
        <f t="shared" si="1"/>
        <v>MATCH</v>
      </c>
      <c r="BM43" s="97" t="b">
        <v>0</v>
      </c>
      <c r="BN43" s="97" t="b">
        <v>0</v>
      </c>
    </row>
    <row r="44">
      <c r="A44" s="94" t="s">
        <v>289</v>
      </c>
      <c r="B44" s="114" t="b">
        <v>0</v>
      </c>
      <c r="C44" s="114" t="b">
        <v>0</v>
      </c>
      <c r="D44" s="114" t="b">
        <v>0</v>
      </c>
      <c r="E44" s="114" t="b">
        <v>0</v>
      </c>
      <c r="F44" s="115" t="b">
        <v>0</v>
      </c>
      <c r="G44" s="115" t="b">
        <v>0</v>
      </c>
      <c r="H44" s="115" t="b">
        <v>0</v>
      </c>
      <c r="I44" s="115" t="b">
        <v>0</v>
      </c>
      <c r="J44" s="115" t="b">
        <v>0</v>
      </c>
      <c r="K44" s="115" t="b">
        <v>0</v>
      </c>
      <c r="L44" s="110" t="b">
        <v>0</v>
      </c>
      <c r="M44" s="110" t="b">
        <v>0</v>
      </c>
      <c r="N44" s="110" t="b">
        <v>0</v>
      </c>
      <c r="O44" s="116" t="b">
        <v>0</v>
      </c>
      <c r="P44" s="116" t="b">
        <v>0</v>
      </c>
      <c r="Q44" s="116" t="b">
        <v>0</v>
      </c>
      <c r="R44" s="116" t="b">
        <v>0</v>
      </c>
      <c r="S44" s="116" t="b">
        <v>0</v>
      </c>
      <c r="T44" s="116" t="b">
        <v>0</v>
      </c>
      <c r="U44" s="116" t="b">
        <v>0</v>
      </c>
      <c r="V44" s="116" t="b">
        <v>0</v>
      </c>
      <c r="W44" s="116" t="b">
        <v>0</v>
      </c>
      <c r="X44" s="116" t="b">
        <v>0</v>
      </c>
      <c r="Y44" s="110" t="b">
        <v>1</v>
      </c>
      <c r="Z44" s="110" t="b">
        <v>1</v>
      </c>
      <c r="AA44" s="110" t="b">
        <v>1</v>
      </c>
      <c r="AB44" s="110" t="b">
        <v>0</v>
      </c>
      <c r="AC44" s="110" t="b">
        <v>0</v>
      </c>
      <c r="AD44" s="110" t="b">
        <v>0</v>
      </c>
      <c r="AE44" s="110" t="b">
        <v>0</v>
      </c>
      <c r="AF44" s="115" t="b">
        <v>0</v>
      </c>
      <c r="AG44" s="110" t="b">
        <v>0</v>
      </c>
      <c r="AH44" s="110" t="b">
        <v>0</v>
      </c>
      <c r="AI44" s="110" t="b">
        <v>0</v>
      </c>
      <c r="AJ44" s="110" t="b">
        <v>0</v>
      </c>
      <c r="AK44" s="110" t="b">
        <v>1</v>
      </c>
      <c r="AL44" s="110" t="b">
        <v>1</v>
      </c>
      <c r="AM44" s="110" t="b">
        <v>1</v>
      </c>
      <c r="AN44" s="110" t="b">
        <v>1</v>
      </c>
      <c r="AO44" s="110" t="b">
        <v>0</v>
      </c>
      <c r="AP44" s="110" t="b">
        <v>0</v>
      </c>
      <c r="AQ44" s="110" t="b">
        <v>0</v>
      </c>
      <c r="AR44" s="110" t="b">
        <v>1</v>
      </c>
      <c r="AS44" s="110" t="b">
        <v>0</v>
      </c>
      <c r="AT44" s="110" t="b">
        <v>0</v>
      </c>
      <c r="AU44" s="110" t="b">
        <v>0</v>
      </c>
      <c r="AV44" s="110" t="b">
        <v>0</v>
      </c>
      <c r="AW44" s="110" t="b">
        <v>0</v>
      </c>
      <c r="AX44" s="110" t="b">
        <v>0</v>
      </c>
      <c r="AY44" s="110" t="b">
        <v>0</v>
      </c>
      <c r="AZ44" s="110" t="b">
        <v>1</v>
      </c>
      <c r="BA44" s="110" t="b">
        <v>1</v>
      </c>
      <c r="BB44" s="110" t="b">
        <v>0</v>
      </c>
      <c r="BC44" s="110" t="b">
        <v>0</v>
      </c>
      <c r="BD44" s="110" t="b">
        <v>0</v>
      </c>
      <c r="BE44" s="110" t="b">
        <v>0</v>
      </c>
      <c r="BF44" s="110" t="b">
        <v>0</v>
      </c>
      <c r="BG44" s="110" t="b">
        <v>0</v>
      </c>
      <c r="BH44" s="110" t="b">
        <v>1</v>
      </c>
      <c r="BI44" s="110" t="b">
        <v>0</v>
      </c>
      <c r="BJ44" s="110" t="b">
        <v>0</v>
      </c>
      <c r="BK44" s="110" t="b">
        <v>0</v>
      </c>
      <c r="BL44" s="45" t="str">
        <f t="shared" si="1"/>
        <v>MATCH</v>
      </c>
      <c r="BM44" s="110" t="b">
        <v>0</v>
      </c>
      <c r="BN44" s="110" t="b">
        <v>0</v>
      </c>
    </row>
    <row r="45">
      <c r="A45" s="96" t="s">
        <v>290</v>
      </c>
      <c r="B45" s="100" t="b">
        <v>1</v>
      </c>
      <c r="C45" s="100" t="b">
        <v>1</v>
      </c>
      <c r="D45" s="100" t="b">
        <v>1</v>
      </c>
      <c r="E45" s="100" t="b">
        <v>1</v>
      </c>
      <c r="F45" s="99" t="b">
        <v>0</v>
      </c>
      <c r="G45" s="99" t="b">
        <v>0</v>
      </c>
      <c r="H45" s="99" t="b">
        <v>0</v>
      </c>
      <c r="I45" s="99" t="b">
        <v>0</v>
      </c>
      <c r="J45" s="99" t="b">
        <v>0</v>
      </c>
      <c r="K45" s="99" t="b">
        <v>0</v>
      </c>
      <c r="L45" s="97" t="b">
        <v>0</v>
      </c>
      <c r="M45" s="97" t="b">
        <v>0</v>
      </c>
      <c r="N45" s="97" t="b">
        <v>0</v>
      </c>
      <c r="O45" s="98" t="b">
        <v>1</v>
      </c>
      <c r="P45" s="98" t="b">
        <v>1</v>
      </c>
      <c r="Q45" s="98" t="b">
        <v>1</v>
      </c>
      <c r="R45" s="98" t="b">
        <v>1</v>
      </c>
      <c r="S45" s="98" t="b">
        <v>1</v>
      </c>
      <c r="T45" s="98" t="b">
        <v>1</v>
      </c>
      <c r="U45" s="98" t="b">
        <v>1</v>
      </c>
      <c r="V45" s="98" t="b">
        <v>1</v>
      </c>
      <c r="W45" s="98" t="b">
        <v>1</v>
      </c>
      <c r="X45" s="98" t="b">
        <v>1</v>
      </c>
      <c r="Y45" s="97" t="b">
        <v>0</v>
      </c>
      <c r="Z45" s="97" t="b">
        <v>1</v>
      </c>
      <c r="AA45" s="97" t="b">
        <v>1</v>
      </c>
      <c r="AB45" s="97" t="b">
        <v>1</v>
      </c>
      <c r="AC45" s="97" t="b">
        <v>1</v>
      </c>
      <c r="AD45" s="97" t="b">
        <v>1</v>
      </c>
      <c r="AE45" s="97" t="b">
        <v>1</v>
      </c>
      <c r="AF45" s="99" t="b">
        <v>0</v>
      </c>
      <c r="AG45" s="97" t="b">
        <v>1</v>
      </c>
      <c r="AH45" s="97" t="b">
        <v>1</v>
      </c>
      <c r="AI45" s="97" t="b">
        <v>1</v>
      </c>
      <c r="AJ45" s="97" t="b">
        <v>1</v>
      </c>
      <c r="AK45" s="97" t="b">
        <v>1</v>
      </c>
      <c r="AL45" s="97" t="b">
        <v>1</v>
      </c>
      <c r="AM45" s="97" t="b">
        <v>0</v>
      </c>
      <c r="AN45" s="97" t="b">
        <v>1</v>
      </c>
      <c r="AO45" s="97" t="b">
        <v>0</v>
      </c>
      <c r="AP45" s="97" t="b">
        <v>0</v>
      </c>
      <c r="AQ45" s="97" t="b">
        <v>1</v>
      </c>
      <c r="AR45" s="97" t="b">
        <v>1</v>
      </c>
      <c r="AS45" s="97" t="b">
        <v>1</v>
      </c>
      <c r="AT45" s="97" t="b">
        <v>1</v>
      </c>
      <c r="AU45" s="97" t="b">
        <v>1</v>
      </c>
      <c r="AV45" s="97" t="b">
        <v>1</v>
      </c>
      <c r="AW45" s="97" t="b">
        <v>1</v>
      </c>
      <c r="AX45" s="97" t="b">
        <v>1</v>
      </c>
      <c r="AY45" s="97" t="b">
        <v>1</v>
      </c>
      <c r="AZ45" s="97" t="b">
        <v>1</v>
      </c>
      <c r="BA45" s="97" t="b">
        <v>1</v>
      </c>
      <c r="BB45" s="97" t="b">
        <v>1</v>
      </c>
      <c r="BC45" s="97" t="b">
        <v>1</v>
      </c>
      <c r="BD45" s="97" t="b">
        <v>1</v>
      </c>
      <c r="BE45" s="97" t="b">
        <v>0</v>
      </c>
      <c r="BF45" s="97" t="b">
        <v>1</v>
      </c>
      <c r="BG45" s="97" t="b">
        <v>1</v>
      </c>
      <c r="BH45" s="97" t="b">
        <v>1</v>
      </c>
      <c r="BI45" s="97" t="b">
        <v>1</v>
      </c>
      <c r="BJ45" s="97" t="b">
        <v>1</v>
      </c>
      <c r="BK45" s="97" t="b">
        <v>1</v>
      </c>
      <c r="BL45" s="45" t="str">
        <f t="shared" si="1"/>
        <v>MATCH</v>
      </c>
      <c r="BM45" s="97" t="b">
        <v>0</v>
      </c>
      <c r="BN45" s="97" t="b">
        <v>0</v>
      </c>
    </row>
    <row r="48">
      <c r="A48" s="117" t="s">
        <v>291</v>
      </c>
      <c r="B48" s="34" t="s">
        <v>292</v>
      </c>
      <c r="K48" s="118"/>
      <c r="L48" s="118"/>
      <c r="AB48" s="119"/>
    </row>
    <row r="49">
      <c r="A49" s="117" t="s">
        <v>293</v>
      </c>
      <c r="B49" s="34" t="s">
        <v>294</v>
      </c>
      <c r="K49" s="118"/>
      <c r="L49" s="118"/>
      <c r="AB49" s="119"/>
    </row>
    <row r="51">
      <c r="A51" s="41" t="s">
        <v>295</v>
      </c>
      <c r="B51" s="120">
        <v>0.0765</v>
      </c>
    </row>
    <row r="52">
      <c r="A52" s="41" t="s">
        <v>296</v>
      </c>
      <c r="B52" s="121">
        <v>44260.0</v>
      </c>
    </row>
    <row r="53">
      <c r="A53" s="41" t="s">
        <v>297</v>
      </c>
      <c r="B53" s="41">
        <f>DATEDIF(B52, Today(), "D")</f>
        <v>1672</v>
      </c>
    </row>
  </sheetData>
  <autoFilter ref="$BL$3:$BL$45"/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22" t="str">
        <f>IFERROR(__xludf.DUMMYFUNCTION("IMPORTRANGE(""https://docs.google.com/spreadsheets/d/12hINl2RSscJf6-RWNi9uwwdP2CD9HfCa6qX4-NqGCSI/edit#gid=926323175"",""Car Evaluation!A1:A45"")"),"Feature/Car Model")</f>
        <v>Feature/Car Model</v>
      </c>
      <c r="B1" s="123" t="str">
        <f>IFERROR(__xludf.DUMMYFUNCTION("IMPORTRANGE(""https://docs.google.com/spreadsheets/d/12hINl2RSscJf6-RWNi9uwwdP2CD9HfCa6qX4-NqGCSI/edit#gid=926323175"",""Car Evaluation!AA1:AA45"")"),"Nexon XZ #")</f>
        <v>Nexon XZ #</v>
      </c>
      <c r="C1" s="124" t="str">
        <f>IFERROR(__xludf.DUMMYFUNCTION("IMPORTRANGE(""https://docs.google.com/spreadsheets/d/12hINl2RSscJf6-RWNi9uwwdP2CD9HfCa6qX4-NqGCSI/edit#gid=926323175"",""Car Evaluation!AC1:AC45"")"),"Vitara Brezza LXI **")</f>
        <v>Vitara Brezza LXI **</v>
      </c>
      <c r="D1" s="125" t="str">
        <f>IFERROR(__xludf.DUMMYFUNCTION("IMPORTRANGE(""https://docs.google.com/spreadsheets/d/12hINl2RSscJf6-RWNi9uwwdP2CD9HfCa6qX4-NqGCSI/edit#gid=926323175"",""Car Evaluation!AE1:AE45"")"),"Vitara Brezza ZXI #")</f>
        <v>Vitara Brezza ZXI #</v>
      </c>
      <c r="E1" s="126" t="str">
        <f>IFERROR(__xludf.DUMMYFUNCTION("IMPORTRANGE(""https://docs.google.com/spreadsheets/d/12hINl2RSscJf6-RWNi9uwwdP2CD9HfCa6qX4-NqGCSI/edit#gid=926323175"",""Car Evaluation!AJ1:AJ45"")"),"Venue S Plus #")</f>
        <v>Venue S Plus #</v>
      </c>
      <c r="F1" s="127" t="str">
        <f>IFERROR(__xludf.DUMMYFUNCTION("IMPORTRANGE(""https://docs.google.com/spreadsheets/d/12hINl2RSscJf6-RWNi9uwwdP2CD9HfCa6qX4-NqGCSI/edit#gid=926323175"",""Car Evaluation!AQ1:AQ45"")"),"Kia Sonet HTK Plus")</f>
        <v>Kia Sonet HTK Plus</v>
      </c>
      <c r="G1" s="128" t="str">
        <f>IFERROR(__xludf.DUMMYFUNCTION("IMPORTRANGE(""https://docs.google.com/spreadsheets/d/12hINl2RSscJf6-RWNi9uwwdP2CD9HfCa6qX4-NqGCSI/edit#gid=926323175"",""Car Evaluation!BA1:BA45"")"),"Magnite XV Turbo Premium 360 camera")</f>
        <v>Magnite XV Turbo Premium 360 camera</v>
      </c>
      <c r="H1" s="129" t="str">
        <f>IFERROR(__xludf.DUMMYFUNCTION("IMPORTRANGE(""https://docs.google.com/spreadsheets/d/12hINl2RSscJf6-RWNi9uwwdP2CD9HfCa6qX4-NqGCSI/edit#gid=926323175"",""Car Evaluation!AW1:AW45"")"),"Kia Seltos HTK Plus G")</f>
        <v>Kia Seltos HTK Plus G</v>
      </c>
      <c r="I1" s="130" t="str">
        <f>IFERROR(__xludf.DUMMYFUNCTION("IMPORTRANGE(""https://docs.google.com/spreadsheets/d/12hINl2RSscJf6-RWNi9uwwdP2CD9HfCa6qX4-NqGCSI/edit#gid=926323175"",""Car Evaluation!AY1:AY45"")"),"Magnite XV Premium")</f>
        <v>Magnite XV Premium</v>
      </c>
      <c r="J1" s="131" t="str">
        <f>IFERROR(__xludf.DUMMYFUNCTION("IMPORTRANGE(""https://docs.google.com/spreadsheets/d/12hINl2RSscJf6-RWNi9uwwdP2CD9HfCa6qX4-NqGCSI/edit#gid=926323175"",""Car Evaluation!BF1:BF45"")"),"Kiger RXL")</f>
        <v>Kiger RXL</v>
      </c>
    </row>
    <row r="2">
      <c r="A2" s="122" t="str">
        <f>IFERROR(__xludf.DUMMYFUNCTION("""COMPUTED_VALUE"""),"Ex-showroom")</f>
        <v>Ex-showroom</v>
      </c>
      <c r="B2" s="123" t="str">
        <f>IFERROR(__xludf.DUMMYFUNCTION("""COMPUTED_VALUE"""),"8.69 L")</f>
        <v>8.69 L</v>
      </c>
      <c r="C2" s="124" t="str">
        <f>IFERROR(__xludf.DUMMYFUNCTION("""COMPUTED_VALUE"""),"7.34 L")</f>
        <v>7.34 L</v>
      </c>
      <c r="D2" s="125" t="str">
        <f>IFERROR(__xludf.DUMMYFUNCTION("""COMPUTED_VALUE"""),"9.1 L")</f>
        <v>9.1 L</v>
      </c>
      <c r="E2" s="126" t="str">
        <f>IFERROR(__xludf.DUMMYFUNCTION("""COMPUTED_VALUE"""),"8.31 L")</f>
        <v>8.31 L</v>
      </c>
      <c r="F2" s="132" t="str">
        <f>IFERROR(__xludf.DUMMYFUNCTION("""COMPUTED_VALUE"""),"8.45 L")</f>
        <v>8.45 L</v>
      </c>
      <c r="G2" s="133" t="str">
        <f>IFERROR(__xludf.DUMMYFUNCTION("""COMPUTED_VALUE"""),"8.45 L")</f>
        <v>8.45 L</v>
      </c>
      <c r="H2" s="134" t="str">
        <f>IFERROR(__xludf.DUMMYFUNCTION("""COMPUTED_VALUE"""),"11.59 L")</f>
        <v>11.59 L</v>
      </c>
      <c r="I2" s="135" t="str">
        <f>IFERROR(__xludf.DUMMYFUNCTION("""COMPUTED_VALUE"""),"7.55 L")</f>
        <v>7.55 L</v>
      </c>
      <c r="J2" s="131" t="str">
        <f>IFERROR(__xludf.DUMMYFUNCTION("""COMPUTED_VALUE"""),"6.14 L")</f>
        <v>6.14 L</v>
      </c>
    </row>
    <row r="3">
      <c r="A3" s="122" t="str">
        <f>IFERROR(__xludf.DUMMYFUNCTION("""COMPUTED_VALUE"""),"On Road")</f>
        <v>On Road</v>
      </c>
      <c r="B3" s="123" t="str">
        <f>IFERROR(__xludf.DUMMYFUNCTION("""COMPUTED_VALUE"""),"9.75 L")</f>
        <v>9.75 L</v>
      </c>
      <c r="C3" s="124" t="str">
        <f>IFERROR(__xludf.DUMMYFUNCTION("""COMPUTED_VALUE"""),"8.24 L")</f>
        <v>8.24 L</v>
      </c>
      <c r="D3" s="125" t="str">
        <f>IFERROR(__xludf.DUMMYFUNCTION("""COMPUTED_VALUE"""),"10.18 L")</f>
        <v>10.18 L</v>
      </c>
      <c r="E3" s="126" t="str">
        <f>IFERROR(__xludf.DUMMYFUNCTION("""COMPUTED_VALUE"""),"9.73 L")</f>
        <v>9.73 L</v>
      </c>
      <c r="F3" s="132" t="str">
        <f>IFERROR(__xludf.DUMMYFUNCTION("""COMPUTED_VALUE"""),"9.46 L")</f>
        <v>9.46 L</v>
      </c>
      <c r="G3" s="133" t="str">
        <f>IFERROR(__xludf.DUMMYFUNCTION("""COMPUTED_VALUE"""),"9.45 L")</f>
        <v>9.45 L</v>
      </c>
      <c r="H3" s="134" t="str">
        <f>IFERROR(__xludf.DUMMYFUNCTION("""COMPUTED_VALUE"""),"13.37 L")</f>
        <v>13.37 L</v>
      </c>
      <c r="I3" s="135" t="str">
        <f>IFERROR(__xludf.DUMMYFUNCTION("""COMPUTED_VALUE"""),"8.41 L")</f>
        <v>8.41 L</v>
      </c>
      <c r="J3" s="131"/>
    </row>
    <row r="4">
      <c r="A4" s="136" t="str">
        <f>IFERROR(__xludf.DUMMYFUNCTION("""COMPUTED_VALUE"""),"ABS")</f>
        <v>ABS</v>
      </c>
      <c r="B4" s="137" t="b">
        <f>IFERROR(__xludf.DUMMYFUNCTION("""COMPUTED_VALUE"""),TRUE)</f>
        <v>1</v>
      </c>
      <c r="C4" s="138" t="b">
        <f>IFERROR(__xludf.DUMMYFUNCTION("""COMPUTED_VALUE"""),TRUE)</f>
        <v>1</v>
      </c>
      <c r="D4" s="139" t="b">
        <f>IFERROR(__xludf.DUMMYFUNCTION("""COMPUTED_VALUE"""),TRUE)</f>
        <v>1</v>
      </c>
      <c r="E4" s="140" t="b">
        <f>IFERROR(__xludf.DUMMYFUNCTION("""COMPUTED_VALUE"""),TRUE)</f>
        <v>1</v>
      </c>
      <c r="F4" s="141" t="b">
        <f>IFERROR(__xludf.DUMMYFUNCTION("""COMPUTED_VALUE"""),TRUE)</f>
        <v>1</v>
      </c>
      <c r="G4" s="142" t="b">
        <f>IFERROR(__xludf.DUMMYFUNCTION("""COMPUTED_VALUE"""),TRUE)</f>
        <v>1</v>
      </c>
      <c r="H4" s="143" t="b">
        <f>IFERROR(__xludf.DUMMYFUNCTION("""COMPUTED_VALUE"""),TRUE)</f>
        <v>1</v>
      </c>
      <c r="I4" s="144" t="b">
        <f>IFERROR(__xludf.DUMMYFUNCTION("""COMPUTED_VALUE"""),TRUE)</f>
        <v>1</v>
      </c>
      <c r="J4" s="145" t="b">
        <f>IFERROR(__xludf.DUMMYFUNCTION("""COMPUTED_VALUE"""),TRUE)</f>
        <v>1</v>
      </c>
    </row>
    <row r="5">
      <c r="A5" s="136" t="str">
        <f>IFERROR(__xludf.DUMMYFUNCTION("""COMPUTED_VALUE"""),"Air Bags")</f>
        <v>Air Bags</v>
      </c>
      <c r="B5" s="137"/>
      <c r="C5" s="138">
        <f>IFERROR(__xludf.DUMMYFUNCTION("""COMPUTED_VALUE"""),2.0)</f>
        <v>2</v>
      </c>
      <c r="D5" s="139">
        <f>IFERROR(__xludf.DUMMYFUNCTION("""COMPUTED_VALUE"""),2.0)</f>
        <v>2</v>
      </c>
      <c r="E5" s="140">
        <f>IFERROR(__xludf.DUMMYFUNCTION("""COMPUTED_VALUE"""),2.0)</f>
        <v>2</v>
      </c>
      <c r="F5" s="141">
        <f>IFERROR(__xludf.DUMMYFUNCTION("""COMPUTED_VALUE"""),2.0)</f>
        <v>2</v>
      </c>
      <c r="G5" s="142">
        <f>IFERROR(__xludf.DUMMYFUNCTION("""COMPUTED_VALUE"""),2.0)</f>
        <v>2</v>
      </c>
      <c r="H5" s="143">
        <f>IFERROR(__xludf.DUMMYFUNCTION("""COMPUTED_VALUE"""),2.0)</f>
        <v>2</v>
      </c>
      <c r="I5" s="144">
        <f>IFERROR(__xludf.DUMMYFUNCTION("""COMPUTED_VALUE"""),2.0)</f>
        <v>2</v>
      </c>
      <c r="J5" s="145">
        <f>IFERROR(__xludf.DUMMYFUNCTION("""COMPUTED_VALUE"""),2.0)</f>
        <v>2</v>
      </c>
    </row>
    <row r="6">
      <c r="A6" s="136" t="str">
        <f>IFERROR(__xludf.DUMMYFUNCTION("""COMPUTED_VALUE"""),"Air Conditioner")</f>
        <v>Air Conditioner</v>
      </c>
      <c r="B6" s="137" t="b">
        <f>IFERROR(__xludf.DUMMYFUNCTION("""COMPUTED_VALUE"""),TRUE)</f>
        <v>1</v>
      </c>
      <c r="C6" s="138" t="b">
        <f>IFERROR(__xludf.DUMMYFUNCTION("""COMPUTED_VALUE"""),TRUE)</f>
        <v>1</v>
      </c>
      <c r="D6" s="139" t="b">
        <f>IFERROR(__xludf.DUMMYFUNCTION("""COMPUTED_VALUE"""),TRUE)</f>
        <v>1</v>
      </c>
      <c r="E6" s="140" t="b">
        <f>IFERROR(__xludf.DUMMYFUNCTION("""COMPUTED_VALUE"""),TRUE)</f>
        <v>1</v>
      </c>
      <c r="F6" s="141" t="b">
        <f>IFERROR(__xludf.DUMMYFUNCTION("""COMPUTED_VALUE"""),TRUE)</f>
        <v>1</v>
      </c>
      <c r="G6" s="142" t="b">
        <f>IFERROR(__xludf.DUMMYFUNCTION("""COMPUTED_VALUE"""),TRUE)</f>
        <v>1</v>
      </c>
      <c r="H6" s="143" t="b">
        <f>IFERROR(__xludf.DUMMYFUNCTION("""COMPUTED_VALUE"""),TRUE)</f>
        <v>1</v>
      </c>
      <c r="I6" s="144" t="b">
        <f>IFERROR(__xludf.DUMMYFUNCTION("""COMPUTED_VALUE"""),TRUE)</f>
        <v>1</v>
      </c>
      <c r="J6" s="145" t="b">
        <f>IFERROR(__xludf.DUMMYFUNCTION("""COMPUTED_VALUE"""),FALSE)</f>
        <v>0</v>
      </c>
    </row>
    <row r="7">
      <c r="A7" s="136" t="str">
        <f>IFERROR(__xludf.DUMMYFUNCTION("""COMPUTED_VALUE"""),"AndroidAuto - AppleCarPlay")</f>
        <v>AndroidAuto - AppleCarPlay</v>
      </c>
      <c r="B7" s="137" t="b">
        <f>IFERROR(__xludf.DUMMYFUNCTION("""COMPUTED_VALUE"""),TRUE)</f>
        <v>1</v>
      </c>
      <c r="C7" s="138" t="b">
        <f>IFERROR(__xludf.DUMMYFUNCTION("""COMPUTED_VALUE"""),FALSE)</f>
        <v>0</v>
      </c>
      <c r="D7" s="139" t="b">
        <f>IFERROR(__xludf.DUMMYFUNCTION("""COMPUTED_VALUE"""),TRUE)</f>
        <v>1</v>
      </c>
      <c r="E7" s="140" t="b">
        <f>IFERROR(__xludf.DUMMYFUNCTION("""COMPUTED_VALUE"""),TRUE)</f>
        <v>1</v>
      </c>
      <c r="F7" s="141" t="b">
        <f>IFERROR(__xludf.DUMMYFUNCTION("""COMPUTED_VALUE"""),TRUE)</f>
        <v>1</v>
      </c>
      <c r="G7" s="142" t="b">
        <f>IFERROR(__xludf.DUMMYFUNCTION("""COMPUTED_VALUE"""),TRUE)</f>
        <v>1</v>
      </c>
      <c r="H7" s="143" t="b">
        <f>IFERROR(__xludf.DUMMYFUNCTION("""COMPUTED_VALUE"""),TRUE)</f>
        <v>1</v>
      </c>
      <c r="I7" s="144" t="b">
        <f>IFERROR(__xludf.DUMMYFUNCTION("""COMPUTED_VALUE"""),TRUE)</f>
        <v>1</v>
      </c>
      <c r="J7" s="145" t="b">
        <f>IFERROR(__xludf.DUMMYFUNCTION("""COMPUTED_VALUE"""),FALSE)</f>
        <v>0</v>
      </c>
    </row>
    <row r="8">
      <c r="A8" s="136" t="str">
        <f>IFERROR(__xludf.DUMMYFUNCTION("""COMPUTED_VALUE"""),"Automatic Climate Control")</f>
        <v>Automatic Climate Control</v>
      </c>
      <c r="B8" s="137" t="b">
        <f>IFERROR(__xludf.DUMMYFUNCTION("""COMPUTED_VALUE"""),FALSE)</f>
        <v>0</v>
      </c>
      <c r="C8" s="138" t="b">
        <f>IFERROR(__xludf.DUMMYFUNCTION("""COMPUTED_VALUE"""),FALSE)</f>
        <v>0</v>
      </c>
      <c r="D8" s="139" t="b">
        <f>IFERROR(__xludf.DUMMYFUNCTION("""COMPUTED_VALUE"""),TRUE)</f>
        <v>1</v>
      </c>
      <c r="E8" s="140" t="b">
        <f>IFERROR(__xludf.DUMMYFUNCTION("""COMPUTED_VALUE"""),TRUE)</f>
        <v>1</v>
      </c>
      <c r="F8" s="141" t="b">
        <f>IFERROR(__xludf.DUMMYFUNCTION("""COMPUTED_VALUE"""),TRUE)</f>
        <v>1</v>
      </c>
      <c r="G8" s="142"/>
      <c r="H8" s="143" t="b">
        <f>IFERROR(__xludf.DUMMYFUNCTION("""COMPUTED_VALUE"""),FALSE)</f>
        <v>0</v>
      </c>
      <c r="I8" s="144" t="b">
        <f>IFERROR(__xludf.DUMMYFUNCTION("""COMPUTED_VALUE"""),TRUE)</f>
        <v>1</v>
      </c>
      <c r="J8" s="145" t="b">
        <f>IFERROR(__xludf.DUMMYFUNCTION("""COMPUTED_VALUE"""),FALSE)</f>
        <v>0</v>
      </c>
    </row>
    <row r="9">
      <c r="A9" s="136" t="str">
        <f>IFERROR(__xludf.DUMMYFUNCTION("""COMPUTED_VALUE"""),"Bluetooth")</f>
        <v>Bluetooth</v>
      </c>
      <c r="B9" s="137" t="b">
        <f>IFERROR(__xludf.DUMMYFUNCTION("""COMPUTED_VALUE"""),TRUE)</f>
        <v>1</v>
      </c>
      <c r="C9" s="138" t="b">
        <f>IFERROR(__xludf.DUMMYFUNCTION("""COMPUTED_VALUE"""),FALSE)</f>
        <v>0</v>
      </c>
      <c r="D9" s="139" t="b">
        <f>IFERROR(__xludf.DUMMYFUNCTION("""COMPUTED_VALUE"""),FALSE)</f>
        <v>0</v>
      </c>
      <c r="E9" s="140" t="b">
        <f>IFERROR(__xludf.DUMMYFUNCTION("""COMPUTED_VALUE"""),TRUE)</f>
        <v>1</v>
      </c>
      <c r="F9" s="141" t="b">
        <f>IFERROR(__xludf.DUMMYFUNCTION("""COMPUTED_VALUE"""),TRUE)</f>
        <v>1</v>
      </c>
      <c r="G9" s="142" t="b">
        <f>IFERROR(__xludf.DUMMYFUNCTION("""COMPUTED_VALUE"""),FALSE)</f>
        <v>0</v>
      </c>
      <c r="H9" s="143" t="b">
        <f>IFERROR(__xludf.DUMMYFUNCTION("""COMPUTED_VALUE"""),TRUE)</f>
        <v>1</v>
      </c>
      <c r="I9" s="144" t="b">
        <f>IFERROR(__xludf.DUMMYFUNCTION("""COMPUTED_VALUE"""),TRUE)</f>
        <v>1</v>
      </c>
      <c r="J9" s="145" t="b">
        <f>IFERROR(__xludf.DUMMYFUNCTION("""COMPUTED_VALUE"""),FALSE)</f>
        <v>0</v>
      </c>
    </row>
    <row r="10">
      <c r="A10" s="136" t="str">
        <f>IFERROR(__xludf.DUMMYFUNCTION("""COMPUTED_VALUE"""),"Bootspace")</f>
        <v>Bootspace</v>
      </c>
      <c r="B10" s="137">
        <f>IFERROR(__xludf.DUMMYFUNCTION("""COMPUTED_VALUE"""),350.0)</f>
        <v>350</v>
      </c>
      <c r="C10" s="138">
        <f>IFERROR(__xludf.DUMMYFUNCTION("""COMPUTED_VALUE"""),328.0)</f>
        <v>328</v>
      </c>
      <c r="D10" s="139">
        <f>IFERROR(__xludf.DUMMYFUNCTION("""COMPUTED_VALUE"""),328.0)</f>
        <v>328</v>
      </c>
      <c r="E10" s="140">
        <f>IFERROR(__xludf.DUMMYFUNCTION("""COMPUTED_VALUE"""),350.0)</f>
        <v>350</v>
      </c>
      <c r="F10" s="141">
        <f>IFERROR(__xludf.DUMMYFUNCTION("""COMPUTED_VALUE"""),392.0)</f>
        <v>392</v>
      </c>
      <c r="G10" s="142">
        <f>IFERROR(__xludf.DUMMYFUNCTION("""COMPUTED_VALUE"""),336.0)</f>
        <v>336</v>
      </c>
      <c r="H10" s="143">
        <f>IFERROR(__xludf.DUMMYFUNCTION("""COMPUTED_VALUE"""),433.0)</f>
        <v>433</v>
      </c>
      <c r="I10" s="144">
        <f>IFERROR(__xludf.DUMMYFUNCTION("""COMPUTED_VALUE"""),336.0)</f>
        <v>336</v>
      </c>
      <c r="J10" s="145">
        <f>IFERROR(__xludf.DUMMYFUNCTION("""COMPUTED_VALUE"""),405.0)</f>
        <v>405</v>
      </c>
    </row>
    <row r="11">
      <c r="A11" s="136" t="str">
        <f>IFERROR(__xludf.DUMMYFUNCTION("""COMPUTED_VALUE"""),"Central Locking")</f>
        <v>Central Locking</v>
      </c>
      <c r="B11" s="137" t="b">
        <f>IFERROR(__xludf.DUMMYFUNCTION("""COMPUTED_VALUE"""),TRUE)</f>
        <v>1</v>
      </c>
      <c r="C11" s="138" t="b">
        <f>IFERROR(__xludf.DUMMYFUNCTION("""COMPUTED_VALUE"""),TRUE)</f>
        <v>1</v>
      </c>
      <c r="D11" s="139" t="b">
        <f>IFERROR(__xludf.DUMMYFUNCTION("""COMPUTED_VALUE"""),TRUE)</f>
        <v>1</v>
      </c>
      <c r="E11" s="140" t="b">
        <f>IFERROR(__xludf.DUMMYFUNCTION("""COMPUTED_VALUE"""),TRUE)</f>
        <v>1</v>
      </c>
      <c r="F11" s="141" t="b">
        <f>IFERROR(__xludf.DUMMYFUNCTION("""COMPUTED_VALUE"""),TRUE)</f>
        <v>1</v>
      </c>
      <c r="G11" s="142" t="b">
        <f>IFERROR(__xludf.DUMMYFUNCTION("""COMPUTED_VALUE"""),TRUE)</f>
        <v>1</v>
      </c>
      <c r="H11" s="143" t="b">
        <f>IFERROR(__xludf.DUMMYFUNCTION("""COMPUTED_VALUE"""),TRUE)</f>
        <v>1</v>
      </c>
      <c r="I11" s="144" t="b">
        <f>IFERROR(__xludf.DUMMYFUNCTION("""COMPUTED_VALUE"""),TRUE)</f>
        <v>1</v>
      </c>
      <c r="J11" s="145" t="b">
        <f>IFERROR(__xludf.DUMMYFUNCTION("""COMPUTED_VALUE"""),FALSE)</f>
        <v>0</v>
      </c>
    </row>
    <row r="12">
      <c r="A12" s="136" t="str">
        <f>IFERROR(__xludf.DUMMYFUNCTION("""COMPUTED_VALUE"""),"Cruise Control")</f>
        <v>Cruise Control</v>
      </c>
      <c r="B12" s="137" t="b">
        <f>IFERROR(__xludf.DUMMYFUNCTION("""COMPUTED_VALUE"""),FALSE)</f>
        <v>0</v>
      </c>
      <c r="C12" s="138" t="b">
        <f>IFERROR(__xludf.DUMMYFUNCTION("""COMPUTED_VALUE"""),FALSE)</f>
        <v>0</v>
      </c>
      <c r="D12" s="139" t="b">
        <f>IFERROR(__xludf.DUMMYFUNCTION("""COMPUTED_VALUE"""),FALSE)</f>
        <v>0</v>
      </c>
      <c r="E12" s="140" t="b">
        <f>IFERROR(__xludf.DUMMYFUNCTION("""COMPUTED_VALUE"""),FALSE)</f>
        <v>0</v>
      </c>
      <c r="F12" s="141" t="b">
        <f>IFERROR(__xludf.DUMMYFUNCTION("""COMPUTED_VALUE"""),FALSE)</f>
        <v>0</v>
      </c>
      <c r="G12" s="142" t="b">
        <f>IFERROR(__xludf.DUMMYFUNCTION("""COMPUTED_VALUE"""),TRUE)</f>
        <v>1</v>
      </c>
      <c r="H12" s="143" t="b">
        <f>IFERROR(__xludf.DUMMYFUNCTION("""COMPUTED_VALUE"""),FALSE)</f>
        <v>0</v>
      </c>
      <c r="I12" s="144" t="b">
        <f>IFERROR(__xludf.DUMMYFUNCTION("""COMPUTED_VALUE"""),TRUE)</f>
        <v>1</v>
      </c>
      <c r="J12" s="145" t="b">
        <f>IFERROR(__xludf.DUMMYFUNCTION("""COMPUTED_VALUE"""),FALSE)</f>
        <v>0</v>
      </c>
    </row>
    <row r="13">
      <c r="A13" s="136" t="str">
        <f>IFERROR(__xludf.DUMMYFUNCTION("""COMPUTED_VALUE"""),"Cylinders")</f>
        <v>Cylinders</v>
      </c>
      <c r="B13" s="137">
        <f>IFERROR(__xludf.DUMMYFUNCTION("""COMPUTED_VALUE"""),3.0)</f>
        <v>3</v>
      </c>
      <c r="C13" s="138"/>
      <c r="D13" s="139"/>
      <c r="E13" s="140">
        <f>IFERROR(__xludf.DUMMYFUNCTION("""COMPUTED_VALUE"""),4.0)</f>
        <v>4</v>
      </c>
      <c r="F13" s="141">
        <f>IFERROR(__xludf.DUMMYFUNCTION("""COMPUTED_VALUE"""),4.0)</f>
        <v>4</v>
      </c>
      <c r="G13" s="142">
        <f>IFERROR(__xludf.DUMMYFUNCTION("""COMPUTED_VALUE"""),3.0)</f>
        <v>3</v>
      </c>
      <c r="H13" s="143">
        <f>IFERROR(__xludf.DUMMYFUNCTION("""COMPUTED_VALUE"""),4.0)</f>
        <v>4</v>
      </c>
      <c r="I13" s="144">
        <f>IFERROR(__xludf.DUMMYFUNCTION("""COMPUTED_VALUE"""),3.0)</f>
        <v>3</v>
      </c>
      <c r="J13" s="145">
        <f>IFERROR(__xludf.DUMMYFUNCTION("""COMPUTED_VALUE"""),3.0)</f>
        <v>3</v>
      </c>
    </row>
    <row r="14">
      <c r="A14" s="136" t="str">
        <f>IFERROR(__xludf.DUMMYFUNCTION("""COMPUTED_VALUE"""),"Drive Modes")</f>
        <v>Drive Modes</v>
      </c>
      <c r="B14" s="137">
        <f>IFERROR(__xludf.DUMMYFUNCTION("""COMPUTED_VALUE"""),3.0)</f>
        <v>3</v>
      </c>
      <c r="C14" s="138">
        <f>IFERROR(__xludf.DUMMYFUNCTION("""COMPUTED_VALUE"""),1.0)</f>
        <v>1</v>
      </c>
      <c r="D14" s="139">
        <f>IFERROR(__xludf.DUMMYFUNCTION("""COMPUTED_VALUE"""),1.0)</f>
        <v>1</v>
      </c>
      <c r="E14" s="140">
        <f>IFERROR(__xludf.DUMMYFUNCTION("""COMPUTED_VALUE"""),1.0)</f>
        <v>1</v>
      </c>
      <c r="F14" s="141">
        <f>IFERROR(__xludf.DUMMYFUNCTION("""COMPUTED_VALUE"""),1.0)</f>
        <v>1</v>
      </c>
      <c r="G14" s="142">
        <f>IFERROR(__xludf.DUMMYFUNCTION("""COMPUTED_VALUE"""),1.0)</f>
        <v>1</v>
      </c>
      <c r="H14" s="143">
        <f>IFERROR(__xludf.DUMMYFUNCTION("""COMPUTED_VALUE"""),1.0)</f>
        <v>1</v>
      </c>
      <c r="I14" s="144">
        <f>IFERROR(__xludf.DUMMYFUNCTION("""COMPUTED_VALUE"""),1.0)</f>
        <v>1</v>
      </c>
      <c r="J14" s="145">
        <f>IFERROR(__xludf.DUMMYFUNCTION("""COMPUTED_VALUE"""),1.0)</f>
        <v>1</v>
      </c>
    </row>
    <row r="15">
      <c r="A15" s="136" t="str">
        <f>IFERROR(__xludf.DUMMYFUNCTION("""COMPUTED_VALUE"""),"Drive Type")</f>
        <v>Drive Type</v>
      </c>
      <c r="B15" s="137" t="str">
        <f>IFERROR(__xludf.DUMMYFUNCTION("""COMPUTED_VALUE"""),"FWD")</f>
        <v>FWD</v>
      </c>
      <c r="C15" s="138" t="str">
        <f>IFERROR(__xludf.DUMMYFUNCTION("""COMPUTED_VALUE"""),"FWD")</f>
        <v>FWD</v>
      </c>
      <c r="D15" s="139" t="str">
        <f>IFERROR(__xludf.DUMMYFUNCTION("""COMPUTED_VALUE"""),"FWD")</f>
        <v>FWD</v>
      </c>
      <c r="E15" s="140" t="str">
        <f>IFERROR(__xludf.DUMMYFUNCTION("""COMPUTED_VALUE"""),"FWD")</f>
        <v>FWD</v>
      </c>
      <c r="F15" s="141" t="str">
        <f>IFERROR(__xludf.DUMMYFUNCTION("""COMPUTED_VALUE"""),"FWD")</f>
        <v>FWD</v>
      </c>
      <c r="G15" s="142" t="str">
        <f>IFERROR(__xludf.DUMMYFUNCTION("""COMPUTED_VALUE"""),"FWD")</f>
        <v>FWD</v>
      </c>
      <c r="H15" s="143" t="str">
        <f>IFERROR(__xludf.DUMMYFUNCTION("""COMPUTED_VALUE"""),"2WD")</f>
        <v>2WD</v>
      </c>
      <c r="I15" s="144" t="str">
        <f>IFERROR(__xludf.DUMMYFUNCTION("""COMPUTED_VALUE"""),"FWD")</f>
        <v>FWD</v>
      </c>
      <c r="J15" s="145" t="str">
        <f>IFERROR(__xludf.DUMMYFUNCTION("""COMPUTED_VALUE"""),"FWD")</f>
        <v>FWD</v>
      </c>
    </row>
    <row r="16">
      <c r="A16" s="136" t="str">
        <f>IFERROR(__xludf.DUMMYFUNCTION("""COMPUTED_VALUE"""),"DRLs")</f>
        <v>DRLs</v>
      </c>
      <c r="B16" s="137" t="b">
        <f>IFERROR(__xludf.DUMMYFUNCTION("""COMPUTED_VALUE"""),TRUE)</f>
        <v>1</v>
      </c>
      <c r="C16" s="138" t="b">
        <f>IFERROR(__xludf.DUMMYFUNCTION("""COMPUTED_VALUE"""),FALSE)</f>
        <v>0</v>
      </c>
      <c r="D16" s="139" t="b">
        <f>IFERROR(__xludf.DUMMYFUNCTION("""COMPUTED_VALUE"""),TRUE)</f>
        <v>1</v>
      </c>
      <c r="E16" s="140" t="b">
        <f>IFERROR(__xludf.DUMMYFUNCTION("""COMPUTED_VALUE"""),TRUE)</f>
        <v>1</v>
      </c>
      <c r="F16" s="141" t="b">
        <f>IFERROR(__xludf.DUMMYFUNCTION("""COMPUTED_VALUE"""),FALSE)</f>
        <v>0</v>
      </c>
      <c r="G16" s="142" t="b">
        <f>IFERROR(__xludf.DUMMYFUNCTION("""COMPUTED_VALUE"""),TRUE)</f>
        <v>1</v>
      </c>
      <c r="H16" s="143" t="b">
        <f>IFERROR(__xludf.DUMMYFUNCTION("""COMPUTED_VALUE"""),TRUE)</f>
        <v>1</v>
      </c>
      <c r="I16" s="144" t="b">
        <f>IFERROR(__xludf.DUMMYFUNCTION("""COMPUTED_VALUE"""),TRUE)</f>
        <v>1</v>
      </c>
      <c r="J16" s="145" t="b">
        <f>IFERROR(__xludf.DUMMYFUNCTION("""COMPUTED_VALUE"""),TRUE)</f>
        <v>1</v>
      </c>
    </row>
    <row r="17">
      <c r="A17" s="136" t="str">
        <f>IFERROR(__xludf.DUMMYFUNCTION("""COMPUTED_VALUE"""),"Engine")</f>
        <v>Engine</v>
      </c>
      <c r="B17" s="137">
        <f>IFERROR(__xludf.DUMMYFUNCTION("""COMPUTED_VALUE"""),1199.0)</f>
        <v>1199</v>
      </c>
      <c r="C17" s="138">
        <f>IFERROR(__xludf.DUMMYFUNCTION("""COMPUTED_VALUE"""),1462.0)</f>
        <v>1462</v>
      </c>
      <c r="D17" s="139">
        <f>IFERROR(__xludf.DUMMYFUNCTION("""COMPUTED_VALUE"""),1462.0)</f>
        <v>1462</v>
      </c>
      <c r="E17" s="140">
        <f>IFERROR(__xludf.DUMMYFUNCTION("""COMPUTED_VALUE"""),1197.0)</f>
        <v>1197</v>
      </c>
      <c r="F17" s="141">
        <f>IFERROR(__xludf.DUMMYFUNCTION("""COMPUTED_VALUE"""),1197.0)</f>
        <v>1197</v>
      </c>
      <c r="G17" s="142">
        <f>IFERROR(__xludf.DUMMYFUNCTION("""COMPUTED_VALUE"""),999.0)</f>
        <v>999</v>
      </c>
      <c r="H17" s="143">
        <f>IFERROR(__xludf.DUMMYFUNCTION("""COMPUTED_VALUE"""),1493.0)</f>
        <v>1493</v>
      </c>
      <c r="I17" s="144">
        <f>IFERROR(__xludf.DUMMYFUNCTION("""COMPUTED_VALUE"""),999.0)</f>
        <v>999</v>
      </c>
      <c r="J17" s="145">
        <f>IFERROR(__xludf.DUMMYFUNCTION("""COMPUTED_VALUE"""),999.0)</f>
        <v>999</v>
      </c>
    </row>
    <row r="18">
      <c r="A18" s="136" t="str">
        <f>IFERROR(__xludf.DUMMYFUNCTION("""COMPUTED_VALUE"""),"Fog Lamps")</f>
        <v>Fog Lamps</v>
      </c>
      <c r="B18" s="137" t="b">
        <f>IFERROR(__xludf.DUMMYFUNCTION("""COMPUTED_VALUE"""),TRUE)</f>
        <v>1</v>
      </c>
      <c r="C18" s="138" t="b">
        <f>IFERROR(__xludf.DUMMYFUNCTION("""COMPUTED_VALUE"""),FALSE)</f>
        <v>0</v>
      </c>
      <c r="D18" s="139" t="b">
        <f>IFERROR(__xludf.DUMMYFUNCTION("""COMPUTED_VALUE"""),FALSE)</f>
        <v>0</v>
      </c>
      <c r="E18" s="140" t="b">
        <f>IFERROR(__xludf.DUMMYFUNCTION("""COMPUTED_VALUE"""),TRUE)</f>
        <v>1</v>
      </c>
      <c r="F18" s="141" t="b">
        <f>IFERROR(__xludf.DUMMYFUNCTION("""COMPUTED_VALUE"""),TRUE)</f>
        <v>1</v>
      </c>
      <c r="G18" s="142" t="b">
        <f>IFERROR(__xludf.DUMMYFUNCTION("""COMPUTED_VALUE"""),TRUE)</f>
        <v>1</v>
      </c>
      <c r="H18" s="143" t="b">
        <f>IFERROR(__xludf.DUMMYFUNCTION("""COMPUTED_VALUE"""),FALSE)</f>
        <v>0</v>
      </c>
      <c r="I18" s="144" t="b">
        <f>IFERROR(__xludf.DUMMYFUNCTION("""COMPUTED_VALUE"""),TRUE)</f>
        <v>1</v>
      </c>
      <c r="J18" s="145" t="b">
        <f>IFERROR(__xludf.DUMMYFUNCTION("""COMPUTED_VALUE"""),FALSE)</f>
        <v>0</v>
      </c>
    </row>
    <row r="19">
      <c r="A19" s="136" t="str">
        <f>IFERROR(__xludf.DUMMYFUNCTION("""COMPUTED_VALUE"""),"FollowMe Home Lamps")</f>
        <v>FollowMe Home Lamps</v>
      </c>
      <c r="B19" s="137" t="b">
        <f>IFERROR(__xludf.DUMMYFUNCTION("""COMPUTED_VALUE"""),TRUE)</f>
        <v>1</v>
      </c>
      <c r="C19" s="138" t="b">
        <f>IFERROR(__xludf.DUMMYFUNCTION("""COMPUTED_VALUE"""),TRUE)</f>
        <v>1</v>
      </c>
      <c r="D19" s="139" t="b">
        <f>IFERROR(__xludf.DUMMYFUNCTION("""COMPUTED_VALUE"""),TRUE)</f>
        <v>1</v>
      </c>
      <c r="E19" s="140" t="b">
        <f>IFERROR(__xludf.DUMMYFUNCTION("""COMPUTED_VALUE"""),FALSE)</f>
        <v>0</v>
      </c>
      <c r="F19" s="141" t="b">
        <f>IFERROR(__xludf.DUMMYFUNCTION("""COMPUTED_VALUE"""),TRUE)</f>
        <v>1</v>
      </c>
      <c r="G19" s="142" t="b">
        <f>IFERROR(__xludf.DUMMYFUNCTION("""COMPUTED_VALUE"""),FALSE)</f>
        <v>0</v>
      </c>
      <c r="H19" s="143" t="b">
        <f>IFERROR(__xludf.DUMMYFUNCTION("""COMPUTED_VALUE"""),FALSE)</f>
        <v>0</v>
      </c>
      <c r="I19" s="144" t="b">
        <f>IFERROR(__xludf.DUMMYFUNCTION("""COMPUTED_VALUE"""),FALSE)</f>
        <v>0</v>
      </c>
      <c r="J19" s="145" t="b">
        <f>IFERROR(__xludf.DUMMYFUNCTION("""COMPUTED_VALUE"""),FALSE)</f>
        <v>0</v>
      </c>
    </row>
    <row r="20">
      <c r="A20" s="136" t="str">
        <f>IFERROR(__xludf.DUMMYFUNCTION("""COMPUTED_VALUE"""),"Gears")</f>
        <v>Gears</v>
      </c>
      <c r="B20" s="137">
        <f>IFERROR(__xludf.DUMMYFUNCTION("""COMPUTED_VALUE"""),6.0)</f>
        <v>6</v>
      </c>
      <c r="C20" s="138"/>
      <c r="D20" s="139"/>
      <c r="E20" s="140">
        <f>IFERROR(__xludf.DUMMYFUNCTION("""COMPUTED_VALUE"""),5.0)</f>
        <v>5</v>
      </c>
      <c r="F20" s="141">
        <f>IFERROR(__xludf.DUMMYFUNCTION("""COMPUTED_VALUE"""),5.0)</f>
        <v>5</v>
      </c>
      <c r="G20" s="142">
        <f>IFERROR(__xludf.DUMMYFUNCTION("""COMPUTED_VALUE"""),5.0)</f>
        <v>5</v>
      </c>
      <c r="H20" s="143">
        <f>IFERROR(__xludf.DUMMYFUNCTION("""COMPUTED_VALUE"""),6.0)</f>
        <v>6</v>
      </c>
      <c r="I20" s="144">
        <f>IFERROR(__xludf.DUMMYFUNCTION("""COMPUTED_VALUE"""),5.0)</f>
        <v>5</v>
      </c>
      <c r="J20" s="145">
        <f>IFERROR(__xludf.DUMMYFUNCTION("""COMPUTED_VALUE"""),5.0)</f>
        <v>5</v>
      </c>
    </row>
    <row r="21">
      <c r="A21" s="136" t="str">
        <f>IFERROR(__xludf.DUMMYFUNCTION("""COMPUTED_VALUE"""),"HeadRest Adjustable")</f>
        <v>HeadRest Adjustable</v>
      </c>
      <c r="B21" s="137" t="b">
        <f>IFERROR(__xludf.DUMMYFUNCTION("""COMPUTED_VALUE"""),FALSE)</f>
        <v>0</v>
      </c>
      <c r="C21" s="138" t="b">
        <f>IFERROR(__xludf.DUMMYFUNCTION("""COMPUTED_VALUE"""),FALSE)</f>
        <v>0</v>
      </c>
      <c r="D21" s="139" t="b">
        <f>IFERROR(__xludf.DUMMYFUNCTION("""COMPUTED_VALUE"""),FALSE)</f>
        <v>0</v>
      </c>
      <c r="E21" s="140" t="b">
        <f>IFERROR(__xludf.DUMMYFUNCTION("""COMPUTED_VALUE"""),TRUE)</f>
        <v>1</v>
      </c>
      <c r="F21" s="141" t="b">
        <f>IFERROR(__xludf.DUMMYFUNCTION("""COMPUTED_VALUE"""),FALSE)</f>
        <v>0</v>
      </c>
      <c r="G21" s="142" t="b">
        <f>IFERROR(__xludf.DUMMYFUNCTION("""COMPUTED_VALUE"""),TRUE)</f>
        <v>1</v>
      </c>
      <c r="H21" s="143" t="b">
        <f>IFERROR(__xludf.DUMMYFUNCTION("""COMPUTED_VALUE"""),TRUE)</f>
        <v>1</v>
      </c>
      <c r="I21" s="144" t="b">
        <f>IFERROR(__xludf.DUMMYFUNCTION("""COMPUTED_VALUE"""),TRUE)</f>
        <v>1</v>
      </c>
      <c r="J21" s="145" t="b">
        <f>IFERROR(__xludf.DUMMYFUNCTION("""COMPUTED_VALUE"""),FALSE)</f>
        <v>0</v>
      </c>
    </row>
    <row r="22">
      <c r="A22" s="136" t="str">
        <f>IFERROR(__xludf.DUMMYFUNCTION("""COMPUTED_VALUE"""),"Hill Assist")</f>
        <v>Hill Assist</v>
      </c>
      <c r="B22" s="137" t="b">
        <f>IFERROR(__xludf.DUMMYFUNCTION("""COMPUTED_VALUE"""),TRUE)</f>
        <v>1</v>
      </c>
      <c r="C22" s="138" t="b">
        <f>IFERROR(__xludf.DUMMYFUNCTION("""COMPUTED_VALUE"""),FALSE)</f>
        <v>0</v>
      </c>
      <c r="D22" s="139" t="b">
        <f>IFERROR(__xludf.DUMMYFUNCTION("""COMPUTED_VALUE"""),FALSE)</f>
        <v>0</v>
      </c>
      <c r="E22" s="140" t="b">
        <f>IFERROR(__xludf.DUMMYFUNCTION("""COMPUTED_VALUE"""),FALSE)</f>
        <v>0</v>
      </c>
      <c r="F22" s="141" t="b">
        <f>IFERROR(__xludf.DUMMYFUNCTION("""COMPUTED_VALUE"""),FALSE)</f>
        <v>0</v>
      </c>
      <c r="G22" s="142" t="b">
        <f>IFERROR(__xludf.DUMMYFUNCTION("""COMPUTED_VALUE"""),TRUE)</f>
        <v>1</v>
      </c>
      <c r="H22" s="143" t="b">
        <f>IFERROR(__xludf.DUMMYFUNCTION("""COMPUTED_VALUE"""),FALSE)</f>
        <v>0</v>
      </c>
      <c r="I22" s="144" t="b">
        <f>IFERROR(__xludf.DUMMYFUNCTION("""COMPUTED_VALUE"""),FALSE)</f>
        <v>0</v>
      </c>
      <c r="J22" s="145" t="b">
        <f>IFERROR(__xludf.DUMMYFUNCTION("""COMPUTED_VALUE"""),FALSE)</f>
        <v>0</v>
      </c>
    </row>
    <row r="23">
      <c r="A23" s="136" t="str">
        <f>IFERROR(__xludf.DUMMYFUNCTION("""COMPUTED_VALUE"""),"Keyless Entry")</f>
        <v>Keyless Entry</v>
      </c>
      <c r="B23" s="137" t="b">
        <f>IFERROR(__xludf.DUMMYFUNCTION("""COMPUTED_VALUE"""),TRUE)</f>
        <v>1</v>
      </c>
      <c r="C23" s="138" t="b">
        <f>IFERROR(__xludf.DUMMYFUNCTION("""COMPUTED_VALUE"""),TRUE)</f>
        <v>1</v>
      </c>
      <c r="D23" s="139" t="b">
        <f>IFERROR(__xludf.DUMMYFUNCTION("""COMPUTED_VALUE"""),TRUE)</f>
        <v>1</v>
      </c>
      <c r="E23" s="140" t="b">
        <f>IFERROR(__xludf.DUMMYFUNCTION("""COMPUTED_VALUE"""),TRUE)</f>
        <v>1</v>
      </c>
      <c r="F23" s="141" t="b">
        <f>IFERROR(__xludf.DUMMYFUNCTION("""COMPUTED_VALUE"""),FALSE)</f>
        <v>0</v>
      </c>
      <c r="G23" s="142" t="b">
        <f>IFERROR(__xludf.DUMMYFUNCTION("""COMPUTED_VALUE"""),TRUE)</f>
        <v>1</v>
      </c>
      <c r="H23" s="143" t="b">
        <f>IFERROR(__xludf.DUMMYFUNCTION("""COMPUTED_VALUE"""),TRUE)</f>
        <v>1</v>
      </c>
      <c r="I23" s="144" t="b">
        <f>IFERROR(__xludf.DUMMYFUNCTION("""COMPUTED_VALUE"""),TRUE)</f>
        <v>1</v>
      </c>
      <c r="J23" s="145" t="b">
        <f>IFERROR(__xludf.DUMMYFUNCTION("""COMPUTED_VALUE"""),FALSE)</f>
        <v>0</v>
      </c>
    </row>
    <row r="24">
      <c r="A24" s="136" t="str">
        <f>IFERROR(__xludf.DUMMYFUNCTION("""COMPUTED_VALUE"""),"LED HeadLights")</f>
        <v>LED HeadLights</v>
      </c>
      <c r="B24" s="137" t="b">
        <f>IFERROR(__xludf.DUMMYFUNCTION("""COMPUTED_VALUE"""),FALSE)</f>
        <v>0</v>
      </c>
      <c r="C24" s="138" t="b">
        <f>IFERROR(__xludf.DUMMYFUNCTION("""COMPUTED_VALUE"""),FALSE)</f>
        <v>0</v>
      </c>
      <c r="D24" s="139" t="b">
        <f>IFERROR(__xludf.DUMMYFUNCTION("""COMPUTED_VALUE"""),TRUE)</f>
        <v>1</v>
      </c>
      <c r="E24" s="140" t="b">
        <f>IFERROR(__xludf.DUMMYFUNCTION("""COMPUTED_VALUE"""),TRUE)</f>
        <v>1</v>
      </c>
      <c r="F24" s="141" t="b">
        <f>IFERROR(__xludf.DUMMYFUNCTION("""COMPUTED_VALUE"""),FALSE)</f>
        <v>0</v>
      </c>
      <c r="G24" s="142" t="b">
        <f>IFERROR(__xludf.DUMMYFUNCTION("""COMPUTED_VALUE"""),TRUE)</f>
        <v>1</v>
      </c>
      <c r="H24" s="143" t="b">
        <f>IFERROR(__xludf.DUMMYFUNCTION("""COMPUTED_VALUE"""),FALSE)</f>
        <v>0</v>
      </c>
      <c r="I24" s="144" t="b">
        <f>IFERROR(__xludf.DUMMYFUNCTION("""COMPUTED_VALUE"""),TRUE)</f>
        <v>1</v>
      </c>
      <c r="J24" s="145" t="b">
        <f>IFERROR(__xludf.DUMMYFUNCTION("""COMPUTED_VALUE"""),FALSE)</f>
        <v>0</v>
      </c>
    </row>
    <row r="25">
      <c r="A25" s="136" t="str">
        <f>IFERROR(__xludf.DUMMYFUNCTION("""COMPUTED_VALUE"""),"LED Tails")</f>
        <v>LED Tails</v>
      </c>
      <c r="B25" s="137" t="b">
        <f>IFERROR(__xludf.DUMMYFUNCTION("""COMPUTED_VALUE"""),TRUE)</f>
        <v>1</v>
      </c>
      <c r="C25" s="138" t="b">
        <f>IFERROR(__xludf.DUMMYFUNCTION("""COMPUTED_VALUE"""),FALSE)</f>
        <v>0</v>
      </c>
      <c r="D25" s="139" t="b">
        <f>IFERROR(__xludf.DUMMYFUNCTION("""COMPUTED_VALUE"""),FALSE)</f>
        <v>0</v>
      </c>
      <c r="E25" s="140" t="b">
        <f>IFERROR(__xludf.DUMMYFUNCTION("""COMPUTED_VALUE"""),TRUE)</f>
        <v>1</v>
      </c>
      <c r="F25" s="141" t="b">
        <f>IFERROR(__xludf.DUMMYFUNCTION("""COMPUTED_VALUE"""),FALSE)</f>
        <v>0</v>
      </c>
      <c r="G25" s="142" t="b">
        <f>IFERROR(__xludf.DUMMYFUNCTION("""COMPUTED_VALUE"""),FALSE)</f>
        <v>0</v>
      </c>
      <c r="H25" s="143" t="b">
        <f>IFERROR(__xludf.DUMMYFUNCTION("""COMPUTED_VALUE"""),TRUE)</f>
        <v>1</v>
      </c>
      <c r="I25" s="144" t="b">
        <f>IFERROR(__xludf.DUMMYFUNCTION("""COMPUTED_VALUE"""),FALSE)</f>
        <v>0</v>
      </c>
      <c r="J25" s="145" t="b">
        <f>IFERROR(__xludf.DUMMYFUNCTION("""COMPUTED_VALUE"""),FALSE)</f>
        <v>0</v>
      </c>
    </row>
    <row r="26">
      <c r="A26" s="136" t="str">
        <f>IFERROR(__xludf.DUMMYFUNCTION("""COMPUTED_VALUE"""),"Mileage")</f>
        <v>Mileage</v>
      </c>
      <c r="B26" s="137">
        <f>IFERROR(__xludf.DUMMYFUNCTION("""COMPUTED_VALUE"""),17.0)</f>
        <v>17</v>
      </c>
      <c r="C26" s="138">
        <f>IFERROR(__xludf.DUMMYFUNCTION("""COMPUTED_VALUE"""),17.03)</f>
        <v>17.03</v>
      </c>
      <c r="D26" s="139">
        <f>IFERROR(__xludf.DUMMYFUNCTION("""COMPUTED_VALUE"""),17.03)</f>
        <v>17.03</v>
      </c>
      <c r="E26" s="140">
        <f>IFERROR(__xludf.DUMMYFUNCTION("""COMPUTED_VALUE"""),17.52)</f>
        <v>17.52</v>
      </c>
      <c r="F26" s="141">
        <f>IFERROR(__xludf.DUMMYFUNCTION("""COMPUTED_VALUE"""),18.4)</f>
        <v>18.4</v>
      </c>
      <c r="G26" s="142">
        <f>IFERROR(__xludf.DUMMYFUNCTION("""COMPUTED_VALUE"""),20.0)</f>
        <v>20</v>
      </c>
      <c r="H26" s="143">
        <f>IFERROR(__xludf.DUMMYFUNCTION("""COMPUTED_VALUE"""),16.8)</f>
        <v>16.8</v>
      </c>
      <c r="I26" s="144">
        <f>IFERROR(__xludf.DUMMYFUNCTION("""COMPUTED_VALUE"""),18.75)</f>
        <v>18.75</v>
      </c>
      <c r="J26" s="145"/>
    </row>
    <row r="27">
      <c r="A27" s="136" t="str">
        <f>IFERROR(__xludf.DUMMYFUNCTION("""COMPUTED_VALUE"""),"MT/AMT")</f>
        <v>MT/AMT</v>
      </c>
      <c r="B27" s="137" t="str">
        <f>IFERROR(__xludf.DUMMYFUNCTION("""COMPUTED_VALUE"""),"MT")</f>
        <v>MT</v>
      </c>
      <c r="C27" s="138" t="str">
        <f>IFERROR(__xludf.DUMMYFUNCTION("""COMPUTED_VALUE"""),"MT")</f>
        <v>MT</v>
      </c>
      <c r="D27" s="139" t="str">
        <f>IFERROR(__xludf.DUMMYFUNCTION("""COMPUTED_VALUE"""),"MT")</f>
        <v>MT</v>
      </c>
      <c r="E27" s="140" t="str">
        <f>IFERROR(__xludf.DUMMYFUNCTION("""COMPUTED_VALUE"""),"MT")</f>
        <v>MT</v>
      </c>
      <c r="F27" s="141" t="str">
        <f>IFERROR(__xludf.DUMMYFUNCTION("""COMPUTED_VALUE"""),"MT")</f>
        <v>MT</v>
      </c>
      <c r="G27" s="142" t="str">
        <f>IFERROR(__xludf.DUMMYFUNCTION("""COMPUTED_VALUE"""),"MT")</f>
        <v>MT</v>
      </c>
      <c r="H27" s="143" t="str">
        <f>IFERROR(__xludf.DUMMYFUNCTION("""COMPUTED_VALUE"""),"MT")</f>
        <v>MT</v>
      </c>
      <c r="I27" s="144" t="str">
        <f>IFERROR(__xludf.DUMMYFUNCTION("""COMPUTED_VALUE"""),"MT")</f>
        <v>MT</v>
      </c>
      <c r="J27" s="145" t="str">
        <f>IFERROR(__xludf.DUMMYFUNCTION("""COMPUTED_VALUE"""),"MT")</f>
        <v>MT</v>
      </c>
    </row>
    <row r="28">
      <c r="A28" s="136" t="str">
        <f>IFERROR(__xludf.DUMMYFUNCTION("""COMPUTED_VALUE"""),"Navigation")</f>
        <v>Navigation</v>
      </c>
      <c r="B28" s="137" t="b">
        <f>IFERROR(__xludf.DUMMYFUNCTION("""COMPUTED_VALUE"""),TRUE)</f>
        <v>1</v>
      </c>
      <c r="C28" s="138" t="b">
        <f>IFERROR(__xludf.DUMMYFUNCTION("""COMPUTED_VALUE"""),FALSE)</f>
        <v>0</v>
      </c>
      <c r="D28" s="139" t="b">
        <f>IFERROR(__xludf.DUMMYFUNCTION("""COMPUTED_VALUE"""),TRUE)</f>
        <v>1</v>
      </c>
      <c r="E28" s="140" t="b">
        <f>IFERROR(__xludf.DUMMYFUNCTION("""COMPUTED_VALUE"""),FALSE)</f>
        <v>0</v>
      </c>
      <c r="F28" s="141" t="b">
        <f>IFERROR(__xludf.DUMMYFUNCTION("""COMPUTED_VALUE"""),FALSE)</f>
        <v>0</v>
      </c>
      <c r="G28" s="142" t="b">
        <f>IFERROR(__xludf.DUMMYFUNCTION("""COMPUTED_VALUE"""),FALSE)</f>
        <v>0</v>
      </c>
      <c r="H28" s="143" t="b">
        <f>IFERROR(__xludf.DUMMYFUNCTION("""COMPUTED_VALUE"""),FALSE)</f>
        <v>0</v>
      </c>
      <c r="I28" s="144" t="b">
        <f>IFERROR(__xludf.DUMMYFUNCTION("""COMPUTED_VALUE"""),FALSE)</f>
        <v>0</v>
      </c>
      <c r="J28" s="145" t="b">
        <f>IFERROR(__xludf.DUMMYFUNCTION("""COMPUTED_VALUE"""),FALSE)</f>
        <v>0</v>
      </c>
    </row>
    <row r="29">
      <c r="A29" s="136" t="str">
        <f>IFERROR(__xludf.DUMMYFUNCTION("""COMPUTED_VALUE"""),"Power Steering")</f>
        <v>Power Steering</v>
      </c>
      <c r="B29" s="137" t="b">
        <f>IFERROR(__xludf.DUMMYFUNCTION("""COMPUTED_VALUE"""),TRUE)</f>
        <v>1</v>
      </c>
      <c r="C29" s="138" t="b">
        <f>IFERROR(__xludf.DUMMYFUNCTION("""COMPUTED_VALUE"""),TRUE)</f>
        <v>1</v>
      </c>
      <c r="D29" s="139" t="b">
        <f>IFERROR(__xludf.DUMMYFUNCTION("""COMPUTED_VALUE"""),TRUE)</f>
        <v>1</v>
      </c>
      <c r="E29" s="140" t="b">
        <f>IFERROR(__xludf.DUMMYFUNCTION("""COMPUTED_VALUE"""),TRUE)</f>
        <v>1</v>
      </c>
      <c r="F29" s="141" t="b">
        <f>IFERROR(__xludf.DUMMYFUNCTION("""COMPUTED_VALUE"""),TRUE)</f>
        <v>1</v>
      </c>
      <c r="G29" s="142" t="b">
        <f>IFERROR(__xludf.DUMMYFUNCTION("""COMPUTED_VALUE"""),TRUE)</f>
        <v>1</v>
      </c>
      <c r="H29" s="143" t="b">
        <f>IFERROR(__xludf.DUMMYFUNCTION("""COMPUTED_VALUE"""),TRUE)</f>
        <v>1</v>
      </c>
      <c r="I29" s="144" t="b">
        <f>IFERROR(__xludf.DUMMYFUNCTION("""COMPUTED_VALUE"""),TRUE)</f>
        <v>1</v>
      </c>
      <c r="J29" s="145" t="b">
        <f>IFERROR(__xludf.DUMMYFUNCTION("""COMPUTED_VALUE"""),TRUE)</f>
        <v>1</v>
      </c>
    </row>
    <row r="30">
      <c r="A30" s="136" t="str">
        <f>IFERROR(__xludf.DUMMYFUNCTION("""COMPUTED_VALUE"""),"Power Windows Front")</f>
        <v>Power Windows Front</v>
      </c>
      <c r="B30" s="137" t="b">
        <f>IFERROR(__xludf.DUMMYFUNCTION("""COMPUTED_VALUE"""),TRUE)</f>
        <v>1</v>
      </c>
      <c r="C30" s="138" t="b">
        <f>IFERROR(__xludf.DUMMYFUNCTION("""COMPUTED_VALUE"""),TRUE)</f>
        <v>1</v>
      </c>
      <c r="D30" s="139" t="b">
        <f>IFERROR(__xludf.DUMMYFUNCTION("""COMPUTED_VALUE"""),TRUE)</f>
        <v>1</v>
      </c>
      <c r="E30" s="140" t="b">
        <f>IFERROR(__xludf.DUMMYFUNCTION("""COMPUTED_VALUE"""),TRUE)</f>
        <v>1</v>
      </c>
      <c r="F30" s="141" t="b">
        <f>IFERROR(__xludf.DUMMYFUNCTION("""COMPUTED_VALUE"""),TRUE)</f>
        <v>1</v>
      </c>
      <c r="G30" s="142" t="b">
        <f>IFERROR(__xludf.DUMMYFUNCTION("""COMPUTED_VALUE"""),TRUE)</f>
        <v>1</v>
      </c>
      <c r="H30" s="143" t="b">
        <f>IFERROR(__xludf.DUMMYFUNCTION("""COMPUTED_VALUE"""),TRUE)</f>
        <v>1</v>
      </c>
      <c r="I30" s="144" t="b">
        <f>IFERROR(__xludf.DUMMYFUNCTION("""COMPUTED_VALUE"""),TRUE)</f>
        <v>1</v>
      </c>
      <c r="J30" s="145" t="b">
        <f>IFERROR(__xludf.DUMMYFUNCTION("""COMPUTED_VALUE"""),TRUE)</f>
        <v>1</v>
      </c>
    </row>
    <row r="31">
      <c r="A31" s="136" t="str">
        <f>IFERROR(__xludf.DUMMYFUNCTION("""COMPUTED_VALUE"""),"Power Windows Rear")</f>
        <v>Power Windows Rear</v>
      </c>
      <c r="B31" s="137" t="b">
        <f>IFERROR(__xludf.DUMMYFUNCTION("""COMPUTED_VALUE"""),TRUE)</f>
        <v>1</v>
      </c>
      <c r="C31" s="138" t="b">
        <f>IFERROR(__xludf.DUMMYFUNCTION("""COMPUTED_VALUE"""),TRUE)</f>
        <v>1</v>
      </c>
      <c r="D31" s="139" t="b">
        <f>IFERROR(__xludf.DUMMYFUNCTION("""COMPUTED_VALUE"""),TRUE)</f>
        <v>1</v>
      </c>
      <c r="E31" s="140" t="b">
        <f>IFERROR(__xludf.DUMMYFUNCTION("""COMPUTED_VALUE"""),TRUE)</f>
        <v>1</v>
      </c>
      <c r="F31" s="141" t="b">
        <f>IFERROR(__xludf.DUMMYFUNCTION("""COMPUTED_VALUE"""),TRUE)</f>
        <v>1</v>
      </c>
      <c r="G31" s="142" t="b">
        <f>IFERROR(__xludf.DUMMYFUNCTION("""COMPUTED_VALUE"""),TRUE)</f>
        <v>1</v>
      </c>
      <c r="H31" s="143" t="b">
        <f>IFERROR(__xludf.DUMMYFUNCTION("""COMPUTED_VALUE"""),TRUE)</f>
        <v>1</v>
      </c>
      <c r="I31" s="144" t="b">
        <f>IFERROR(__xludf.DUMMYFUNCTION("""COMPUTED_VALUE"""),TRUE)</f>
        <v>1</v>
      </c>
      <c r="J31" s="145" t="b">
        <f>IFERROR(__xludf.DUMMYFUNCTION("""COMPUTED_VALUE"""),TRUE)</f>
        <v>1</v>
      </c>
    </row>
    <row r="32">
      <c r="A32" s="136" t="str">
        <f>IFERROR(__xludf.DUMMYFUNCTION("""COMPUTED_VALUE"""),"Projector Headlamps")</f>
        <v>Projector Headlamps</v>
      </c>
      <c r="B32" s="137" t="b">
        <f>IFERROR(__xludf.DUMMYFUNCTION("""COMPUTED_VALUE"""),TRUE)</f>
        <v>1</v>
      </c>
      <c r="C32" s="138" t="b">
        <f>IFERROR(__xludf.DUMMYFUNCTION("""COMPUTED_VALUE"""),FALSE)</f>
        <v>0</v>
      </c>
      <c r="D32" s="139" t="b">
        <f>IFERROR(__xludf.DUMMYFUNCTION("""COMPUTED_VALUE"""),TRUE)</f>
        <v>1</v>
      </c>
      <c r="E32" s="140" t="b">
        <f>IFERROR(__xludf.DUMMYFUNCTION("""COMPUTED_VALUE"""),TRUE)</f>
        <v>1</v>
      </c>
      <c r="F32" s="141" t="b">
        <f>IFERROR(__xludf.DUMMYFUNCTION("""COMPUTED_VALUE"""),FALSE)</f>
        <v>0</v>
      </c>
      <c r="G32" s="142" t="b">
        <f>IFERROR(__xludf.DUMMYFUNCTION("""COMPUTED_VALUE"""),TRUE)</f>
        <v>1</v>
      </c>
      <c r="H32" s="143" t="b">
        <f>IFERROR(__xludf.DUMMYFUNCTION("""COMPUTED_VALUE"""),TRUE)</f>
        <v>1</v>
      </c>
      <c r="I32" s="144" t="b">
        <f>IFERROR(__xludf.DUMMYFUNCTION("""COMPUTED_VALUE"""),TRUE)</f>
        <v>1</v>
      </c>
      <c r="J32" s="145" t="b">
        <f>IFERROR(__xludf.DUMMYFUNCTION("""COMPUTED_VALUE"""),FALSE)</f>
        <v>0</v>
      </c>
    </row>
    <row r="33">
      <c r="A33" s="136" t="str">
        <f>IFERROR(__xludf.DUMMYFUNCTION("""COMPUTED_VALUE"""),"Rain Sensing Wipers")</f>
        <v>Rain Sensing Wipers</v>
      </c>
      <c r="B33" s="137" t="b">
        <f>IFERROR(__xludf.DUMMYFUNCTION("""COMPUTED_VALUE"""),TRUE)</f>
        <v>1</v>
      </c>
      <c r="C33" s="138" t="b">
        <f>IFERROR(__xludf.DUMMYFUNCTION("""COMPUTED_VALUE"""),FALSE)</f>
        <v>0</v>
      </c>
      <c r="D33" s="139" t="b">
        <f>IFERROR(__xludf.DUMMYFUNCTION("""COMPUTED_VALUE"""),FALSE)</f>
        <v>0</v>
      </c>
      <c r="E33" s="140" t="b">
        <f>IFERROR(__xludf.DUMMYFUNCTION("""COMPUTED_VALUE"""),FALSE)</f>
        <v>0</v>
      </c>
      <c r="F33" s="141" t="b">
        <f>IFERROR(__xludf.DUMMYFUNCTION("""COMPUTED_VALUE"""),FALSE)</f>
        <v>0</v>
      </c>
      <c r="G33" s="142" t="b">
        <f>IFERROR(__xludf.DUMMYFUNCTION("""COMPUTED_VALUE"""),FALSE)</f>
        <v>0</v>
      </c>
      <c r="H33" s="143" t="b">
        <f>IFERROR(__xludf.DUMMYFUNCTION("""COMPUTED_VALUE"""),FALSE)</f>
        <v>0</v>
      </c>
      <c r="I33" s="144" t="b">
        <f>IFERROR(__xludf.DUMMYFUNCTION("""COMPUTED_VALUE"""),FALSE)</f>
        <v>0</v>
      </c>
      <c r="J33" s="145" t="b">
        <f>IFERROR(__xludf.DUMMYFUNCTION("""COMPUTED_VALUE"""),FALSE)</f>
        <v>0</v>
      </c>
    </row>
    <row r="34">
      <c r="A34" s="136" t="str">
        <f>IFERROR(__xludf.DUMMYFUNCTION("""COMPUTED_VALUE"""),"Rear AC vents")</f>
        <v>Rear AC vents</v>
      </c>
      <c r="B34" s="137" t="b">
        <f>IFERROR(__xludf.DUMMYFUNCTION("""COMPUTED_VALUE"""),TRUE)</f>
        <v>1</v>
      </c>
      <c r="C34" s="138" t="b">
        <f>IFERROR(__xludf.DUMMYFUNCTION("""COMPUTED_VALUE"""),FALSE)</f>
        <v>0</v>
      </c>
      <c r="D34" s="139" t="b">
        <f>IFERROR(__xludf.DUMMYFUNCTION("""COMPUTED_VALUE"""),FALSE)</f>
        <v>0</v>
      </c>
      <c r="E34" s="140" t="b">
        <f>IFERROR(__xludf.DUMMYFUNCTION("""COMPUTED_VALUE"""),TRUE)</f>
        <v>1</v>
      </c>
      <c r="F34" s="141" t="b">
        <f>IFERROR(__xludf.DUMMYFUNCTION("""COMPUTED_VALUE"""),TRUE)</f>
        <v>1</v>
      </c>
      <c r="G34" s="142" t="b">
        <f>IFERROR(__xludf.DUMMYFUNCTION("""COMPUTED_VALUE"""),TRUE)</f>
        <v>1</v>
      </c>
      <c r="H34" s="143" t="b">
        <f>IFERROR(__xludf.DUMMYFUNCTION("""COMPUTED_VALUE"""),TRUE)</f>
        <v>1</v>
      </c>
      <c r="I34" s="144" t="b">
        <f>IFERROR(__xludf.DUMMYFUNCTION("""COMPUTED_VALUE"""),TRUE)</f>
        <v>1</v>
      </c>
      <c r="J34" s="145" t="b">
        <f>IFERROR(__xludf.DUMMYFUNCTION("""COMPUTED_VALUE"""),TRUE)</f>
        <v>1</v>
      </c>
    </row>
    <row r="35">
      <c r="A35" s="136" t="str">
        <f>IFERROR(__xludf.DUMMYFUNCTION("""COMPUTED_VALUE"""),"Rear Camera")</f>
        <v>Rear Camera</v>
      </c>
      <c r="B35" s="137" t="b">
        <f>IFERROR(__xludf.DUMMYFUNCTION("""COMPUTED_VALUE"""),TRUE)</f>
        <v>1</v>
      </c>
      <c r="C35" s="138" t="b">
        <f>IFERROR(__xludf.DUMMYFUNCTION("""COMPUTED_VALUE"""),FALSE)</f>
        <v>0</v>
      </c>
      <c r="D35" s="139" t="b">
        <f>IFERROR(__xludf.DUMMYFUNCTION("""COMPUTED_VALUE"""),FALSE)</f>
        <v>0</v>
      </c>
      <c r="E35" s="140" t="b">
        <f>IFERROR(__xludf.DUMMYFUNCTION("""COMPUTED_VALUE"""),TRUE)</f>
        <v>1</v>
      </c>
      <c r="F35" s="141" t="b">
        <f>IFERROR(__xludf.DUMMYFUNCTION("""COMPUTED_VALUE"""),TRUE)</f>
        <v>1</v>
      </c>
      <c r="G35" s="142">
        <f>IFERROR(__xludf.DUMMYFUNCTION("""COMPUTED_VALUE"""),360.0)</f>
        <v>360</v>
      </c>
      <c r="H35" s="143" t="b">
        <f>IFERROR(__xludf.DUMMYFUNCTION("""COMPUTED_VALUE"""),TRUE)</f>
        <v>1</v>
      </c>
      <c r="I35" s="144" t="b">
        <f>IFERROR(__xludf.DUMMYFUNCTION("""COMPUTED_VALUE"""),TRUE)</f>
        <v>1</v>
      </c>
      <c r="J35" s="145" t="b">
        <f>IFERROR(__xludf.DUMMYFUNCTION("""COMPUTED_VALUE"""),FALSE)</f>
        <v>0</v>
      </c>
    </row>
    <row r="36">
      <c r="A36" s="136" t="str">
        <f>IFERROR(__xludf.DUMMYFUNCTION("""COMPUTED_VALUE"""),"Rear Defogger")</f>
        <v>Rear Defogger</v>
      </c>
      <c r="B36" s="137" t="b">
        <f>IFERROR(__xludf.DUMMYFUNCTION("""COMPUTED_VALUE"""),TRUE)</f>
        <v>1</v>
      </c>
      <c r="C36" s="138" t="b">
        <f>IFERROR(__xludf.DUMMYFUNCTION("""COMPUTED_VALUE"""),FALSE)</f>
        <v>0</v>
      </c>
      <c r="D36" s="139" t="b">
        <f>IFERROR(__xludf.DUMMYFUNCTION("""COMPUTED_VALUE"""),TRUE)</f>
        <v>1</v>
      </c>
      <c r="E36" s="140" t="b">
        <f>IFERROR(__xludf.DUMMYFUNCTION("""COMPUTED_VALUE"""),TRUE)</f>
        <v>1</v>
      </c>
      <c r="F36" s="141" t="b">
        <f>IFERROR(__xludf.DUMMYFUNCTION("""COMPUTED_VALUE"""),TRUE)</f>
        <v>1</v>
      </c>
      <c r="G36" s="142" t="b">
        <f>IFERROR(__xludf.DUMMYFUNCTION("""COMPUTED_VALUE"""),TRUE)</f>
        <v>1</v>
      </c>
      <c r="H36" s="143" t="b">
        <f>IFERROR(__xludf.DUMMYFUNCTION("""COMPUTED_VALUE"""),TRUE)</f>
        <v>1</v>
      </c>
      <c r="I36" s="144" t="b">
        <f>IFERROR(__xludf.DUMMYFUNCTION("""COMPUTED_VALUE"""),TRUE)</f>
        <v>1</v>
      </c>
      <c r="J36" s="145" t="b">
        <f>IFERROR(__xludf.DUMMYFUNCTION("""COMPUTED_VALUE"""),FALSE)</f>
        <v>0</v>
      </c>
    </row>
    <row r="37">
      <c r="A37" s="136" t="str">
        <f>IFERROR(__xludf.DUMMYFUNCTION("""COMPUTED_VALUE"""),"Rear Washer")</f>
        <v>Rear Washer</v>
      </c>
      <c r="B37" s="137" t="b">
        <f>IFERROR(__xludf.DUMMYFUNCTION("""COMPUTED_VALUE"""),FALSE)</f>
        <v>0</v>
      </c>
      <c r="C37" s="138" t="b">
        <f>IFERROR(__xludf.DUMMYFUNCTION("""COMPUTED_VALUE"""),FALSE)</f>
        <v>0</v>
      </c>
      <c r="D37" s="139" t="b">
        <f>IFERROR(__xludf.DUMMYFUNCTION("""COMPUTED_VALUE"""),FALSE)</f>
        <v>0</v>
      </c>
      <c r="E37" s="140" t="b">
        <f>IFERROR(__xludf.DUMMYFUNCTION("""COMPUTED_VALUE"""),FALSE)</f>
        <v>0</v>
      </c>
      <c r="F37" s="141" t="b">
        <f>IFERROR(__xludf.DUMMYFUNCTION("""COMPUTED_VALUE"""),FALSE)</f>
        <v>0</v>
      </c>
      <c r="G37" s="142" t="b">
        <f>IFERROR(__xludf.DUMMYFUNCTION("""COMPUTED_VALUE"""),TRUE)</f>
        <v>1</v>
      </c>
      <c r="H37" s="143" t="b">
        <f>IFERROR(__xludf.DUMMYFUNCTION("""COMPUTED_VALUE"""),TRUE)</f>
        <v>1</v>
      </c>
      <c r="I37" s="144" t="b">
        <f>IFERROR(__xludf.DUMMYFUNCTION("""COMPUTED_VALUE"""),TRUE)</f>
        <v>1</v>
      </c>
      <c r="J37" s="145" t="b">
        <f>IFERROR(__xludf.DUMMYFUNCTION("""COMPUTED_VALUE"""),FALSE)</f>
        <v>0</v>
      </c>
    </row>
    <row r="38">
      <c r="A38" s="136" t="str">
        <f>IFERROR(__xludf.DUMMYFUNCTION("""COMPUTED_VALUE"""),"Rear Wiper")</f>
        <v>Rear Wiper</v>
      </c>
      <c r="B38" s="137" t="b">
        <f>IFERROR(__xludf.DUMMYFUNCTION("""COMPUTED_VALUE"""),TRUE)</f>
        <v>1</v>
      </c>
      <c r="C38" s="138" t="b">
        <f>IFERROR(__xludf.DUMMYFUNCTION("""COMPUTED_VALUE"""),FALSE)</f>
        <v>0</v>
      </c>
      <c r="D38" s="139" t="b">
        <f>IFERROR(__xludf.DUMMYFUNCTION("""COMPUTED_VALUE"""),TRUE)</f>
        <v>1</v>
      </c>
      <c r="E38" s="140" t="b">
        <f>IFERROR(__xludf.DUMMYFUNCTION("""COMPUTED_VALUE"""),FALSE)</f>
        <v>0</v>
      </c>
      <c r="F38" s="141" t="b">
        <f>IFERROR(__xludf.DUMMYFUNCTION("""COMPUTED_VALUE"""),FALSE)</f>
        <v>0</v>
      </c>
      <c r="G38" s="142" t="b">
        <f>IFERROR(__xludf.DUMMYFUNCTION("""COMPUTED_VALUE"""),TRUE)</f>
        <v>1</v>
      </c>
      <c r="H38" s="143" t="b">
        <f>IFERROR(__xludf.DUMMYFUNCTION("""COMPUTED_VALUE"""),TRUE)</f>
        <v>1</v>
      </c>
      <c r="I38" s="144" t="b">
        <f>IFERROR(__xludf.DUMMYFUNCTION("""COMPUTED_VALUE"""),TRUE)</f>
        <v>1</v>
      </c>
      <c r="J38" s="145" t="b">
        <f>IFERROR(__xludf.DUMMYFUNCTION("""COMPUTED_VALUE"""),FALSE)</f>
        <v>0</v>
      </c>
    </row>
    <row r="39">
      <c r="A39" s="136" t="str">
        <f>IFERROR(__xludf.DUMMYFUNCTION("""COMPUTED_VALUE"""),"Roof Rail")</f>
        <v>Roof Rail</v>
      </c>
      <c r="B39" s="137" t="b">
        <f>IFERROR(__xludf.DUMMYFUNCTION("""COMPUTED_VALUE"""),TRUE)</f>
        <v>1</v>
      </c>
      <c r="C39" s="138" t="b">
        <f>IFERROR(__xludf.DUMMYFUNCTION("""COMPUTED_VALUE"""),FALSE)</f>
        <v>0</v>
      </c>
      <c r="D39" s="139" t="b">
        <f>IFERROR(__xludf.DUMMYFUNCTION("""COMPUTED_VALUE"""),TRUE)</f>
        <v>1</v>
      </c>
      <c r="E39" s="140" t="b">
        <f>IFERROR(__xludf.DUMMYFUNCTION("""COMPUTED_VALUE"""),TRUE)</f>
        <v>1</v>
      </c>
      <c r="F39" s="141" t="b">
        <f>IFERROR(__xludf.DUMMYFUNCTION("""COMPUTED_VALUE"""),TRUE)</f>
        <v>1</v>
      </c>
      <c r="G39" s="142" t="b">
        <f>IFERROR(__xludf.DUMMYFUNCTION("""COMPUTED_VALUE"""),TRUE)</f>
        <v>1</v>
      </c>
      <c r="H39" s="143" t="b">
        <f>IFERROR(__xludf.DUMMYFUNCTION("""COMPUTED_VALUE"""),TRUE)</f>
        <v>1</v>
      </c>
      <c r="I39" s="144" t="b">
        <f>IFERROR(__xludf.DUMMYFUNCTION("""COMPUTED_VALUE"""),TRUE)</f>
        <v>1</v>
      </c>
      <c r="J39" s="145" t="b">
        <f>IFERROR(__xludf.DUMMYFUNCTION("""COMPUTED_VALUE"""),FALSE)</f>
        <v>0</v>
      </c>
    </row>
    <row r="40">
      <c r="A40" s="136" t="str">
        <f>IFERROR(__xludf.DUMMYFUNCTION("""COMPUTED_VALUE"""),"Speakers Front")</f>
        <v>Speakers Front</v>
      </c>
      <c r="B40" s="137" t="b">
        <f>IFERROR(__xludf.DUMMYFUNCTION("""COMPUTED_VALUE"""),TRUE)</f>
        <v>1</v>
      </c>
      <c r="C40" s="138" t="b">
        <f>IFERROR(__xludf.DUMMYFUNCTION("""COMPUTED_VALUE"""),TRUE)</f>
        <v>1</v>
      </c>
      <c r="D40" s="139" t="b">
        <f>IFERROR(__xludf.DUMMYFUNCTION("""COMPUTED_VALUE"""),TRUE)</f>
        <v>1</v>
      </c>
      <c r="E40" s="140" t="b">
        <f>IFERROR(__xludf.DUMMYFUNCTION("""COMPUTED_VALUE"""),TRUE)</f>
        <v>1</v>
      </c>
      <c r="F40" s="141" t="b">
        <f>IFERROR(__xludf.DUMMYFUNCTION("""COMPUTED_VALUE"""),TRUE)</f>
        <v>1</v>
      </c>
      <c r="G40" s="142" t="b">
        <f>IFERROR(__xludf.DUMMYFUNCTION("""COMPUTED_VALUE"""),TRUE)</f>
        <v>1</v>
      </c>
      <c r="H40" s="143" t="b">
        <f>IFERROR(__xludf.DUMMYFUNCTION("""COMPUTED_VALUE"""),TRUE)</f>
        <v>1</v>
      </c>
      <c r="I40" s="144" t="b">
        <f>IFERROR(__xludf.DUMMYFUNCTION("""COMPUTED_VALUE"""),TRUE)</f>
        <v>1</v>
      </c>
      <c r="J40" s="145" t="b">
        <f>IFERROR(__xludf.DUMMYFUNCTION("""COMPUTED_VALUE"""),TRUE)</f>
        <v>1</v>
      </c>
    </row>
    <row r="41">
      <c r="A41" s="136" t="str">
        <f>IFERROR(__xludf.DUMMYFUNCTION("""COMPUTED_VALUE"""),"Speakers Rear")</f>
        <v>Speakers Rear</v>
      </c>
      <c r="B41" s="137" t="b">
        <f>IFERROR(__xludf.DUMMYFUNCTION("""COMPUTED_VALUE"""),TRUE)</f>
        <v>1</v>
      </c>
      <c r="C41" s="138" t="b">
        <f>IFERROR(__xludf.DUMMYFUNCTION("""COMPUTED_VALUE"""),TRUE)</f>
        <v>1</v>
      </c>
      <c r="D41" s="139" t="b">
        <f>IFERROR(__xludf.DUMMYFUNCTION("""COMPUTED_VALUE"""),TRUE)</f>
        <v>1</v>
      </c>
      <c r="E41" s="140" t="b">
        <f>IFERROR(__xludf.DUMMYFUNCTION("""COMPUTED_VALUE"""),TRUE)</f>
        <v>1</v>
      </c>
      <c r="F41" s="141" t="b">
        <f>IFERROR(__xludf.DUMMYFUNCTION("""COMPUTED_VALUE"""),TRUE)</f>
        <v>1</v>
      </c>
      <c r="G41" s="142" t="b">
        <f>IFERROR(__xludf.DUMMYFUNCTION("""COMPUTED_VALUE"""),TRUE)</f>
        <v>1</v>
      </c>
      <c r="H41" s="143" t="b">
        <f>IFERROR(__xludf.DUMMYFUNCTION("""COMPUTED_VALUE"""),TRUE)</f>
        <v>1</v>
      </c>
      <c r="I41" s="144" t="b">
        <f>IFERROR(__xludf.DUMMYFUNCTION("""COMPUTED_VALUE"""),TRUE)</f>
        <v>1</v>
      </c>
      <c r="J41" s="145" t="b">
        <f>IFERROR(__xludf.DUMMYFUNCTION("""COMPUTED_VALUE"""),TRUE)</f>
        <v>1</v>
      </c>
    </row>
    <row r="42">
      <c r="A42" s="136" t="str">
        <f>IFERROR(__xludf.DUMMYFUNCTION("""COMPUTED_VALUE"""),"Sun Roof")</f>
        <v>Sun Roof</v>
      </c>
      <c r="B42" s="137" t="b">
        <f>IFERROR(__xludf.DUMMYFUNCTION("""COMPUTED_VALUE"""),FALSE)</f>
        <v>0</v>
      </c>
      <c r="C42" s="138" t="b">
        <f>IFERROR(__xludf.DUMMYFUNCTION("""COMPUTED_VALUE"""),FALSE)</f>
        <v>0</v>
      </c>
      <c r="D42" s="139" t="b">
        <f>IFERROR(__xludf.DUMMYFUNCTION("""COMPUTED_VALUE"""),FALSE)</f>
        <v>0</v>
      </c>
      <c r="E42" s="140" t="b">
        <f>IFERROR(__xludf.DUMMYFUNCTION("""COMPUTED_VALUE"""),FALSE)</f>
        <v>0</v>
      </c>
      <c r="F42" s="141" t="b">
        <f>IFERROR(__xludf.DUMMYFUNCTION("""COMPUTED_VALUE"""),FALSE)</f>
        <v>0</v>
      </c>
      <c r="G42" s="142" t="b">
        <f>IFERROR(__xludf.DUMMYFUNCTION("""COMPUTED_VALUE"""),FALSE)</f>
        <v>0</v>
      </c>
      <c r="H42" s="143" t="b">
        <f>IFERROR(__xludf.DUMMYFUNCTION("""COMPUTED_VALUE"""),FALSE)</f>
        <v>0</v>
      </c>
      <c r="I42" s="144" t="b">
        <f>IFERROR(__xludf.DUMMYFUNCTION("""COMPUTED_VALUE"""),FALSE)</f>
        <v>0</v>
      </c>
      <c r="J42" s="145" t="b">
        <f>IFERROR(__xludf.DUMMYFUNCTION("""COMPUTED_VALUE"""),FALSE)</f>
        <v>0</v>
      </c>
    </row>
    <row r="43">
      <c r="A43" s="136" t="str">
        <f>IFERROR(__xludf.DUMMYFUNCTION("""COMPUTED_VALUE"""),"Touch Screen")</f>
        <v>Touch Screen</v>
      </c>
      <c r="B43" s="137" t="b">
        <f>IFERROR(__xludf.DUMMYFUNCTION("""COMPUTED_VALUE"""),TRUE)</f>
        <v>1</v>
      </c>
      <c r="C43" s="138" t="b">
        <f>IFERROR(__xludf.DUMMYFUNCTION("""COMPUTED_VALUE"""),FALSE)</f>
        <v>0</v>
      </c>
      <c r="D43" s="139" t="b">
        <f>IFERROR(__xludf.DUMMYFUNCTION("""COMPUTED_VALUE"""),TRUE)</f>
        <v>1</v>
      </c>
      <c r="E43" s="140" t="b">
        <f>IFERROR(__xludf.DUMMYFUNCTION("""COMPUTED_VALUE"""),TRUE)</f>
        <v>1</v>
      </c>
      <c r="F43" s="141" t="b">
        <f>IFERROR(__xludf.DUMMYFUNCTION("""COMPUTED_VALUE"""),TRUE)</f>
        <v>1</v>
      </c>
      <c r="G43" s="142" t="b">
        <f>IFERROR(__xludf.DUMMYFUNCTION("""COMPUTED_VALUE"""),TRUE)</f>
        <v>1</v>
      </c>
      <c r="H43" s="143" t="b">
        <f>IFERROR(__xludf.DUMMYFUNCTION("""COMPUTED_VALUE"""),TRUE)</f>
        <v>1</v>
      </c>
      <c r="I43" s="144" t="b">
        <f>IFERROR(__xludf.DUMMYFUNCTION("""COMPUTED_VALUE"""),TRUE)</f>
        <v>1</v>
      </c>
      <c r="J43" s="145" t="b">
        <f>IFERROR(__xludf.DUMMYFUNCTION("""COMPUTED_VALUE"""),FALSE)</f>
        <v>0</v>
      </c>
    </row>
    <row r="44">
      <c r="A44" s="136" t="str">
        <f>IFERROR(__xludf.DUMMYFUNCTION("""COMPUTED_VALUE"""),"Turbo Charger")</f>
        <v>Turbo Charger</v>
      </c>
      <c r="B44" s="137" t="b">
        <f>IFERROR(__xludf.DUMMYFUNCTION("""COMPUTED_VALUE"""),TRUE)</f>
        <v>1</v>
      </c>
      <c r="C44" s="138" t="b">
        <f>IFERROR(__xludf.DUMMYFUNCTION("""COMPUTED_VALUE"""),FALSE)</f>
        <v>0</v>
      </c>
      <c r="D44" s="139" t="b">
        <f>IFERROR(__xludf.DUMMYFUNCTION("""COMPUTED_VALUE"""),FALSE)</f>
        <v>0</v>
      </c>
      <c r="E44" s="140" t="b">
        <f>IFERROR(__xludf.DUMMYFUNCTION("""COMPUTED_VALUE"""),FALSE)</f>
        <v>0</v>
      </c>
      <c r="F44" s="141" t="b">
        <f>IFERROR(__xludf.DUMMYFUNCTION("""COMPUTED_VALUE"""),FALSE)</f>
        <v>0</v>
      </c>
      <c r="G44" s="142" t="b">
        <f>IFERROR(__xludf.DUMMYFUNCTION("""COMPUTED_VALUE"""),TRUE)</f>
        <v>1</v>
      </c>
      <c r="H44" s="143" t="b">
        <f>IFERROR(__xludf.DUMMYFUNCTION("""COMPUTED_VALUE"""),FALSE)</f>
        <v>0</v>
      </c>
      <c r="I44" s="144" t="b">
        <f>IFERROR(__xludf.DUMMYFUNCTION("""COMPUTED_VALUE"""),FALSE)</f>
        <v>0</v>
      </c>
      <c r="J44" s="145" t="b">
        <f>IFERROR(__xludf.DUMMYFUNCTION("""COMPUTED_VALUE"""),FALSE)</f>
        <v>0</v>
      </c>
    </row>
    <row r="45">
      <c r="A45" s="136" t="str">
        <f>IFERROR(__xludf.DUMMYFUNCTION("""COMPUTED_VALUE"""),"USB/Aux")</f>
        <v>USB/Aux</v>
      </c>
      <c r="B45" s="137" t="b">
        <f>IFERROR(__xludf.DUMMYFUNCTION("""COMPUTED_VALUE"""),TRUE)</f>
        <v>1</v>
      </c>
      <c r="C45" s="138" t="b">
        <f>IFERROR(__xludf.DUMMYFUNCTION("""COMPUTED_VALUE"""),TRUE)</f>
        <v>1</v>
      </c>
      <c r="D45" s="139" t="b">
        <f>IFERROR(__xludf.DUMMYFUNCTION("""COMPUTED_VALUE"""),TRUE)</f>
        <v>1</v>
      </c>
      <c r="E45" s="140" t="b">
        <f>IFERROR(__xludf.DUMMYFUNCTION("""COMPUTED_VALUE"""),TRUE)</f>
        <v>1</v>
      </c>
      <c r="F45" s="141" t="b">
        <f>IFERROR(__xludf.DUMMYFUNCTION("""COMPUTED_VALUE"""),TRUE)</f>
        <v>1</v>
      </c>
      <c r="G45" s="142" t="b">
        <f>IFERROR(__xludf.DUMMYFUNCTION("""COMPUTED_VALUE"""),TRUE)</f>
        <v>1</v>
      </c>
      <c r="H45" s="143" t="b">
        <f>IFERROR(__xludf.DUMMYFUNCTION("""COMPUTED_VALUE"""),TRUE)</f>
        <v>1</v>
      </c>
      <c r="I45" s="144" t="b">
        <f>IFERROR(__xludf.DUMMYFUNCTION("""COMPUTED_VALUE"""),TRUE)</f>
        <v>1</v>
      </c>
      <c r="J45" s="145" t="b">
        <f>IFERROR(__xludf.DUMMYFUNCTION("""COMPUTED_VALUE"""),TRUE)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22.88"/>
    <col customWidth="1" min="13" max="13" width="19.63"/>
    <col customWidth="1" min="14" max="14" width="22.63"/>
  </cols>
  <sheetData>
    <row r="1">
      <c r="A1" s="146" t="str">
        <f>IFERROR(__xludf.DUMMYFUNCTION("IMPORTRANGE(""https://docs.google.com/spreadsheets/d/12hINl2RSscJf6-RWNi9uwwdP2CD9HfCa6qX4-NqGCSI/edit#gid=926323175"",""Car Evaluation!A1:A45"")"),"Feature/Car Model")</f>
        <v>Feature/Car Model</v>
      </c>
      <c r="B1" s="147" t="str">
        <f>IFERROR(__xludf.DUMMYFUNCTION("IMPORTRANGE(""https://docs.google.com/spreadsheets/d/12hINl2RSscJf6-RWNi9uwwdP2CD9HfCa6qX4-NqGCSI/edit#gid=926323175"",""Car Evaluation!AY1:AY45"")"),"Magnite XV Premium")</f>
        <v>Magnite XV Premium</v>
      </c>
      <c r="C1" s="148" t="str">
        <f>IFERROR(__xludf.DUMMYFUNCTION("IMPORTRANGE(""https://docs.google.com/spreadsheets/d/12hINl2RSscJf6-RWNi9uwwdP2CD9HfCa6qX4-NqGCSI/edit#gid=926323175"",""Car Evaluation!AZ1:AZ45"")"),"Magnite XV Turbo")</f>
        <v>Magnite XV Turbo</v>
      </c>
      <c r="D1" s="149" t="str">
        <f>IFERROR(__xludf.DUMMYFUNCTION("IMPORTRANGE(""https://docs.google.com/spreadsheets/d/12hINl2RSscJf6-RWNi9uwwdP2CD9HfCa6qX4-NqGCSI/edit#gid=926323175"",""Car Evaluation!AX1:AX45"")"),"Magnite XV")</f>
        <v>Magnite XV</v>
      </c>
      <c r="E1" s="150" t="str">
        <f>IFERROR(__xludf.DUMMYFUNCTION("IMPORTRANGE(""https://docs.google.com/spreadsheets/d/12hINl2RSscJf6-RWNi9uwwdP2CD9HfCa6qX4-NqGCSI/edit#gid=926323175"",""Car Evaluation!BG1:BG45"")"),"Kiger RXT")</f>
        <v>Kiger RXT</v>
      </c>
      <c r="F1" s="151" t="str">
        <f>IFERROR(__xludf.DUMMYFUNCTION("IMPORTRANGE(""https://docs.google.com/spreadsheets/d/12hINl2RSscJf6-RWNi9uwwdP2CD9HfCa6qX4-NqGCSI/edit#gid=926323175"",""Car Evaluation!BK1:BK45"")"),"Tiago XZ Plus")</f>
        <v>Tiago XZ Plus</v>
      </c>
      <c r="G1" s="83" t="s">
        <v>298</v>
      </c>
      <c r="H1" s="152" t="s">
        <v>299</v>
      </c>
      <c r="I1" s="152" t="s">
        <v>300</v>
      </c>
      <c r="J1" s="152" t="s">
        <v>301</v>
      </c>
      <c r="K1" s="152" t="s">
        <v>302</v>
      </c>
    </row>
    <row r="2">
      <c r="A2" s="153" t="str">
        <f>IFERROR(__xludf.DUMMYFUNCTION("""COMPUTED_VALUE"""),"Ex-showroom")</f>
        <v>Ex-showroom</v>
      </c>
      <c r="B2" s="149" t="str">
        <f>IFERROR(__xludf.DUMMYFUNCTION("""COMPUTED_VALUE"""),"7.55 L")</f>
        <v>7.55 L</v>
      </c>
      <c r="C2" s="149" t="str">
        <f>IFERROR(__xludf.DUMMYFUNCTION("""COMPUTED_VALUE"""),"7.68 L")</f>
        <v>7.68 L</v>
      </c>
      <c r="D2" s="149" t="str">
        <f>IFERROR(__xludf.DUMMYFUNCTION("""COMPUTED_VALUE"""),"6.68 L")</f>
        <v>6.68 L</v>
      </c>
      <c r="E2" s="150" t="str">
        <f>IFERROR(__xludf.DUMMYFUNCTION("""COMPUTED_VALUE"""),"6.60 L")</f>
        <v>6.60 L</v>
      </c>
      <c r="F2" s="82" t="str">
        <f>IFERROR(__xludf.DUMMYFUNCTION("""COMPUTED_VALUE"""),"6.84 L")</f>
        <v>6.84 L</v>
      </c>
      <c r="G2" s="45"/>
    </row>
    <row r="3">
      <c r="A3" s="153" t="str">
        <f>IFERROR(__xludf.DUMMYFUNCTION("""COMPUTED_VALUE"""),"On Road")</f>
        <v>On Road</v>
      </c>
      <c r="B3" s="149" t="str">
        <f>IFERROR(__xludf.DUMMYFUNCTION("""COMPUTED_VALUE"""),"8.41 L")</f>
        <v>8.41 L</v>
      </c>
      <c r="C3" s="149" t="str">
        <f>IFERROR(__xludf.DUMMYFUNCTION("""COMPUTED_VALUE"""),"8.58 L")</f>
        <v>8.58 L</v>
      </c>
      <c r="D3" s="149" t="str">
        <f>IFERROR(__xludf.DUMMYFUNCTION("""COMPUTED_VALUE"""),"7.45 L")</f>
        <v>7.45 L</v>
      </c>
      <c r="E3" s="150"/>
      <c r="F3" s="154"/>
      <c r="G3" s="45"/>
    </row>
    <row r="4">
      <c r="A4" s="155" t="str">
        <f>IFERROR(__xludf.DUMMYFUNCTION("""COMPUTED_VALUE"""),"ABS")</f>
        <v>ABS</v>
      </c>
      <c r="B4" t="b">
        <f>IFERROR(__xludf.DUMMYFUNCTION("""COMPUTED_VALUE"""),TRUE)</f>
        <v>1</v>
      </c>
      <c r="C4" t="b">
        <f>IFERROR(__xludf.DUMMYFUNCTION("""COMPUTED_VALUE"""),TRUE)</f>
        <v>1</v>
      </c>
      <c r="D4" t="b">
        <f>IFERROR(__xludf.DUMMYFUNCTION("""COMPUTED_VALUE"""),TRUE)</f>
        <v>1</v>
      </c>
      <c r="E4" t="b">
        <f>IFERROR(__xludf.DUMMYFUNCTION("""COMPUTED_VALUE"""),TRUE)</f>
        <v>1</v>
      </c>
      <c r="F4" s="45" t="b">
        <f>IFERROR(__xludf.DUMMYFUNCTION("""COMPUTED_VALUE"""),TRUE)</f>
        <v>1</v>
      </c>
      <c r="G4" s="45" t="str">
        <f t="shared" ref="G4:G45" si="1">IF(D4=E4,"MATCH","MISMATCH")</f>
        <v>MATCH</v>
      </c>
      <c r="H4" s="45" t="str">
        <f t="shared" ref="H4:H45" si="2">IF(D4=B4,"MATCH","MISMATCH")</f>
        <v>MATCH</v>
      </c>
      <c r="I4" s="45" t="str">
        <f t="shared" ref="I4:I45" si="3">IF(B4=F4,"MATCH","MISMATCH")</f>
        <v>MATCH</v>
      </c>
      <c r="J4" s="12" t="str">
        <f t="shared" ref="J4:J45" si="4">IF(C4=D4,"MATCH","MISMATCH")</f>
        <v>MATCH</v>
      </c>
      <c r="K4" s="12" t="str">
        <f t="shared" ref="K4:K45" si="5">IF(B4=C4,"MATCH","MISMATCH")</f>
        <v>MATCH</v>
      </c>
    </row>
    <row r="5">
      <c r="A5" s="155" t="str">
        <f>IFERROR(__xludf.DUMMYFUNCTION("""COMPUTED_VALUE"""),"Air Bags")</f>
        <v>Air Bags</v>
      </c>
      <c r="B5">
        <f>IFERROR(__xludf.DUMMYFUNCTION("""COMPUTED_VALUE"""),2.0)</f>
        <v>2</v>
      </c>
      <c r="C5">
        <f>IFERROR(__xludf.DUMMYFUNCTION("""COMPUTED_VALUE"""),2.0)</f>
        <v>2</v>
      </c>
      <c r="D5">
        <f>IFERROR(__xludf.DUMMYFUNCTION("""COMPUTED_VALUE"""),2.0)</f>
        <v>2</v>
      </c>
      <c r="E5">
        <f>IFERROR(__xludf.DUMMYFUNCTION("""COMPUTED_VALUE"""),4.0)</f>
        <v>4</v>
      </c>
      <c r="F5" s="45">
        <f>IFERROR(__xludf.DUMMYFUNCTION("""COMPUTED_VALUE"""),2.0)</f>
        <v>2</v>
      </c>
      <c r="G5" s="45" t="str">
        <f t="shared" si="1"/>
        <v>MISMATCH</v>
      </c>
      <c r="H5" s="45" t="str">
        <f t="shared" si="2"/>
        <v>MATCH</v>
      </c>
      <c r="I5" t="str">
        <f t="shared" si="3"/>
        <v>MATCH</v>
      </c>
      <c r="J5" t="str">
        <f t="shared" si="4"/>
        <v>MATCH</v>
      </c>
      <c r="K5" s="12" t="str">
        <f t="shared" si="5"/>
        <v>MATCH</v>
      </c>
    </row>
    <row r="6">
      <c r="A6" s="155" t="str">
        <f>IFERROR(__xludf.DUMMYFUNCTION("""COMPUTED_VALUE"""),"Air Conditioner")</f>
        <v>Air Conditioner</v>
      </c>
      <c r="B6" t="b">
        <f>IFERROR(__xludf.DUMMYFUNCTION("""COMPUTED_VALUE"""),TRUE)</f>
        <v>1</v>
      </c>
      <c r="C6" t="b">
        <f>IFERROR(__xludf.DUMMYFUNCTION("""COMPUTED_VALUE"""),TRUE)</f>
        <v>1</v>
      </c>
      <c r="D6" t="b">
        <f>IFERROR(__xludf.DUMMYFUNCTION("""COMPUTED_VALUE"""),TRUE)</f>
        <v>1</v>
      </c>
      <c r="E6" t="b">
        <f>IFERROR(__xludf.DUMMYFUNCTION("""COMPUTED_VALUE"""),TRUE)</f>
        <v>1</v>
      </c>
      <c r="F6" s="45" t="b">
        <f>IFERROR(__xludf.DUMMYFUNCTION("""COMPUTED_VALUE"""),TRUE)</f>
        <v>1</v>
      </c>
      <c r="G6" s="45" t="str">
        <f t="shared" si="1"/>
        <v>MATCH</v>
      </c>
      <c r="H6" s="45" t="str">
        <f t="shared" si="2"/>
        <v>MATCH</v>
      </c>
      <c r="I6" t="str">
        <f t="shared" si="3"/>
        <v>MATCH</v>
      </c>
      <c r="J6" t="str">
        <f t="shared" si="4"/>
        <v>MATCH</v>
      </c>
      <c r="K6" s="12" t="str">
        <f t="shared" si="5"/>
        <v>MATCH</v>
      </c>
    </row>
    <row r="7">
      <c r="A7" s="155" t="str">
        <f>IFERROR(__xludf.DUMMYFUNCTION("""COMPUTED_VALUE"""),"AndroidAuto - AppleCarPlay")</f>
        <v>AndroidAuto - AppleCarPlay</v>
      </c>
      <c r="B7" t="b">
        <f>IFERROR(__xludf.DUMMYFUNCTION("""COMPUTED_VALUE"""),TRUE)</f>
        <v>1</v>
      </c>
      <c r="C7" t="b">
        <f>IFERROR(__xludf.DUMMYFUNCTION("""COMPUTED_VALUE"""),TRUE)</f>
        <v>1</v>
      </c>
      <c r="D7" t="b">
        <f>IFERROR(__xludf.DUMMYFUNCTION("""COMPUTED_VALUE"""),TRUE)</f>
        <v>1</v>
      </c>
      <c r="E7" t="b">
        <f>IFERROR(__xludf.DUMMYFUNCTION("""COMPUTED_VALUE"""),TRUE)</f>
        <v>1</v>
      </c>
      <c r="F7" s="45" t="b">
        <f>IFERROR(__xludf.DUMMYFUNCTION("""COMPUTED_VALUE"""),TRUE)</f>
        <v>1</v>
      </c>
      <c r="G7" s="45" t="str">
        <f t="shared" si="1"/>
        <v>MATCH</v>
      </c>
      <c r="H7" s="45" t="str">
        <f t="shared" si="2"/>
        <v>MATCH</v>
      </c>
      <c r="I7" t="str">
        <f t="shared" si="3"/>
        <v>MATCH</v>
      </c>
      <c r="J7" t="str">
        <f t="shared" si="4"/>
        <v>MATCH</v>
      </c>
      <c r="K7" s="12" t="str">
        <f t="shared" si="5"/>
        <v>MATCH</v>
      </c>
    </row>
    <row r="8">
      <c r="A8" s="155" t="str">
        <f>IFERROR(__xludf.DUMMYFUNCTION("""COMPUTED_VALUE"""),"Automatic Climate Control")</f>
        <v>Automatic Climate Control</v>
      </c>
      <c r="B8" t="b">
        <f>IFERROR(__xludf.DUMMYFUNCTION("""COMPUTED_VALUE"""),TRUE)</f>
        <v>1</v>
      </c>
      <c r="C8" t="b">
        <f>IFERROR(__xludf.DUMMYFUNCTION("""COMPUTED_VALUE"""),TRUE)</f>
        <v>1</v>
      </c>
      <c r="D8" t="b">
        <f>IFERROR(__xludf.DUMMYFUNCTION("""COMPUTED_VALUE"""),TRUE)</f>
        <v>1</v>
      </c>
      <c r="E8" t="b">
        <f>IFERROR(__xludf.DUMMYFUNCTION("""COMPUTED_VALUE"""),FALSE)</f>
        <v>0</v>
      </c>
      <c r="F8" s="45" t="b">
        <f>IFERROR(__xludf.DUMMYFUNCTION("""COMPUTED_VALUE"""),TRUE)</f>
        <v>1</v>
      </c>
      <c r="G8" s="45" t="str">
        <f t="shared" si="1"/>
        <v>MISMATCH</v>
      </c>
      <c r="H8" s="45" t="str">
        <f t="shared" si="2"/>
        <v>MATCH</v>
      </c>
      <c r="I8" t="str">
        <f t="shared" si="3"/>
        <v>MATCH</v>
      </c>
      <c r="J8" t="str">
        <f t="shared" si="4"/>
        <v>MATCH</v>
      </c>
      <c r="K8" s="12" t="str">
        <f t="shared" si="5"/>
        <v>MATCH</v>
      </c>
    </row>
    <row r="9">
      <c r="A9" s="155" t="str">
        <f>IFERROR(__xludf.DUMMYFUNCTION("""COMPUTED_VALUE"""),"Bluetooth")</f>
        <v>Bluetooth</v>
      </c>
      <c r="B9" t="b">
        <f>IFERROR(__xludf.DUMMYFUNCTION("""COMPUTED_VALUE"""),TRUE)</f>
        <v>1</v>
      </c>
      <c r="C9" t="b">
        <f>IFERROR(__xludf.DUMMYFUNCTION("""COMPUTED_VALUE"""),TRUE)</f>
        <v>1</v>
      </c>
      <c r="D9" t="b">
        <f>IFERROR(__xludf.DUMMYFUNCTION("""COMPUTED_VALUE"""),TRUE)</f>
        <v>1</v>
      </c>
      <c r="E9" t="b">
        <f>IFERROR(__xludf.DUMMYFUNCTION("""COMPUTED_VALUE"""),TRUE)</f>
        <v>1</v>
      </c>
      <c r="F9" s="45" t="b">
        <f>IFERROR(__xludf.DUMMYFUNCTION("""COMPUTED_VALUE"""),TRUE)</f>
        <v>1</v>
      </c>
      <c r="G9" s="45" t="str">
        <f t="shared" si="1"/>
        <v>MATCH</v>
      </c>
      <c r="H9" s="45" t="str">
        <f t="shared" si="2"/>
        <v>MATCH</v>
      </c>
      <c r="I9" t="str">
        <f t="shared" si="3"/>
        <v>MATCH</v>
      </c>
      <c r="J9" t="str">
        <f t="shared" si="4"/>
        <v>MATCH</v>
      </c>
      <c r="K9" s="12" t="str">
        <f t="shared" si="5"/>
        <v>MATCH</v>
      </c>
    </row>
    <row r="10">
      <c r="A10" s="155" t="str">
        <f>IFERROR(__xludf.DUMMYFUNCTION("""COMPUTED_VALUE"""),"Bootspace")</f>
        <v>Bootspace</v>
      </c>
      <c r="B10">
        <f>IFERROR(__xludf.DUMMYFUNCTION("""COMPUTED_VALUE"""),336.0)</f>
        <v>336</v>
      </c>
      <c r="C10">
        <f>IFERROR(__xludf.DUMMYFUNCTION("""COMPUTED_VALUE"""),336.0)</f>
        <v>336</v>
      </c>
      <c r="D10">
        <f>IFERROR(__xludf.DUMMYFUNCTION("""COMPUTED_VALUE"""),336.0)</f>
        <v>336</v>
      </c>
      <c r="E10">
        <f>IFERROR(__xludf.DUMMYFUNCTION("""COMPUTED_VALUE"""),405.0)</f>
        <v>405</v>
      </c>
      <c r="F10" s="45">
        <f>IFERROR(__xludf.DUMMYFUNCTION("""COMPUTED_VALUE"""),242.0)</f>
        <v>242</v>
      </c>
      <c r="G10" s="45" t="str">
        <f t="shared" si="1"/>
        <v>MISMATCH</v>
      </c>
      <c r="H10" s="45" t="str">
        <f t="shared" si="2"/>
        <v>MATCH</v>
      </c>
      <c r="I10" t="str">
        <f t="shared" si="3"/>
        <v>MISMATCH</v>
      </c>
      <c r="J10" t="str">
        <f t="shared" si="4"/>
        <v>MATCH</v>
      </c>
      <c r="K10" s="12" t="str">
        <f t="shared" si="5"/>
        <v>MATCH</v>
      </c>
    </row>
    <row r="11">
      <c r="A11" s="155" t="str">
        <f>IFERROR(__xludf.DUMMYFUNCTION("""COMPUTED_VALUE"""),"Central Locking")</f>
        <v>Central Locking</v>
      </c>
      <c r="B11" t="b">
        <f>IFERROR(__xludf.DUMMYFUNCTION("""COMPUTED_VALUE"""),TRUE)</f>
        <v>1</v>
      </c>
      <c r="C11" t="b">
        <f>IFERROR(__xludf.DUMMYFUNCTION("""COMPUTED_VALUE"""),TRUE)</f>
        <v>1</v>
      </c>
      <c r="D11" t="b">
        <f>IFERROR(__xludf.DUMMYFUNCTION("""COMPUTED_VALUE"""),TRUE)</f>
        <v>1</v>
      </c>
      <c r="E11" t="b">
        <f>IFERROR(__xludf.DUMMYFUNCTION("""COMPUTED_VALUE"""),FALSE)</f>
        <v>0</v>
      </c>
      <c r="F11" s="45" t="b">
        <f>IFERROR(__xludf.DUMMYFUNCTION("""COMPUTED_VALUE"""),TRUE)</f>
        <v>1</v>
      </c>
      <c r="G11" s="45" t="str">
        <f t="shared" si="1"/>
        <v>MISMATCH</v>
      </c>
      <c r="H11" s="45" t="str">
        <f t="shared" si="2"/>
        <v>MATCH</v>
      </c>
      <c r="I11" t="str">
        <f t="shared" si="3"/>
        <v>MATCH</v>
      </c>
      <c r="J11" t="str">
        <f t="shared" si="4"/>
        <v>MATCH</v>
      </c>
      <c r="K11" s="12" t="str">
        <f t="shared" si="5"/>
        <v>MATCH</v>
      </c>
    </row>
    <row r="12">
      <c r="A12" s="155" t="str">
        <f>IFERROR(__xludf.DUMMYFUNCTION("""COMPUTED_VALUE"""),"Cruise Control")</f>
        <v>Cruise Control</v>
      </c>
      <c r="B12" t="b">
        <f>IFERROR(__xludf.DUMMYFUNCTION("""COMPUTED_VALUE"""),TRUE)</f>
        <v>1</v>
      </c>
      <c r="C12" t="b">
        <f>IFERROR(__xludf.DUMMYFUNCTION("""COMPUTED_VALUE"""),FALSE)</f>
        <v>0</v>
      </c>
      <c r="D12" t="b">
        <f>IFERROR(__xludf.DUMMYFUNCTION("""COMPUTED_VALUE"""),FALSE)</f>
        <v>0</v>
      </c>
      <c r="E12" t="b">
        <f>IFERROR(__xludf.DUMMYFUNCTION("""COMPUTED_VALUE"""),FALSE)</f>
        <v>0</v>
      </c>
      <c r="F12" s="45" t="b">
        <f>IFERROR(__xludf.DUMMYFUNCTION("""COMPUTED_VALUE"""),FALSE)</f>
        <v>0</v>
      </c>
      <c r="G12" s="45" t="str">
        <f t="shared" si="1"/>
        <v>MATCH</v>
      </c>
      <c r="H12" s="45" t="str">
        <f t="shared" si="2"/>
        <v>MISMATCH</v>
      </c>
      <c r="I12" t="str">
        <f t="shared" si="3"/>
        <v>MISMATCH</v>
      </c>
      <c r="J12" t="str">
        <f t="shared" si="4"/>
        <v>MATCH</v>
      </c>
      <c r="K12" s="12" t="str">
        <f t="shared" si="5"/>
        <v>MISMATCH</v>
      </c>
    </row>
    <row r="13">
      <c r="A13" s="155" t="str">
        <f>IFERROR(__xludf.DUMMYFUNCTION("""COMPUTED_VALUE"""),"Cylinders")</f>
        <v>Cylinders</v>
      </c>
      <c r="B13">
        <f>IFERROR(__xludf.DUMMYFUNCTION("""COMPUTED_VALUE"""),3.0)</f>
        <v>3</v>
      </c>
      <c r="C13">
        <f>IFERROR(__xludf.DUMMYFUNCTION("""COMPUTED_VALUE"""),3.0)</f>
        <v>3</v>
      </c>
      <c r="D13">
        <f>IFERROR(__xludf.DUMMYFUNCTION("""COMPUTED_VALUE"""),3.0)</f>
        <v>3</v>
      </c>
      <c r="E13">
        <f>IFERROR(__xludf.DUMMYFUNCTION("""COMPUTED_VALUE"""),3.0)</f>
        <v>3</v>
      </c>
      <c r="F13" s="45">
        <f>IFERROR(__xludf.DUMMYFUNCTION("""COMPUTED_VALUE"""),3.0)</f>
        <v>3</v>
      </c>
      <c r="G13" s="45" t="str">
        <f t="shared" si="1"/>
        <v>MATCH</v>
      </c>
      <c r="H13" s="45" t="str">
        <f t="shared" si="2"/>
        <v>MATCH</v>
      </c>
      <c r="I13" t="str">
        <f t="shared" si="3"/>
        <v>MATCH</v>
      </c>
      <c r="J13" t="str">
        <f t="shared" si="4"/>
        <v>MATCH</v>
      </c>
      <c r="K13" s="12" t="str">
        <f t="shared" si="5"/>
        <v>MATCH</v>
      </c>
    </row>
    <row r="14">
      <c r="A14" s="155" t="str">
        <f>IFERROR(__xludf.DUMMYFUNCTION("""COMPUTED_VALUE"""),"Drive Modes")</f>
        <v>Drive Modes</v>
      </c>
      <c r="B14">
        <f>IFERROR(__xludf.DUMMYFUNCTION("""COMPUTED_VALUE"""),1.0)</f>
        <v>1</v>
      </c>
      <c r="C14">
        <f>IFERROR(__xludf.DUMMYFUNCTION("""COMPUTED_VALUE"""),1.0)</f>
        <v>1</v>
      </c>
      <c r="D14">
        <f>IFERROR(__xludf.DUMMYFUNCTION("""COMPUTED_VALUE"""),1.0)</f>
        <v>1</v>
      </c>
      <c r="E14">
        <f>IFERROR(__xludf.DUMMYFUNCTION("""COMPUTED_VALUE"""),1.0)</f>
        <v>1</v>
      </c>
      <c r="F14" s="45">
        <f>IFERROR(__xludf.DUMMYFUNCTION("""COMPUTED_VALUE"""),1.0)</f>
        <v>1</v>
      </c>
      <c r="G14" s="45" t="str">
        <f t="shared" si="1"/>
        <v>MATCH</v>
      </c>
      <c r="H14" s="45" t="str">
        <f t="shared" si="2"/>
        <v>MATCH</v>
      </c>
      <c r="I14" t="str">
        <f t="shared" si="3"/>
        <v>MATCH</v>
      </c>
      <c r="J14" t="str">
        <f t="shared" si="4"/>
        <v>MATCH</v>
      </c>
      <c r="K14" s="12" t="str">
        <f t="shared" si="5"/>
        <v>MATCH</v>
      </c>
    </row>
    <row r="15">
      <c r="A15" s="155" t="str">
        <f>IFERROR(__xludf.DUMMYFUNCTION("""COMPUTED_VALUE"""),"Drive Type")</f>
        <v>Drive Type</v>
      </c>
      <c r="B15" t="str">
        <f>IFERROR(__xludf.DUMMYFUNCTION("""COMPUTED_VALUE"""),"FWD")</f>
        <v>FWD</v>
      </c>
      <c r="C15" t="str">
        <f>IFERROR(__xludf.DUMMYFUNCTION("""COMPUTED_VALUE"""),"FWD")</f>
        <v>FWD</v>
      </c>
      <c r="D15" t="str">
        <f>IFERROR(__xludf.DUMMYFUNCTION("""COMPUTED_VALUE"""),"FWD")</f>
        <v>FWD</v>
      </c>
      <c r="E15" t="str">
        <f>IFERROR(__xludf.DUMMYFUNCTION("""COMPUTED_VALUE"""),"FWD")</f>
        <v>FWD</v>
      </c>
      <c r="F15" s="45" t="str">
        <f>IFERROR(__xludf.DUMMYFUNCTION("""COMPUTED_VALUE"""),"FWD")</f>
        <v>FWD</v>
      </c>
      <c r="G15" s="45" t="str">
        <f t="shared" si="1"/>
        <v>MATCH</v>
      </c>
      <c r="H15" s="45" t="str">
        <f t="shared" si="2"/>
        <v>MATCH</v>
      </c>
      <c r="I15" t="str">
        <f t="shared" si="3"/>
        <v>MATCH</v>
      </c>
      <c r="J15" t="str">
        <f t="shared" si="4"/>
        <v>MATCH</v>
      </c>
      <c r="K15" s="12" t="str">
        <f t="shared" si="5"/>
        <v>MATCH</v>
      </c>
    </row>
    <row r="16">
      <c r="A16" s="155" t="str">
        <f>IFERROR(__xludf.DUMMYFUNCTION("""COMPUTED_VALUE"""),"DRLs")</f>
        <v>DRLs</v>
      </c>
      <c r="B16" t="b">
        <f>IFERROR(__xludf.DUMMYFUNCTION("""COMPUTED_VALUE"""),TRUE)</f>
        <v>1</v>
      </c>
      <c r="C16" t="b">
        <f>IFERROR(__xludf.DUMMYFUNCTION("""COMPUTED_VALUE"""),TRUE)</f>
        <v>1</v>
      </c>
      <c r="D16" t="b">
        <f>IFERROR(__xludf.DUMMYFUNCTION("""COMPUTED_VALUE"""),TRUE)</f>
        <v>1</v>
      </c>
      <c r="E16" t="b">
        <f>IFERROR(__xludf.DUMMYFUNCTION("""COMPUTED_VALUE"""),TRUE)</f>
        <v>1</v>
      </c>
      <c r="F16" s="45" t="b">
        <f>IFERROR(__xludf.DUMMYFUNCTION("""COMPUTED_VALUE"""),TRUE)</f>
        <v>1</v>
      </c>
      <c r="G16" s="45" t="str">
        <f t="shared" si="1"/>
        <v>MATCH</v>
      </c>
      <c r="H16" s="45" t="str">
        <f t="shared" si="2"/>
        <v>MATCH</v>
      </c>
      <c r="I16" t="str">
        <f t="shared" si="3"/>
        <v>MATCH</v>
      </c>
      <c r="J16" t="str">
        <f t="shared" si="4"/>
        <v>MATCH</v>
      </c>
      <c r="K16" s="12" t="str">
        <f t="shared" si="5"/>
        <v>MATCH</v>
      </c>
    </row>
    <row r="17">
      <c r="A17" s="155" t="str">
        <f>IFERROR(__xludf.DUMMYFUNCTION("""COMPUTED_VALUE"""),"Engine")</f>
        <v>Engine</v>
      </c>
      <c r="B17">
        <f>IFERROR(__xludf.DUMMYFUNCTION("""COMPUTED_VALUE"""),999.0)</f>
        <v>999</v>
      </c>
      <c r="C17">
        <f>IFERROR(__xludf.DUMMYFUNCTION("""COMPUTED_VALUE"""),999.0)</f>
        <v>999</v>
      </c>
      <c r="D17">
        <f>IFERROR(__xludf.DUMMYFUNCTION("""COMPUTED_VALUE"""),999.0)</f>
        <v>999</v>
      </c>
      <c r="E17">
        <f>IFERROR(__xludf.DUMMYFUNCTION("""COMPUTED_VALUE"""),999.0)</f>
        <v>999</v>
      </c>
      <c r="F17" s="45">
        <f>IFERROR(__xludf.DUMMYFUNCTION("""COMPUTED_VALUE"""),1199.0)</f>
        <v>1199</v>
      </c>
      <c r="G17" s="45" t="str">
        <f t="shared" si="1"/>
        <v>MATCH</v>
      </c>
      <c r="H17" s="45" t="str">
        <f t="shared" si="2"/>
        <v>MATCH</v>
      </c>
      <c r="I17" t="str">
        <f t="shared" si="3"/>
        <v>MISMATCH</v>
      </c>
      <c r="J17" t="str">
        <f t="shared" si="4"/>
        <v>MATCH</v>
      </c>
      <c r="K17" s="12" t="str">
        <f t="shared" si="5"/>
        <v>MATCH</v>
      </c>
    </row>
    <row r="18">
      <c r="A18" s="155" t="str">
        <f>IFERROR(__xludf.DUMMYFUNCTION("""COMPUTED_VALUE"""),"Fog Lamps")</f>
        <v>Fog Lamps</v>
      </c>
      <c r="B18" t="b">
        <f>IFERROR(__xludf.DUMMYFUNCTION("""COMPUTED_VALUE"""),TRUE)</f>
        <v>1</v>
      </c>
      <c r="C18" t="b">
        <f>IFERROR(__xludf.DUMMYFUNCTION("""COMPUTED_VALUE"""),TRUE)</f>
        <v>1</v>
      </c>
      <c r="D18" t="b">
        <f>IFERROR(__xludf.DUMMYFUNCTION("""COMPUTED_VALUE"""),TRUE)</f>
        <v>1</v>
      </c>
      <c r="E18" t="b">
        <f>IFERROR(__xludf.DUMMYFUNCTION("""COMPUTED_VALUE"""),FALSE)</f>
        <v>0</v>
      </c>
      <c r="F18" s="45" t="b">
        <f>IFERROR(__xludf.DUMMYFUNCTION("""COMPUTED_VALUE"""),TRUE)</f>
        <v>1</v>
      </c>
      <c r="G18" s="45" t="str">
        <f t="shared" si="1"/>
        <v>MISMATCH</v>
      </c>
      <c r="H18" s="45" t="str">
        <f t="shared" si="2"/>
        <v>MATCH</v>
      </c>
      <c r="I18" t="str">
        <f t="shared" si="3"/>
        <v>MATCH</v>
      </c>
      <c r="J18" t="str">
        <f t="shared" si="4"/>
        <v>MATCH</v>
      </c>
      <c r="K18" s="12" t="str">
        <f t="shared" si="5"/>
        <v>MATCH</v>
      </c>
    </row>
    <row r="19">
      <c r="A19" s="155" t="str">
        <f>IFERROR(__xludf.DUMMYFUNCTION("""COMPUTED_VALUE"""),"FollowMe Home Lamps")</f>
        <v>FollowMe Home Lamps</v>
      </c>
      <c r="B19" t="b">
        <f>IFERROR(__xludf.DUMMYFUNCTION("""COMPUTED_VALUE"""),FALSE)</f>
        <v>0</v>
      </c>
      <c r="C19" t="b">
        <f>IFERROR(__xludf.DUMMYFUNCTION("""COMPUTED_VALUE"""),FALSE)</f>
        <v>0</v>
      </c>
      <c r="D19" t="b">
        <f>IFERROR(__xludf.DUMMYFUNCTION("""COMPUTED_VALUE"""),FALSE)</f>
        <v>0</v>
      </c>
      <c r="E19" t="b">
        <f>IFERROR(__xludf.DUMMYFUNCTION("""COMPUTED_VALUE"""),FALSE)</f>
        <v>0</v>
      </c>
      <c r="F19" s="45" t="b">
        <f>IFERROR(__xludf.DUMMYFUNCTION("""COMPUTED_VALUE"""),TRUE)</f>
        <v>1</v>
      </c>
      <c r="G19" s="45" t="str">
        <f t="shared" si="1"/>
        <v>MATCH</v>
      </c>
      <c r="H19" s="45" t="str">
        <f t="shared" si="2"/>
        <v>MATCH</v>
      </c>
      <c r="I19" t="str">
        <f t="shared" si="3"/>
        <v>MISMATCH</v>
      </c>
      <c r="J19" t="str">
        <f t="shared" si="4"/>
        <v>MATCH</v>
      </c>
      <c r="K19" s="12" t="str">
        <f t="shared" si="5"/>
        <v>MATCH</v>
      </c>
    </row>
    <row r="20">
      <c r="A20" s="155" t="str">
        <f>IFERROR(__xludf.DUMMYFUNCTION("""COMPUTED_VALUE"""),"Gears")</f>
        <v>Gears</v>
      </c>
      <c r="B20">
        <f>IFERROR(__xludf.DUMMYFUNCTION("""COMPUTED_VALUE"""),5.0)</f>
        <v>5</v>
      </c>
      <c r="C20">
        <f>IFERROR(__xludf.DUMMYFUNCTION("""COMPUTED_VALUE"""),5.0)</f>
        <v>5</v>
      </c>
      <c r="D20">
        <f>IFERROR(__xludf.DUMMYFUNCTION("""COMPUTED_VALUE"""),5.0)</f>
        <v>5</v>
      </c>
      <c r="E20">
        <f>IFERROR(__xludf.DUMMYFUNCTION("""COMPUTED_VALUE"""),5.0)</f>
        <v>5</v>
      </c>
      <c r="F20" s="45">
        <f>IFERROR(__xludf.DUMMYFUNCTION("""COMPUTED_VALUE"""),5.0)</f>
        <v>5</v>
      </c>
      <c r="G20" s="45" t="str">
        <f t="shared" si="1"/>
        <v>MATCH</v>
      </c>
      <c r="H20" s="45" t="str">
        <f t="shared" si="2"/>
        <v>MATCH</v>
      </c>
      <c r="I20" t="str">
        <f t="shared" si="3"/>
        <v>MATCH</v>
      </c>
      <c r="J20" t="str">
        <f t="shared" si="4"/>
        <v>MATCH</v>
      </c>
      <c r="K20" s="12" t="str">
        <f t="shared" si="5"/>
        <v>MATCH</v>
      </c>
    </row>
    <row r="21">
      <c r="A21" s="155" t="str">
        <f>IFERROR(__xludf.DUMMYFUNCTION("""COMPUTED_VALUE"""),"HeadRest Adjustable")</f>
        <v>HeadRest Adjustable</v>
      </c>
      <c r="B21" t="b">
        <f>IFERROR(__xludf.DUMMYFUNCTION("""COMPUTED_VALUE"""),TRUE)</f>
        <v>1</v>
      </c>
      <c r="C21" t="b">
        <f>IFERROR(__xludf.DUMMYFUNCTION("""COMPUTED_VALUE"""),TRUE)</f>
        <v>1</v>
      </c>
      <c r="D21" t="b">
        <f>IFERROR(__xludf.DUMMYFUNCTION("""COMPUTED_VALUE"""),TRUE)</f>
        <v>1</v>
      </c>
      <c r="E21" t="b">
        <f>IFERROR(__xludf.DUMMYFUNCTION("""COMPUTED_VALUE"""),TRUE)</f>
        <v>1</v>
      </c>
      <c r="F21" s="45" t="b">
        <f>IFERROR(__xludf.DUMMYFUNCTION("""COMPUTED_VALUE"""),TRUE)</f>
        <v>1</v>
      </c>
      <c r="G21" s="45" t="str">
        <f t="shared" si="1"/>
        <v>MATCH</v>
      </c>
      <c r="H21" s="45" t="str">
        <f t="shared" si="2"/>
        <v>MATCH</v>
      </c>
      <c r="I21" t="str">
        <f t="shared" si="3"/>
        <v>MATCH</v>
      </c>
      <c r="J21" t="str">
        <f t="shared" si="4"/>
        <v>MATCH</v>
      </c>
      <c r="K21" s="12" t="str">
        <f t="shared" si="5"/>
        <v>MATCH</v>
      </c>
    </row>
    <row r="22">
      <c r="A22" s="155" t="str">
        <f>IFERROR(__xludf.DUMMYFUNCTION("""COMPUTED_VALUE"""),"Hill Assist")</f>
        <v>Hill Assist</v>
      </c>
      <c r="B22" t="b">
        <f>IFERROR(__xludf.DUMMYFUNCTION("""COMPUTED_VALUE"""),FALSE)</f>
        <v>0</v>
      </c>
      <c r="C22" t="b">
        <f>IFERROR(__xludf.DUMMYFUNCTION("""COMPUTED_VALUE"""),TRUE)</f>
        <v>1</v>
      </c>
      <c r="D22" t="b">
        <f>IFERROR(__xludf.DUMMYFUNCTION("""COMPUTED_VALUE"""),FALSE)</f>
        <v>0</v>
      </c>
      <c r="E22" t="b">
        <f>IFERROR(__xludf.DUMMYFUNCTION("""COMPUTED_VALUE"""),FALSE)</f>
        <v>0</v>
      </c>
      <c r="F22" s="45" t="b">
        <f>IFERROR(__xludf.DUMMYFUNCTION("""COMPUTED_VALUE"""),FALSE)</f>
        <v>0</v>
      </c>
      <c r="G22" s="45" t="str">
        <f t="shared" si="1"/>
        <v>MATCH</v>
      </c>
      <c r="H22" s="45" t="str">
        <f t="shared" si="2"/>
        <v>MATCH</v>
      </c>
      <c r="I22" t="str">
        <f t="shared" si="3"/>
        <v>MATCH</v>
      </c>
      <c r="J22" t="str">
        <f t="shared" si="4"/>
        <v>MISMATCH</v>
      </c>
      <c r="K22" s="12" t="str">
        <f t="shared" si="5"/>
        <v>MISMATCH</v>
      </c>
    </row>
    <row r="23">
      <c r="A23" s="155" t="str">
        <f>IFERROR(__xludf.DUMMYFUNCTION("""COMPUTED_VALUE"""),"Keyless Entry")</f>
        <v>Keyless Entry</v>
      </c>
      <c r="B23" t="b">
        <f>IFERROR(__xludf.DUMMYFUNCTION("""COMPUTED_VALUE"""),TRUE)</f>
        <v>1</v>
      </c>
      <c r="C23" t="b">
        <f>IFERROR(__xludf.DUMMYFUNCTION("""COMPUTED_VALUE"""),TRUE)</f>
        <v>1</v>
      </c>
      <c r="D23" t="b">
        <f>IFERROR(__xludf.DUMMYFUNCTION("""COMPUTED_VALUE"""),TRUE)</f>
        <v>1</v>
      </c>
      <c r="E23" t="b">
        <f>IFERROR(__xludf.DUMMYFUNCTION("""COMPUTED_VALUE"""),TRUE)</f>
        <v>1</v>
      </c>
      <c r="F23" s="45" t="b">
        <f>IFERROR(__xludf.DUMMYFUNCTION("""COMPUTED_VALUE"""),TRUE)</f>
        <v>1</v>
      </c>
      <c r="G23" s="45" t="str">
        <f t="shared" si="1"/>
        <v>MATCH</v>
      </c>
      <c r="H23" s="45" t="str">
        <f t="shared" si="2"/>
        <v>MATCH</v>
      </c>
      <c r="I23" t="str">
        <f t="shared" si="3"/>
        <v>MATCH</v>
      </c>
      <c r="J23" t="str">
        <f t="shared" si="4"/>
        <v>MATCH</v>
      </c>
      <c r="K23" s="12" t="str">
        <f t="shared" si="5"/>
        <v>MATCH</v>
      </c>
    </row>
    <row r="24">
      <c r="A24" s="155" t="str">
        <f>IFERROR(__xludf.DUMMYFUNCTION("""COMPUTED_VALUE"""),"LED HeadLights")</f>
        <v>LED HeadLights</v>
      </c>
      <c r="B24" t="b">
        <f>IFERROR(__xludf.DUMMYFUNCTION("""COMPUTED_VALUE"""),TRUE)</f>
        <v>1</v>
      </c>
      <c r="C24" t="b">
        <f>IFERROR(__xludf.DUMMYFUNCTION("""COMPUTED_VALUE"""),TRUE)</f>
        <v>1</v>
      </c>
      <c r="D24" t="b">
        <f>IFERROR(__xludf.DUMMYFUNCTION("""COMPUTED_VALUE"""),FALSE)</f>
        <v>0</v>
      </c>
      <c r="E24" t="b">
        <f>IFERROR(__xludf.DUMMYFUNCTION("""COMPUTED_VALUE"""),FALSE)</f>
        <v>0</v>
      </c>
      <c r="F24" s="45" t="b">
        <f>IFERROR(__xludf.DUMMYFUNCTION("""COMPUTED_VALUE"""),TRUE)</f>
        <v>1</v>
      </c>
      <c r="G24" s="45" t="str">
        <f t="shared" si="1"/>
        <v>MATCH</v>
      </c>
      <c r="H24" s="45" t="str">
        <f t="shared" si="2"/>
        <v>MISMATCH</v>
      </c>
      <c r="I24" t="str">
        <f t="shared" si="3"/>
        <v>MATCH</v>
      </c>
      <c r="J24" t="str">
        <f t="shared" si="4"/>
        <v>MISMATCH</v>
      </c>
      <c r="K24" s="12" t="str">
        <f t="shared" si="5"/>
        <v>MATCH</v>
      </c>
    </row>
    <row r="25">
      <c r="A25" s="155" t="str">
        <f>IFERROR(__xludf.DUMMYFUNCTION("""COMPUTED_VALUE"""),"LED Tails")</f>
        <v>LED Tails</v>
      </c>
      <c r="B25" t="b">
        <f>IFERROR(__xludf.DUMMYFUNCTION("""COMPUTED_VALUE"""),FALSE)</f>
        <v>0</v>
      </c>
      <c r="C25" t="b">
        <f>IFERROR(__xludf.DUMMYFUNCTION("""COMPUTED_VALUE"""),FALSE)</f>
        <v>0</v>
      </c>
      <c r="D25" t="b">
        <f>IFERROR(__xludf.DUMMYFUNCTION("""COMPUTED_VALUE"""),FALSE)</f>
        <v>0</v>
      </c>
      <c r="E25" t="b">
        <f>IFERROR(__xludf.DUMMYFUNCTION("""COMPUTED_VALUE"""),TRUE)</f>
        <v>1</v>
      </c>
      <c r="F25" s="45" t="b">
        <f>IFERROR(__xludf.DUMMYFUNCTION("""COMPUTED_VALUE"""),FALSE)</f>
        <v>0</v>
      </c>
      <c r="G25" s="45" t="str">
        <f t="shared" si="1"/>
        <v>MISMATCH</v>
      </c>
      <c r="H25" s="45" t="str">
        <f t="shared" si="2"/>
        <v>MATCH</v>
      </c>
      <c r="I25" t="str">
        <f t="shared" si="3"/>
        <v>MATCH</v>
      </c>
      <c r="J25" t="str">
        <f t="shared" si="4"/>
        <v>MATCH</v>
      </c>
      <c r="K25" s="12" t="str">
        <f t="shared" si="5"/>
        <v>MATCH</v>
      </c>
    </row>
    <row r="26">
      <c r="A26" s="155" t="str">
        <f>IFERROR(__xludf.DUMMYFUNCTION("""COMPUTED_VALUE"""),"Mileage")</f>
        <v>Mileage</v>
      </c>
      <c r="B26">
        <f>IFERROR(__xludf.DUMMYFUNCTION("""COMPUTED_VALUE"""),18.75)</f>
        <v>18.75</v>
      </c>
      <c r="C26">
        <f>IFERROR(__xludf.DUMMYFUNCTION("""COMPUTED_VALUE"""),20.0)</f>
        <v>20</v>
      </c>
      <c r="D26">
        <f>IFERROR(__xludf.DUMMYFUNCTION("""COMPUTED_VALUE"""),18.75)</f>
        <v>18.75</v>
      </c>
      <c r="F26" s="45">
        <f>IFERROR(__xludf.DUMMYFUNCTION("""COMPUTED_VALUE"""),23.84)</f>
        <v>23.84</v>
      </c>
      <c r="G26" s="45" t="str">
        <f t="shared" si="1"/>
        <v>MISMATCH</v>
      </c>
      <c r="H26" s="45" t="str">
        <f t="shared" si="2"/>
        <v>MATCH</v>
      </c>
      <c r="I26" t="str">
        <f t="shared" si="3"/>
        <v>MISMATCH</v>
      </c>
      <c r="J26" t="str">
        <f t="shared" si="4"/>
        <v>MISMATCH</v>
      </c>
      <c r="K26" s="12" t="str">
        <f t="shared" si="5"/>
        <v>MISMATCH</v>
      </c>
    </row>
    <row r="27">
      <c r="A27" s="155" t="str">
        <f>IFERROR(__xludf.DUMMYFUNCTION("""COMPUTED_VALUE"""),"MT/AMT")</f>
        <v>MT/AMT</v>
      </c>
      <c r="B27" t="str">
        <f>IFERROR(__xludf.DUMMYFUNCTION("""COMPUTED_VALUE"""),"MT")</f>
        <v>MT</v>
      </c>
      <c r="C27" t="str">
        <f>IFERROR(__xludf.DUMMYFUNCTION("""COMPUTED_VALUE"""),"MT")</f>
        <v>MT</v>
      </c>
      <c r="D27" t="str">
        <f>IFERROR(__xludf.DUMMYFUNCTION("""COMPUTED_VALUE"""),"MT")</f>
        <v>MT</v>
      </c>
      <c r="E27" t="str">
        <f>IFERROR(__xludf.DUMMYFUNCTION("""COMPUTED_VALUE"""),"MT")</f>
        <v>MT</v>
      </c>
      <c r="F27" s="45" t="str">
        <f>IFERROR(__xludf.DUMMYFUNCTION("""COMPUTED_VALUE"""),"MT")</f>
        <v>MT</v>
      </c>
      <c r="G27" s="45" t="str">
        <f t="shared" si="1"/>
        <v>MATCH</v>
      </c>
      <c r="H27" s="45" t="str">
        <f t="shared" si="2"/>
        <v>MATCH</v>
      </c>
      <c r="I27" t="str">
        <f t="shared" si="3"/>
        <v>MATCH</v>
      </c>
      <c r="J27" t="str">
        <f t="shared" si="4"/>
        <v>MATCH</v>
      </c>
      <c r="K27" s="12" t="str">
        <f t="shared" si="5"/>
        <v>MATCH</v>
      </c>
    </row>
    <row r="28">
      <c r="A28" s="155" t="str">
        <f>IFERROR(__xludf.DUMMYFUNCTION("""COMPUTED_VALUE"""),"Navigation")</f>
        <v>Navigation</v>
      </c>
      <c r="B28" t="b">
        <f>IFERROR(__xludf.DUMMYFUNCTION("""COMPUTED_VALUE"""),FALSE)</f>
        <v>0</v>
      </c>
      <c r="C28" t="b">
        <f>IFERROR(__xludf.DUMMYFUNCTION("""COMPUTED_VALUE"""),FALSE)</f>
        <v>0</v>
      </c>
      <c r="D28" t="b">
        <f>IFERROR(__xludf.DUMMYFUNCTION("""COMPUTED_VALUE"""),FALSE)</f>
        <v>0</v>
      </c>
      <c r="E28" t="b">
        <f>IFERROR(__xludf.DUMMYFUNCTION("""COMPUTED_VALUE"""),FALSE)</f>
        <v>0</v>
      </c>
      <c r="F28" s="45" t="b">
        <f>IFERROR(__xludf.DUMMYFUNCTION("""COMPUTED_VALUE"""),FALSE)</f>
        <v>0</v>
      </c>
      <c r="G28" s="45" t="str">
        <f t="shared" si="1"/>
        <v>MATCH</v>
      </c>
      <c r="H28" s="45" t="str">
        <f t="shared" si="2"/>
        <v>MATCH</v>
      </c>
      <c r="I28" t="str">
        <f t="shared" si="3"/>
        <v>MATCH</v>
      </c>
      <c r="J28" t="str">
        <f t="shared" si="4"/>
        <v>MATCH</v>
      </c>
      <c r="K28" s="12" t="str">
        <f t="shared" si="5"/>
        <v>MATCH</v>
      </c>
    </row>
    <row r="29">
      <c r="A29" s="155" t="str">
        <f>IFERROR(__xludf.DUMMYFUNCTION("""COMPUTED_VALUE"""),"Power Steering")</f>
        <v>Power Steering</v>
      </c>
      <c r="B29" t="b">
        <f>IFERROR(__xludf.DUMMYFUNCTION("""COMPUTED_VALUE"""),TRUE)</f>
        <v>1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IFERROR(__xludf.DUMMYFUNCTION("""COMPUTED_VALUE"""),TRUE)</f>
        <v>1</v>
      </c>
      <c r="F29" s="45" t="b">
        <f>IFERROR(__xludf.DUMMYFUNCTION("""COMPUTED_VALUE"""),TRUE)</f>
        <v>1</v>
      </c>
      <c r="G29" s="45" t="str">
        <f t="shared" si="1"/>
        <v>MATCH</v>
      </c>
      <c r="H29" s="45" t="str">
        <f t="shared" si="2"/>
        <v>MATCH</v>
      </c>
      <c r="I29" t="str">
        <f t="shared" si="3"/>
        <v>MATCH</v>
      </c>
      <c r="J29" t="str">
        <f t="shared" si="4"/>
        <v>MATCH</v>
      </c>
      <c r="K29" s="12" t="str">
        <f t="shared" si="5"/>
        <v>MATCH</v>
      </c>
    </row>
    <row r="30">
      <c r="A30" s="155" t="str">
        <f>IFERROR(__xludf.DUMMYFUNCTION("""COMPUTED_VALUE"""),"Power Windows Front")</f>
        <v>Power Windows Front</v>
      </c>
      <c r="B30" t="b">
        <f>IFERROR(__xludf.DUMMYFUNCTION("""COMPUTED_VALUE"""),TRUE)</f>
        <v>1</v>
      </c>
      <c r="C30" t="b">
        <f>IFERROR(__xludf.DUMMYFUNCTION("""COMPUTED_VALUE"""),TRUE)</f>
        <v>1</v>
      </c>
      <c r="D30" t="b">
        <f>IFERROR(__xludf.DUMMYFUNCTION("""COMPUTED_VALUE"""),TRUE)</f>
        <v>1</v>
      </c>
      <c r="E30" t="b">
        <f>IFERROR(__xludf.DUMMYFUNCTION("""COMPUTED_VALUE"""),TRUE)</f>
        <v>1</v>
      </c>
      <c r="F30" s="45" t="b">
        <f>IFERROR(__xludf.DUMMYFUNCTION("""COMPUTED_VALUE"""),TRUE)</f>
        <v>1</v>
      </c>
      <c r="G30" s="45" t="str">
        <f t="shared" si="1"/>
        <v>MATCH</v>
      </c>
      <c r="H30" s="45" t="str">
        <f t="shared" si="2"/>
        <v>MATCH</v>
      </c>
      <c r="I30" t="str">
        <f t="shared" si="3"/>
        <v>MATCH</v>
      </c>
      <c r="J30" t="str">
        <f t="shared" si="4"/>
        <v>MATCH</v>
      </c>
      <c r="K30" s="12" t="str">
        <f t="shared" si="5"/>
        <v>MATCH</v>
      </c>
    </row>
    <row r="31">
      <c r="A31" s="155" t="str">
        <f>IFERROR(__xludf.DUMMYFUNCTION("""COMPUTED_VALUE"""),"Power Windows Rear")</f>
        <v>Power Windows Rear</v>
      </c>
      <c r="B31" t="b">
        <f>IFERROR(__xludf.DUMMYFUNCTION("""COMPUTED_VALUE"""),TRUE)</f>
        <v>1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IFERROR(__xludf.DUMMYFUNCTION("""COMPUTED_VALUE"""),TRUE)</f>
        <v>1</v>
      </c>
      <c r="F31" s="45" t="b">
        <f>IFERROR(__xludf.DUMMYFUNCTION("""COMPUTED_VALUE"""),TRUE)</f>
        <v>1</v>
      </c>
      <c r="G31" s="45" t="str">
        <f t="shared" si="1"/>
        <v>MATCH</v>
      </c>
      <c r="H31" s="45" t="str">
        <f t="shared" si="2"/>
        <v>MATCH</v>
      </c>
      <c r="I31" t="str">
        <f t="shared" si="3"/>
        <v>MATCH</v>
      </c>
      <c r="J31" t="str">
        <f t="shared" si="4"/>
        <v>MATCH</v>
      </c>
      <c r="K31" s="12" t="str">
        <f t="shared" si="5"/>
        <v>MATCH</v>
      </c>
    </row>
    <row r="32">
      <c r="A32" s="155" t="str">
        <f>IFERROR(__xludf.DUMMYFUNCTION("""COMPUTED_VALUE"""),"Projector Headlamps")</f>
        <v>Projector Headlamps</v>
      </c>
      <c r="B32" t="b">
        <f>IFERROR(__xludf.DUMMYFUNCTION("""COMPUTED_VALUE"""),TRUE)</f>
        <v>1</v>
      </c>
      <c r="C32" t="b">
        <f>IFERROR(__xludf.DUMMYFUNCTION("""COMPUTED_VALUE"""),FALSE)</f>
        <v>0</v>
      </c>
      <c r="D32" t="b">
        <f>IFERROR(__xludf.DUMMYFUNCTION("""COMPUTED_VALUE"""),FALSE)</f>
        <v>0</v>
      </c>
      <c r="E32" t="b">
        <f>IFERROR(__xludf.DUMMYFUNCTION("""COMPUTED_VALUE"""),FALSE)</f>
        <v>0</v>
      </c>
      <c r="F32" s="45" t="b">
        <f>IFERROR(__xludf.DUMMYFUNCTION("""COMPUTED_VALUE"""),TRUE)</f>
        <v>1</v>
      </c>
      <c r="G32" s="45" t="str">
        <f t="shared" si="1"/>
        <v>MATCH</v>
      </c>
      <c r="H32" s="45" t="str">
        <f t="shared" si="2"/>
        <v>MISMATCH</v>
      </c>
      <c r="I32" t="str">
        <f t="shared" si="3"/>
        <v>MATCH</v>
      </c>
      <c r="J32" t="str">
        <f t="shared" si="4"/>
        <v>MATCH</v>
      </c>
      <c r="K32" s="12" t="str">
        <f t="shared" si="5"/>
        <v>MISMATCH</v>
      </c>
    </row>
    <row r="33">
      <c r="A33" s="155" t="str">
        <f>IFERROR(__xludf.DUMMYFUNCTION("""COMPUTED_VALUE"""),"Rain Sensing Wipers")</f>
        <v>Rain Sensing Wipers</v>
      </c>
      <c r="B33" t="b">
        <f>IFERROR(__xludf.DUMMYFUNCTION("""COMPUTED_VALUE"""),FALSE)</f>
        <v>0</v>
      </c>
      <c r="C33" t="b">
        <f>IFERROR(__xludf.DUMMYFUNCTION("""COMPUTED_VALUE"""),FALSE)</f>
        <v>0</v>
      </c>
      <c r="D33" t="b">
        <f>IFERROR(__xludf.DUMMYFUNCTION("""COMPUTED_VALUE"""),FALSE)</f>
        <v>0</v>
      </c>
      <c r="E33" t="b">
        <f>IFERROR(__xludf.DUMMYFUNCTION("""COMPUTED_VALUE"""),FALSE)</f>
        <v>0</v>
      </c>
      <c r="F33" s="45" t="b">
        <f>IFERROR(__xludf.DUMMYFUNCTION("""COMPUTED_VALUE"""),FALSE)</f>
        <v>0</v>
      </c>
      <c r="G33" s="45" t="str">
        <f t="shared" si="1"/>
        <v>MATCH</v>
      </c>
      <c r="H33" s="45" t="str">
        <f t="shared" si="2"/>
        <v>MATCH</v>
      </c>
      <c r="I33" t="str">
        <f t="shared" si="3"/>
        <v>MATCH</v>
      </c>
      <c r="J33" t="str">
        <f t="shared" si="4"/>
        <v>MATCH</v>
      </c>
      <c r="K33" s="12" t="str">
        <f t="shared" si="5"/>
        <v>MATCH</v>
      </c>
    </row>
    <row r="34">
      <c r="A34" s="155" t="str">
        <f>IFERROR(__xludf.DUMMYFUNCTION("""COMPUTED_VALUE"""),"Rear AC vents")</f>
        <v>Rear AC vents</v>
      </c>
      <c r="B34" t="b">
        <f>IFERROR(__xludf.DUMMYFUNCTION("""COMPUTED_VALUE"""),TRUE)</f>
        <v>1</v>
      </c>
      <c r="C34" t="b">
        <f>IFERROR(__xludf.DUMMYFUNCTION("""COMPUTED_VALUE"""),FALSE)</f>
        <v>0</v>
      </c>
      <c r="D34" t="b">
        <f>IFERROR(__xludf.DUMMYFUNCTION("""COMPUTED_VALUE"""),FALSE)</f>
        <v>0</v>
      </c>
      <c r="E34" t="b">
        <f>IFERROR(__xludf.DUMMYFUNCTION("""COMPUTED_VALUE"""),TRUE)</f>
        <v>1</v>
      </c>
      <c r="F34" s="45" t="b">
        <f>IFERROR(__xludf.DUMMYFUNCTION("""COMPUTED_VALUE"""),FALSE)</f>
        <v>0</v>
      </c>
      <c r="G34" s="45" t="str">
        <f t="shared" si="1"/>
        <v>MISMATCH</v>
      </c>
      <c r="H34" s="45" t="str">
        <f t="shared" si="2"/>
        <v>MISMATCH</v>
      </c>
      <c r="I34" t="str">
        <f t="shared" si="3"/>
        <v>MISMATCH</v>
      </c>
      <c r="J34" t="str">
        <f t="shared" si="4"/>
        <v>MATCH</v>
      </c>
      <c r="K34" s="12" t="str">
        <f t="shared" si="5"/>
        <v>MISMATCH</v>
      </c>
    </row>
    <row r="35">
      <c r="A35" s="155" t="str">
        <f>IFERROR(__xludf.DUMMYFUNCTION("""COMPUTED_VALUE"""),"Rear Camera")</f>
        <v>Rear Camera</v>
      </c>
      <c r="B35" t="b">
        <f>IFERROR(__xludf.DUMMYFUNCTION("""COMPUTED_VALUE"""),TRUE)</f>
        <v>1</v>
      </c>
      <c r="C35" t="b">
        <f>IFERROR(__xludf.DUMMYFUNCTION("""COMPUTED_VALUE"""),TRUE)</f>
        <v>1</v>
      </c>
      <c r="D35" t="b">
        <f>IFERROR(__xludf.DUMMYFUNCTION("""COMPUTED_VALUE"""),TRUE)</f>
        <v>1</v>
      </c>
      <c r="E35" t="b">
        <f>IFERROR(__xludf.DUMMYFUNCTION("""COMPUTED_VALUE"""),TRUE)</f>
        <v>1</v>
      </c>
      <c r="F35" s="45" t="b">
        <f>IFERROR(__xludf.DUMMYFUNCTION("""COMPUTED_VALUE"""),TRUE)</f>
        <v>1</v>
      </c>
      <c r="G35" s="45" t="str">
        <f t="shared" si="1"/>
        <v>MATCH</v>
      </c>
      <c r="H35" s="45" t="str">
        <f t="shared" si="2"/>
        <v>MATCH</v>
      </c>
      <c r="I35" t="str">
        <f t="shared" si="3"/>
        <v>MATCH</v>
      </c>
      <c r="J35" t="str">
        <f t="shared" si="4"/>
        <v>MATCH</v>
      </c>
      <c r="K35" s="12" t="str">
        <f t="shared" si="5"/>
        <v>MATCH</v>
      </c>
    </row>
    <row r="36">
      <c r="A36" s="155" t="str">
        <f>IFERROR(__xludf.DUMMYFUNCTION("""COMPUTED_VALUE"""),"Rear Defogger")</f>
        <v>Rear Defogger</v>
      </c>
      <c r="B36" t="b">
        <f>IFERROR(__xludf.DUMMYFUNCTION("""COMPUTED_VALUE"""),TRUE)</f>
        <v>1</v>
      </c>
      <c r="C36" t="b">
        <f>IFERROR(__xludf.DUMMYFUNCTION("""COMPUTED_VALUE"""),TRUE)</f>
        <v>1</v>
      </c>
      <c r="D36" t="b">
        <f>IFERROR(__xludf.DUMMYFUNCTION("""COMPUTED_VALUE"""),TRUE)</f>
        <v>1</v>
      </c>
      <c r="E36" t="b">
        <f>IFERROR(__xludf.DUMMYFUNCTION("""COMPUTED_VALUE"""),FALSE)</f>
        <v>0</v>
      </c>
      <c r="F36" s="45" t="b">
        <f>IFERROR(__xludf.DUMMYFUNCTION("""COMPUTED_VALUE"""),TRUE)</f>
        <v>1</v>
      </c>
      <c r="G36" s="45" t="str">
        <f t="shared" si="1"/>
        <v>MISMATCH</v>
      </c>
      <c r="H36" s="45" t="str">
        <f t="shared" si="2"/>
        <v>MATCH</v>
      </c>
      <c r="I36" t="str">
        <f t="shared" si="3"/>
        <v>MATCH</v>
      </c>
      <c r="J36" t="str">
        <f t="shared" si="4"/>
        <v>MATCH</v>
      </c>
      <c r="K36" s="12" t="str">
        <f t="shared" si="5"/>
        <v>MATCH</v>
      </c>
    </row>
    <row r="37">
      <c r="A37" s="155" t="str">
        <f>IFERROR(__xludf.DUMMYFUNCTION("""COMPUTED_VALUE"""),"Rear Washer")</f>
        <v>Rear Washer</v>
      </c>
      <c r="B37" t="b">
        <f>IFERROR(__xludf.DUMMYFUNCTION("""COMPUTED_VALUE"""),TRUE)</f>
        <v>1</v>
      </c>
      <c r="C37" t="b">
        <f>IFERROR(__xludf.DUMMYFUNCTION("""COMPUTED_VALUE"""),TRUE)</f>
        <v>1</v>
      </c>
      <c r="D37" t="b">
        <f>IFERROR(__xludf.DUMMYFUNCTION("""COMPUTED_VALUE"""),TRUE)</f>
        <v>1</v>
      </c>
      <c r="E37" t="b">
        <f>IFERROR(__xludf.DUMMYFUNCTION("""COMPUTED_VALUE"""),FALSE)</f>
        <v>0</v>
      </c>
      <c r="F37" s="45" t="b">
        <f>IFERROR(__xludf.DUMMYFUNCTION("""COMPUTED_VALUE"""),TRUE)</f>
        <v>1</v>
      </c>
      <c r="G37" s="45" t="str">
        <f t="shared" si="1"/>
        <v>MISMATCH</v>
      </c>
      <c r="H37" s="45" t="str">
        <f t="shared" si="2"/>
        <v>MATCH</v>
      </c>
      <c r="I37" t="str">
        <f t="shared" si="3"/>
        <v>MATCH</v>
      </c>
      <c r="J37" t="str">
        <f t="shared" si="4"/>
        <v>MATCH</v>
      </c>
      <c r="K37" s="12" t="str">
        <f t="shared" si="5"/>
        <v>MATCH</v>
      </c>
    </row>
    <row r="38">
      <c r="A38" s="155" t="str">
        <f>IFERROR(__xludf.DUMMYFUNCTION("""COMPUTED_VALUE"""),"Rear Wiper")</f>
        <v>Rear Wiper</v>
      </c>
      <c r="B38" t="b">
        <f>IFERROR(__xludf.DUMMYFUNCTION("""COMPUTED_VALUE"""),TRUE)</f>
        <v>1</v>
      </c>
      <c r="C38" t="b">
        <f>IFERROR(__xludf.DUMMYFUNCTION("""COMPUTED_VALUE"""),TRUE)</f>
        <v>1</v>
      </c>
      <c r="D38" t="b">
        <f>IFERROR(__xludf.DUMMYFUNCTION("""COMPUTED_VALUE"""),TRUE)</f>
        <v>1</v>
      </c>
      <c r="E38" t="b">
        <f>IFERROR(__xludf.DUMMYFUNCTION("""COMPUTED_VALUE"""),TRUE)</f>
        <v>1</v>
      </c>
      <c r="F38" s="45" t="b">
        <f>IFERROR(__xludf.DUMMYFUNCTION("""COMPUTED_VALUE"""),TRUE)</f>
        <v>1</v>
      </c>
      <c r="G38" s="45" t="str">
        <f t="shared" si="1"/>
        <v>MATCH</v>
      </c>
      <c r="H38" s="45" t="str">
        <f t="shared" si="2"/>
        <v>MATCH</v>
      </c>
      <c r="I38" t="str">
        <f t="shared" si="3"/>
        <v>MATCH</v>
      </c>
      <c r="J38" t="str">
        <f t="shared" si="4"/>
        <v>MATCH</v>
      </c>
      <c r="K38" s="12" t="str">
        <f t="shared" si="5"/>
        <v>MATCH</v>
      </c>
    </row>
    <row r="39">
      <c r="A39" s="155" t="str">
        <f>IFERROR(__xludf.DUMMYFUNCTION("""COMPUTED_VALUE"""),"Roof Rail")</f>
        <v>Roof Rail</v>
      </c>
      <c r="B39" t="b">
        <f>IFERROR(__xludf.DUMMYFUNCTION("""COMPUTED_VALUE"""),TRUE)</f>
        <v>1</v>
      </c>
      <c r="C39" t="b">
        <f>IFERROR(__xludf.DUMMYFUNCTION("""COMPUTED_VALUE"""),TRUE)</f>
        <v>1</v>
      </c>
      <c r="D39" t="b">
        <f>IFERROR(__xludf.DUMMYFUNCTION("""COMPUTED_VALUE"""),TRUE)</f>
        <v>1</v>
      </c>
      <c r="E39" t="b">
        <f>IFERROR(__xludf.DUMMYFUNCTION("""COMPUTED_VALUE"""),TRUE)</f>
        <v>1</v>
      </c>
      <c r="F39" s="45" t="b">
        <f>IFERROR(__xludf.DUMMYFUNCTION("""COMPUTED_VALUE"""),FALSE)</f>
        <v>0</v>
      </c>
      <c r="G39" s="45" t="str">
        <f t="shared" si="1"/>
        <v>MATCH</v>
      </c>
      <c r="H39" s="45" t="str">
        <f t="shared" si="2"/>
        <v>MATCH</v>
      </c>
      <c r="I39" t="str">
        <f t="shared" si="3"/>
        <v>MISMATCH</v>
      </c>
      <c r="J39" t="str">
        <f t="shared" si="4"/>
        <v>MATCH</v>
      </c>
      <c r="K39" s="12" t="str">
        <f t="shared" si="5"/>
        <v>MATCH</v>
      </c>
    </row>
    <row r="40">
      <c r="A40" s="155" t="str">
        <f>IFERROR(__xludf.DUMMYFUNCTION("""COMPUTED_VALUE"""),"Speakers Front")</f>
        <v>Speakers Front</v>
      </c>
      <c r="B40" t="b">
        <f>IFERROR(__xludf.DUMMYFUNCTION("""COMPUTED_VALUE"""),TRUE)</f>
        <v>1</v>
      </c>
      <c r="C40" t="b">
        <f>IFERROR(__xludf.DUMMYFUNCTION("""COMPUTED_VALUE"""),TRUE)</f>
        <v>1</v>
      </c>
      <c r="D40" t="b">
        <f>IFERROR(__xludf.DUMMYFUNCTION("""COMPUTED_VALUE"""),TRUE)</f>
        <v>1</v>
      </c>
      <c r="E40" t="b">
        <f>IFERROR(__xludf.DUMMYFUNCTION("""COMPUTED_VALUE"""),TRUE)</f>
        <v>1</v>
      </c>
      <c r="F40" s="45" t="b">
        <f>IFERROR(__xludf.DUMMYFUNCTION("""COMPUTED_VALUE"""),TRUE)</f>
        <v>1</v>
      </c>
      <c r="G40" s="45" t="str">
        <f t="shared" si="1"/>
        <v>MATCH</v>
      </c>
      <c r="H40" s="45" t="str">
        <f t="shared" si="2"/>
        <v>MATCH</v>
      </c>
      <c r="I40" t="str">
        <f t="shared" si="3"/>
        <v>MATCH</v>
      </c>
      <c r="J40" t="str">
        <f t="shared" si="4"/>
        <v>MATCH</v>
      </c>
      <c r="K40" s="12" t="str">
        <f t="shared" si="5"/>
        <v>MATCH</v>
      </c>
    </row>
    <row r="41">
      <c r="A41" s="155" t="str">
        <f>IFERROR(__xludf.DUMMYFUNCTION("""COMPUTED_VALUE"""),"Speakers Rear")</f>
        <v>Speakers Rear</v>
      </c>
      <c r="B41" t="b">
        <f>IFERROR(__xludf.DUMMYFUNCTION("""COMPUTED_VALUE"""),TRUE)</f>
        <v>1</v>
      </c>
      <c r="C41" t="b">
        <f>IFERROR(__xludf.DUMMYFUNCTION("""COMPUTED_VALUE"""),TRUE)</f>
        <v>1</v>
      </c>
      <c r="D41" t="b">
        <f>IFERROR(__xludf.DUMMYFUNCTION("""COMPUTED_VALUE"""),TRUE)</f>
        <v>1</v>
      </c>
      <c r="E41" t="b">
        <f>IFERROR(__xludf.DUMMYFUNCTION("""COMPUTED_VALUE"""),TRUE)</f>
        <v>1</v>
      </c>
      <c r="F41" s="45" t="b">
        <f>IFERROR(__xludf.DUMMYFUNCTION("""COMPUTED_VALUE"""),TRUE)</f>
        <v>1</v>
      </c>
      <c r="G41" s="45" t="str">
        <f t="shared" si="1"/>
        <v>MATCH</v>
      </c>
      <c r="H41" s="45" t="str">
        <f t="shared" si="2"/>
        <v>MATCH</v>
      </c>
      <c r="I41" t="str">
        <f t="shared" si="3"/>
        <v>MATCH</v>
      </c>
      <c r="J41" t="str">
        <f t="shared" si="4"/>
        <v>MATCH</v>
      </c>
      <c r="K41" s="12" t="str">
        <f t="shared" si="5"/>
        <v>MATCH</v>
      </c>
    </row>
    <row r="42">
      <c r="A42" s="155" t="str">
        <f>IFERROR(__xludf.DUMMYFUNCTION("""COMPUTED_VALUE"""),"Sun Roof")</f>
        <v>Sun Roof</v>
      </c>
      <c r="B42" t="b">
        <f>IFERROR(__xludf.DUMMYFUNCTION("""COMPUTED_VALUE"""),FALSE)</f>
        <v>0</v>
      </c>
      <c r="C42" t="b">
        <f>IFERROR(__xludf.DUMMYFUNCTION("""COMPUTED_VALUE"""),FALSE)</f>
        <v>0</v>
      </c>
      <c r="D42" t="b">
        <f>IFERROR(__xludf.DUMMYFUNCTION("""COMPUTED_VALUE"""),FALSE)</f>
        <v>0</v>
      </c>
      <c r="E42" t="b">
        <f>IFERROR(__xludf.DUMMYFUNCTION("""COMPUTED_VALUE"""),FALSE)</f>
        <v>0</v>
      </c>
      <c r="F42" s="45" t="b">
        <f>IFERROR(__xludf.DUMMYFUNCTION("""COMPUTED_VALUE"""),FALSE)</f>
        <v>0</v>
      </c>
      <c r="G42" s="45" t="str">
        <f t="shared" si="1"/>
        <v>MATCH</v>
      </c>
      <c r="H42" s="45" t="str">
        <f t="shared" si="2"/>
        <v>MATCH</v>
      </c>
      <c r="I42" t="str">
        <f t="shared" si="3"/>
        <v>MATCH</v>
      </c>
      <c r="J42" t="str">
        <f t="shared" si="4"/>
        <v>MATCH</v>
      </c>
      <c r="K42" s="12" t="str">
        <f t="shared" si="5"/>
        <v>MATCH</v>
      </c>
    </row>
    <row r="43">
      <c r="A43" s="155" t="str">
        <f>IFERROR(__xludf.DUMMYFUNCTION("""COMPUTED_VALUE"""),"Touch Screen")</f>
        <v>Touch Screen</v>
      </c>
      <c r="B43" t="b">
        <f>IFERROR(__xludf.DUMMYFUNCTION("""COMPUTED_VALUE"""),TRUE)</f>
        <v>1</v>
      </c>
      <c r="C43" t="b">
        <f>IFERROR(__xludf.DUMMYFUNCTION("""COMPUTED_VALUE"""),TRUE)</f>
        <v>1</v>
      </c>
      <c r="D43" t="b">
        <f>IFERROR(__xludf.DUMMYFUNCTION("""COMPUTED_VALUE"""),TRUE)</f>
        <v>1</v>
      </c>
      <c r="E43" t="b">
        <f>IFERROR(__xludf.DUMMYFUNCTION("""COMPUTED_VALUE"""),TRUE)</f>
        <v>1</v>
      </c>
      <c r="F43" s="45" t="b">
        <f>IFERROR(__xludf.DUMMYFUNCTION("""COMPUTED_VALUE"""),TRUE)</f>
        <v>1</v>
      </c>
      <c r="G43" s="45" t="str">
        <f t="shared" si="1"/>
        <v>MATCH</v>
      </c>
      <c r="H43" s="45" t="str">
        <f t="shared" si="2"/>
        <v>MATCH</v>
      </c>
      <c r="I43" t="str">
        <f t="shared" si="3"/>
        <v>MATCH</v>
      </c>
      <c r="J43" t="str">
        <f t="shared" si="4"/>
        <v>MATCH</v>
      </c>
      <c r="K43" s="12" t="str">
        <f t="shared" si="5"/>
        <v>MATCH</v>
      </c>
    </row>
    <row r="44">
      <c r="A44" s="155" t="str">
        <f>IFERROR(__xludf.DUMMYFUNCTION("""COMPUTED_VALUE"""),"Turbo Charger")</f>
        <v>Turbo Charger</v>
      </c>
      <c r="B44" t="b">
        <f>IFERROR(__xludf.DUMMYFUNCTION("""COMPUTED_VALUE"""),FALSE)</f>
        <v>0</v>
      </c>
      <c r="C44" t="b">
        <f>IFERROR(__xludf.DUMMYFUNCTION("""COMPUTED_VALUE"""),TRUE)</f>
        <v>1</v>
      </c>
      <c r="D44" t="b">
        <f>IFERROR(__xludf.DUMMYFUNCTION("""COMPUTED_VALUE"""),FALSE)</f>
        <v>0</v>
      </c>
      <c r="E44" t="b">
        <f>IFERROR(__xludf.DUMMYFUNCTION("""COMPUTED_VALUE"""),FALSE)</f>
        <v>0</v>
      </c>
      <c r="F44" s="45" t="b">
        <f>IFERROR(__xludf.DUMMYFUNCTION("""COMPUTED_VALUE"""),FALSE)</f>
        <v>0</v>
      </c>
      <c r="G44" s="45" t="str">
        <f t="shared" si="1"/>
        <v>MATCH</v>
      </c>
      <c r="H44" s="45" t="str">
        <f t="shared" si="2"/>
        <v>MATCH</v>
      </c>
      <c r="I44" t="str">
        <f t="shared" si="3"/>
        <v>MATCH</v>
      </c>
      <c r="J44" t="str">
        <f t="shared" si="4"/>
        <v>MISMATCH</v>
      </c>
      <c r="K44" s="12" t="str">
        <f t="shared" si="5"/>
        <v>MISMATCH</v>
      </c>
    </row>
    <row r="45">
      <c r="A45" s="155" t="str">
        <f>IFERROR(__xludf.DUMMYFUNCTION("""COMPUTED_VALUE"""),"USB/Aux")</f>
        <v>USB/Aux</v>
      </c>
      <c r="B45" t="b">
        <f>IFERROR(__xludf.DUMMYFUNCTION("""COMPUTED_VALUE"""),TRUE)</f>
        <v>1</v>
      </c>
      <c r="C45" t="b">
        <f>IFERROR(__xludf.DUMMYFUNCTION("""COMPUTED_VALUE"""),TRUE)</f>
        <v>1</v>
      </c>
      <c r="D45" t="b">
        <f>IFERROR(__xludf.DUMMYFUNCTION("""COMPUTED_VALUE"""),TRUE)</f>
        <v>1</v>
      </c>
      <c r="E45" t="b">
        <f>IFERROR(__xludf.DUMMYFUNCTION("""COMPUTED_VALUE"""),TRUE)</f>
        <v>1</v>
      </c>
      <c r="F45" s="45" t="b">
        <f>IFERROR(__xludf.DUMMYFUNCTION("""COMPUTED_VALUE"""),TRUE)</f>
        <v>1</v>
      </c>
      <c r="G45" s="45" t="str">
        <f t="shared" si="1"/>
        <v>MATCH</v>
      </c>
      <c r="H45" s="45" t="str">
        <f t="shared" si="2"/>
        <v>MATCH</v>
      </c>
      <c r="I45" t="str">
        <f t="shared" si="3"/>
        <v>MATCH</v>
      </c>
      <c r="J45" t="str">
        <f t="shared" si="4"/>
        <v>MATCH</v>
      </c>
      <c r="K45" s="12" t="str">
        <f t="shared" si="5"/>
        <v>MATCH</v>
      </c>
    </row>
    <row r="49">
      <c r="M49" s="156" t="s">
        <v>303</v>
      </c>
      <c r="N49" s="156"/>
    </row>
    <row r="50">
      <c r="M50" s="157" t="s">
        <v>304</v>
      </c>
      <c r="N50" s="158"/>
    </row>
    <row r="51">
      <c r="M51" s="157" t="s">
        <v>305</v>
      </c>
      <c r="N51" s="159"/>
    </row>
    <row r="52">
      <c r="M52" s="157" t="s">
        <v>306</v>
      </c>
      <c r="N52" s="158"/>
    </row>
    <row r="53">
      <c r="M53" s="157" t="s">
        <v>248</v>
      </c>
      <c r="N53" s="158"/>
    </row>
    <row r="54">
      <c r="M54" s="160" t="s">
        <v>307</v>
      </c>
      <c r="N54" s="158"/>
    </row>
    <row r="55">
      <c r="M55" s="157" t="s">
        <v>308</v>
      </c>
      <c r="N55" s="158"/>
    </row>
    <row r="56">
      <c r="M56" s="158"/>
      <c r="N56" s="159"/>
    </row>
    <row r="57">
      <c r="M57" s="158"/>
      <c r="N57" s="158"/>
    </row>
    <row r="58">
      <c r="M58" s="158"/>
      <c r="N58" s="159"/>
    </row>
    <row r="59">
      <c r="N59" s="159"/>
    </row>
  </sheetData>
  <autoFilter ref="$A$1:$H$45"/>
  <customSheetViews>
    <customSheetView guid="{FE63F5D4-C789-465D-8082-53BD1FC81EBE}" filter="1" showAutoFilter="1">
      <autoFilter ref="$H$3:$H$45"/>
    </customSheetView>
    <customSheetView guid="{836454F6-ECA2-4408-9790-239DAE2F0685}" filter="1" showAutoFilter="1">
      <autoFilter ref="$A$1:$J$45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  <col customWidth="1" min="7" max="7" width="16.25"/>
    <col customWidth="1" min="8" max="8" width="16.13"/>
    <col customWidth="1" min="9" max="9" width="14.75"/>
    <col customWidth="1" min="10" max="10" width="15.88"/>
  </cols>
  <sheetData>
    <row r="1">
      <c r="A1" s="43"/>
      <c r="B1" s="42" t="s">
        <v>309</v>
      </c>
      <c r="C1" s="42" t="s">
        <v>310</v>
      </c>
      <c r="D1" s="45"/>
      <c r="E1" s="43"/>
      <c r="F1" s="43"/>
      <c r="G1" s="43"/>
      <c r="H1" s="43"/>
      <c r="I1" s="43"/>
      <c r="J1" s="43"/>
      <c r="K1" s="42" t="s">
        <v>311</v>
      </c>
      <c r="M1" s="43"/>
      <c r="N1" s="43"/>
      <c r="O1" s="42" t="s">
        <v>67</v>
      </c>
      <c r="P1" s="42" t="s">
        <v>312</v>
      </c>
      <c r="Q1" s="42" t="s">
        <v>313</v>
      </c>
      <c r="R1" s="43"/>
      <c r="S1" s="43"/>
      <c r="T1" s="43"/>
      <c r="U1" s="43"/>
      <c r="V1" s="43"/>
      <c r="W1" s="43"/>
      <c r="X1" s="43"/>
      <c r="Y1" s="43"/>
      <c r="Z1" s="43"/>
    </row>
    <row r="2">
      <c r="A2" s="97" t="s">
        <v>133</v>
      </c>
      <c r="B2" s="97">
        <v>864700.0</v>
      </c>
      <c r="C2" s="97">
        <v>864700.0</v>
      </c>
      <c r="D2" s="43"/>
      <c r="E2" s="43"/>
      <c r="F2" s="43"/>
      <c r="G2" s="43"/>
      <c r="H2" s="43"/>
      <c r="I2" s="43"/>
      <c r="J2" s="43"/>
      <c r="K2" s="45" t="s">
        <v>314</v>
      </c>
      <c r="L2" s="45">
        <v>120.0</v>
      </c>
      <c r="M2" s="45"/>
      <c r="N2" s="43"/>
      <c r="O2" s="44">
        <v>44507.0</v>
      </c>
      <c r="P2" s="45" t="s">
        <v>315</v>
      </c>
      <c r="Q2" s="45">
        <v>350.0</v>
      </c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316</v>
      </c>
      <c r="B3" s="43"/>
      <c r="C3" s="45">
        <v>104114.0</v>
      </c>
      <c r="D3" s="43"/>
      <c r="E3" s="43"/>
      <c r="F3" s="43"/>
      <c r="G3" s="43"/>
      <c r="H3" s="43"/>
      <c r="I3" s="43"/>
      <c r="J3" s="43"/>
      <c r="K3" s="45" t="s">
        <v>317</v>
      </c>
      <c r="L3" s="45">
        <v>125.0</v>
      </c>
      <c r="M3" s="45"/>
      <c r="N3" s="43"/>
      <c r="O3" s="44">
        <v>44594.0</v>
      </c>
      <c r="P3" s="45" t="s">
        <v>315</v>
      </c>
      <c r="Q3" s="45">
        <v>350.0</v>
      </c>
      <c r="R3" s="43"/>
      <c r="S3" s="43"/>
      <c r="T3" s="43"/>
      <c r="U3" s="43"/>
      <c r="V3" s="43"/>
      <c r="W3" s="43"/>
      <c r="X3" s="43"/>
      <c r="Y3" s="43"/>
      <c r="Z3" s="43"/>
    </row>
    <row r="4">
      <c r="A4" s="97" t="s">
        <v>318</v>
      </c>
      <c r="B4" s="97">
        <v>65359.0</v>
      </c>
      <c r="C4" s="99"/>
      <c r="D4" s="43"/>
      <c r="E4" s="43"/>
      <c r="F4" s="43"/>
      <c r="G4" s="43"/>
      <c r="H4" s="43"/>
      <c r="I4" s="43"/>
      <c r="J4" s="43"/>
      <c r="K4" s="45" t="s">
        <v>319</v>
      </c>
      <c r="L4" s="45">
        <v>80.0</v>
      </c>
      <c r="M4" s="45"/>
      <c r="N4" s="43"/>
      <c r="O4" s="44">
        <v>44656.0</v>
      </c>
      <c r="P4" s="45" t="s">
        <v>315</v>
      </c>
      <c r="Q4" s="45">
        <v>350.0</v>
      </c>
      <c r="R4" s="43"/>
      <c r="S4" s="43"/>
      <c r="T4" s="43"/>
      <c r="U4" s="43"/>
      <c r="V4" s="43"/>
      <c r="W4" s="43"/>
      <c r="X4" s="43"/>
      <c r="Y4" s="43"/>
      <c r="Z4" s="43"/>
    </row>
    <row r="5">
      <c r="A5" s="45" t="s">
        <v>320</v>
      </c>
      <c r="B5" s="45">
        <v>44548.0</v>
      </c>
      <c r="C5" s="45">
        <v>48741.0</v>
      </c>
      <c r="D5" s="43"/>
      <c r="E5" s="43"/>
      <c r="F5" s="43"/>
      <c r="G5" s="43"/>
      <c r="H5" s="43"/>
      <c r="I5" s="43"/>
      <c r="J5" s="43"/>
      <c r="K5" s="45" t="s">
        <v>321</v>
      </c>
      <c r="L5" s="45">
        <v>80.0</v>
      </c>
      <c r="M5" s="43"/>
      <c r="N5" s="43"/>
      <c r="O5" s="44">
        <v>44961.0</v>
      </c>
      <c r="P5" s="45" t="s">
        <v>322</v>
      </c>
      <c r="Q5" s="45">
        <v>400.0</v>
      </c>
      <c r="R5" s="43"/>
      <c r="S5" s="43"/>
      <c r="T5" s="43"/>
      <c r="U5" s="43"/>
      <c r="V5" s="43"/>
      <c r="W5" s="43"/>
      <c r="X5" s="43"/>
      <c r="Y5" s="43"/>
      <c r="Z5" s="43"/>
    </row>
    <row r="6">
      <c r="A6" s="97" t="s">
        <v>323</v>
      </c>
      <c r="B6" s="97">
        <v>1500.0</v>
      </c>
      <c r="C6" s="99"/>
      <c r="D6" s="43"/>
      <c r="E6" s="43"/>
      <c r="F6" s="43"/>
      <c r="G6" s="43"/>
      <c r="H6" s="43"/>
      <c r="I6" s="43"/>
      <c r="J6" s="43"/>
      <c r="K6" s="45" t="s">
        <v>324</v>
      </c>
      <c r="L6" s="45">
        <v>90.0</v>
      </c>
      <c r="M6" s="43"/>
      <c r="N6" s="43"/>
      <c r="O6" s="46">
        <v>45047.0</v>
      </c>
      <c r="P6" s="45" t="s">
        <v>322</v>
      </c>
      <c r="Q6" s="45">
        <v>400.0</v>
      </c>
      <c r="R6" s="43"/>
      <c r="S6" s="43"/>
      <c r="T6" s="43"/>
      <c r="U6" s="43"/>
      <c r="V6" s="43"/>
      <c r="W6" s="43"/>
      <c r="X6" s="43"/>
      <c r="Y6" s="43"/>
      <c r="Z6" s="43"/>
    </row>
    <row r="7">
      <c r="A7" s="45" t="s">
        <v>325</v>
      </c>
      <c r="B7" s="43"/>
      <c r="C7" s="45">
        <v>3800.0</v>
      </c>
      <c r="D7" s="43"/>
      <c r="E7" s="43"/>
      <c r="F7" s="43"/>
      <c r="G7" s="43"/>
      <c r="H7" s="43"/>
      <c r="I7" s="43"/>
      <c r="J7" s="43"/>
      <c r="K7" s="45" t="s">
        <v>326</v>
      </c>
      <c r="L7" s="45">
        <v>105.0</v>
      </c>
      <c r="M7" s="43"/>
      <c r="N7" s="43"/>
      <c r="O7" s="44">
        <v>45172.0</v>
      </c>
      <c r="P7" s="45" t="s">
        <v>322</v>
      </c>
      <c r="Q7" s="45">
        <v>400.0</v>
      </c>
      <c r="R7" s="43"/>
      <c r="S7" s="43"/>
      <c r="T7" s="43"/>
      <c r="U7" s="43"/>
      <c r="V7" s="43"/>
      <c r="W7" s="43"/>
      <c r="X7" s="43"/>
      <c r="Y7" s="43"/>
      <c r="Z7" s="43"/>
    </row>
    <row r="8">
      <c r="A8" s="97" t="s">
        <v>327</v>
      </c>
      <c r="B8" s="99"/>
      <c r="C8" s="97">
        <v>4180.0</v>
      </c>
      <c r="D8" s="43"/>
      <c r="E8" s="43"/>
      <c r="F8" s="43"/>
      <c r="G8" s="43"/>
      <c r="H8" s="43"/>
      <c r="I8" s="43"/>
      <c r="J8" s="43"/>
      <c r="K8" s="10" t="s">
        <v>328</v>
      </c>
      <c r="L8" s="45">
        <v>65.0</v>
      </c>
      <c r="M8" s="43"/>
      <c r="N8" s="43"/>
      <c r="O8" s="44">
        <v>45386.0</v>
      </c>
      <c r="P8" s="45" t="s">
        <v>322</v>
      </c>
      <c r="Q8" s="45">
        <v>400.0</v>
      </c>
      <c r="R8" s="43"/>
      <c r="S8" s="43"/>
      <c r="T8" s="43"/>
      <c r="U8" s="43"/>
      <c r="V8" s="43"/>
      <c r="W8" s="43"/>
      <c r="X8" s="43"/>
      <c r="Y8" s="43"/>
      <c r="Z8" s="43"/>
    </row>
    <row r="9">
      <c r="A9" s="45" t="s">
        <v>329</v>
      </c>
      <c r="B9" s="43"/>
      <c r="C9" s="45">
        <v>1950.0</v>
      </c>
      <c r="D9" s="43"/>
      <c r="E9" s="43"/>
      <c r="F9" s="43"/>
      <c r="G9" s="43"/>
      <c r="H9" s="43"/>
      <c r="I9" s="43"/>
      <c r="J9" s="43"/>
      <c r="K9" s="45" t="s">
        <v>330</v>
      </c>
      <c r="L9" s="45">
        <v>70.0</v>
      </c>
      <c r="M9" s="43"/>
      <c r="N9" s="43"/>
      <c r="O9" s="44">
        <v>45521.0</v>
      </c>
      <c r="P9" s="45" t="s">
        <v>331</v>
      </c>
      <c r="Q9" s="45">
        <v>350.0</v>
      </c>
      <c r="R9" s="43"/>
      <c r="S9" s="43"/>
      <c r="T9" s="43"/>
      <c r="U9" s="43"/>
      <c r="V9" s="43"/>
      <c r="W9" s="43"/>
      <c r="X9" s="43"/>
      <c r="Y9" s="43"/>
      <c r="Z9" s="43"/>
    </row>
    <row r="10">
      <c r="A10" s="97" t="s">
        <v>332</v>
      </c>
      <c r="B10" s="99"/>
      <c r="C10" s="97">
        <v>9242.0</v>
      </c>
      <c r="D10" s="43"/>
      <c r="E10" s="43"/>
      <c r="F10" s="43"/>
      <c r="G10" s="43"/>
      <c r="H10" s="43"/>
      <c r="I10" s="43"/>
      <c r="J10" s="43"/>
      <c r="K10" s="45" t="s">
        <v>333</v>
      </c>
      <c r="L10" s="45">
        <v>20.0</v>
      </c>
      <c r="M10" s="43"/>
      <c r="N10" s="43"/>
      <c r="O10" s="44">
        <v>45591.0</v>
      </c>
      <c r="P10" s="45" t="s">
        <v>334</v>
      </c>
      <c r="Q10" s="45">
        <v>400.0</v>
      </c>
      <c r="R10" s="45" t="s">
        <v>335</v>
      </c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161" t="s">
        <v>336</v>
      </c>
      <c r="L11" s="162">
        <f>(L2+L3+L5)</f>
        <v>325</v>
      </c>
      <c r="M11" s="43"/>
      <c r="N11" s="43"/>
      <c r="O11" s="163">
        <v>45681.0</v>
      </c>
      <c r="P11" s="45" t="s">
        <v>331</v>
      </c>
      <c r="Q11" s="45">
        <v>400.0</v>
      </c>
      <c r="R11" s="10" t="s">
        <v>337</v>
      </c>
      <c r="S11" s="43"/>
      <c r="T11" s="43"/>
      <c r="U11" s="43"/>
      <c r="V11" s="43"/>
      <c r="W11" s="43"/>
      <c r="X11" s="43"/>
      <c r="Y11" s="43"/>
      <c r="Z11" s="43"/>
    </row>
    <row r="12">
      <c r="A12" s="83" t="s">
        <v>338</v>
      </c>
      <c r="B12" s="103">
        <f>SUM(B2,B4,B5)</f>
        <v>974607</v>
      </c>
      <c r="C12" s="103">
        <f>SUM(C2,C5,C7)</f>
        <v>917241</v>
      </c>
      <c r="D12" s="43"/>
      <c r="E12" s="43"/>
      <c r="F12" s="43"/>
      <c r="G12" s="43"/>
      <c r="H12" s="43"/>
      <c r="I12" s="43"/>
      <c r="J12" s="43"/>
      <c r="K12" s="161" t="s">
        <v>339</v>
      </c>
      <c r="L12" s="162">
        <f>(L11+L6)</f>
        <v>415</v>
      </c>
      <c r="M12" s="43"/>
      <c r="N12" s="43"/>
      <c r="O12" s="44">
        <v>45886.0</v>
      </c>
      <c r="P12" s="45" t="s">
        <v>334</v>
      </c>
      <c r="Q12" s="45">
        <v>150.0</v>
      </c>
      <c r="R12" s="45" t="s">
        <v>340</v>
      </c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161" t="s">
        <v>341</v>
      </c>
      <c r="L13" s="162">
        <f>(L2+L5+L9)</f>
        <v>270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161" t="s">
        <v>342</v>
      </c>
      <c r="L14" s="162">
        <f>(L13+L6)</f>
        <v>360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161" t="s">
        <v>343</v>
      </c>
      <c r="L15" s="162">
        <f>(L9)</f>
        <v>70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164" t="s">
        <v>344</v>
      </c>
      <c r="E16" s="165" t="s">
        <v>345</v>
      </c>
      <c r="F16" s="166" t="s">
        <v>346</v>
      </c>
      <c r="G16" s="166" t="s">
        <v>5</v>
      </c>
      <c r="H16" s="166" t="s">
        <v>6</v>
      </c>
      <c r="I16" s="166" t="s">
        <v>267</v>
      </c>
      <c r="J16" s="167" t="s">
        <v>347</v>
      </c>
      <c r="K16" s="168" t="s">
        <v>348</v>
      </c>
      <c r="L16" s="162">
        <f>(L9+L7)</f>
        <v>175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169"/>
      <c r="E17" s="170">
        <v>44464.0</v>
      </c>
      <c r="F17" s="171">
        <v>2000.0</v>
      </c>
      <c r="G17" s="172"/>
      <c r="H17" s="172"/>
      <c r="I17" s="172"/>
      <c r="J17" s="173"/>
      <c r="K17" s="10" t="s">
        <v>349</v>
      </c>
      <c r="L17" s="174">
        <v>6435.0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175"/>
      <c r="E18" s="176">
        <v>44478.0</v>
      </c>
      <c r="F18" s="177">
        <v>1000.0</v>
      </c>
      <c r="G18" s="178"/>
      <c r="H18" s="177">
        <v>108.05</v>
      </c>
      <c r="I18" s="178"/>
      <c r="J18" s="179" t="s">
        <v>31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169">
        <f>(G19-G18)</f>
        <v>0</v>
      </c>
      <c r="E19" s="170">
        <v>44500.0</v>
      </c>
      <c r="F19" s="171">
        <v>2000.0</v>
      </c>
      <c r="G19" s="172"/>
      <c r="H19" s="172"/>
      <c r="I19" s="172"/>
      <c r="J19" s="17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/>
      <c r="B20" s="43"/>
      <c r="C20" s="43"/>
      <c r="D20" s="175"/>
      <c r="E20" s="176">
        <v>44505.0</v>
      </c>
      <c r="F20" s="177">
        <v>1500.0</v>
      </c>
      <c r="G20" s="178"/>
      <c r="H20" s="177">
        <v>108.29</v>
      </c>
      <c r="I20" s="178"/>
      <c r="J20" s="179" t="s">
        <v>22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3"/>
      <c r="B21" s="43"/>
      <c r="C21" s="43"/>
      <c r="D21" s="169"/>
      <c r="E21" s="170">
        <v>44507.0</v>
      </c>
      <c r="F21" s="171">
        <v>1000.0</v>
      </c>
      <c r="G21" s="172"/>
      <c r="H21" s="171">
        <v>108.72</v>
      </c>
      <c r="I21" s="172"/>
      <c r="J21" s="180" t="s">
        <v>22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3"/>
      <c r="B22" s="43"/>
      <c r="C22" s="43"/>
      <c r="D22" s="175"/>
      <c r="E22" s="176">
        <v>44525.0</v>
      </c>
      <c r="F22" s="177">
        <v>2500.0</v>
      </c>
      <c r="G22" s="178"/>
      <c r="H22" s="177">
        <v>108.29</v>
      </c>
      <c r="I22" s="178"/>
      <c r="J22" s="179" t="s">
        <v>24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3"/>
      <c r="B23" s="43"/>
      <c r="C23" s="43"/>
      <c r="D23" s="169"/>
      <c r="E23" s="170">
        <v>44531.0</v>
      </c>
      <c r="F23" s="171">
        <v>1500.0</v>
      </c>
      <c r="G23" s="172"/>
      <c r="H23" s="171">
        <v>108.26</v>
      </c>
      <c r="I23" s="172"/>
      <c r="J23" s="180" t="s">
        <v>24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3"/>
      <c r="B24" s="43"/>
      <c r="C24" s="43"/>
      <c r="D24" s="175"/>
      <c r="E24" s="176">
        <v>44532.0</v>
      </c>
      <c r="F24" s="177">
        <v>1500.0</v>
      </c>
      <c r="G24" s="178"/>
      <c r="H24" s="177">
        <v>108.47</v>
      </c>
      <c r="I24" s="178"/>
      <c r="J24" s="179" t="s">
        <v>24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169"/>
      <c r="E25" s="170">
        <v>44536.0</v>
      </c>
      <c r="F25" s="171">
        <v>510.0</v>
      </c>
      <c r="G25" s="171">
        <v>2262.0</v>
      </c>
      <c r="H25" s="171">
        <v>108.55</v>
      </c>
      <c r="I25" s="172">
        <f t="shared" ref="I25:I26" si="1">((G26-G25)/F25)*(H25)</f>
        <v>54.06215686</v>
      </c>
      <c r="J25" s="180" t="s">
        <v>22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175"/>
      <c r="E26" s="176">
        <v>44541.0</v>
      </c>
      <c r="F26" s="177">
        <v>2505.0</v>
      </c>
      <c r="G26" s="177">
        <v>2516.0</v>
      </c>
      <c r="H26" s="177">
        <v>108.26</v>
      </c>
      <c r="I26" s="178">
        <f t="shared" si="1"/>
        <v>4.494626747</v>
      </c>
      <c r="J26" s="179" t="s">
        <v>31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169">
        <f>(G27-G26)</f>
        <v>104</v>
      </c>
      <c r="E27" s="170">
        <v>44548.0</v>
      </c>
      <c r="F27" s="171">
        <v>4161.96</v>
      </c>
      <c r="G27" s="171">
        <v>2620.0</v>
      </c>
      <c r="H27" s="171">
        <v>108.3</v>
      </c>
      <c r="I27" s="172"/>
      <c r="J27" s="180" t="s">
        <v>24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175"/>
      <c r="E28" s="176">
        <v>44556.0</v>
      </c>
      <c r="F28" s="177">
        <v>1010.0</v>
      </c>
      <c r="G28" s="177">
        <v>3056.0</v>
      </c>
      <c r="H28" s="177">
        <v>108.48</v>
      </c>
      <c r="I28" s="178"/>
      <c r="J28" s="179" t="s">
        <v>22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169"/>
      <c r="E29" s="181">
        <v>44562.0</v>
      </c>
      <c r="F29" s="171">
        <v>1010.0</v>
      </c>
      <c r="G29" s="172"/>
      <c r="H29" s="171">
        <v>108.48</v>
      </c>
      <c r="I29" s="172"/>
      <c r="J29" s="180" t="s">
        <v>24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175"/>
      <c r="E30" s="176">
        <v>44575.0</v>
      </c>
      <c r="F30" s="177">
        <v>2111.0</v>
      </c>
      <c r="G30" s="177">
        <v>3511.0</v>
      </c>
      <c r="H30" s="177">
        <v>108.72</v>
      </c>
      <c r="I30" s="178">
        <f>((G30-G25)/sum(F25:F29))*(SUM(H25:H30)/6)</f>
        <v>14.73017008</v>
      </c>
      <c r="J30" s="179" t="s">
        <v>22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169"/>
      <c r="E31" s="170">
        <v>44584.0</v>
      </c>
      <c r="F31" s="171">
        <v>345.0</v>
      </c>
      <c r="G31" s="172"/>
      <c r="H31" s="172"/>
      <c r="I31" s="172"/>
      <c r="J31" s="17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175"/>
      <c r="E32" s="176">
        <v>44587.0</v>
      </c>
      <c r="F32" s="177">
        <v>500.0</v>
      </c>
      <c r="G32" s="177">
        <v>3856.0</v>
      </c>
      <c r="H32" s="177">
        <v>108.29</v>
      </c>
      <c r="I32" s="178">
        <f>((G32-G30)/sum(F30:F31))*(SUM(H30:H32)/2)</f>
        <v>15.24194829</v>
      </c>
      <c r="J32" s="179" t="s">
        <v>22</v>
      </c>
      <c r="K32" s="43"/>
      <c r="L32" s="43"/>
      <c r="M32" s="43">
        <f>((G83-G25)/SUM(F25:F83))*(AVERAGE(H25:H83))</f>
        <v>12.71736146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169"/>
      <c r="E33" s="170">
        <v>44603.0</v>
      </c>
      <c r="F33" s="171">
        <v>4000.0</v>
      </c>
      <c r="G33" s="172"/>
      <c r="H33" s="171">
        <v>108.72</v>
      </c>
      <c r="I33" s="172"/>
      <c r="J33" s="180" t="s">
        <v>22</v>
      </c>
      <c r="K33" s="43"/>
      <c r="L33" s="45" t="s">
        <v>350</v>
      </c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175"/>
      <c r="E34" s="176">
        <v>44618.0</v>
      </c>
      <c r="F34" s="177">
        <v>2340.0</v>
      </c>
      <c r="G34" s="178"/>
      <c r="H34" s="177">
        <v>108.29</v>
      </c>
      <c r="I34" s="178"/>
      <c r="J34" s="179" t="s">
        <v>22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169"/>
      <c r="E35" s="170">
        <v>44639.0</v>
      </c>
      <c r="F35" s="171">
        <v>2000.0</v>
      </c>
      <c r="G35" s="171">
        <v>4722.0</v>
      </c>
      <c r="H35" s="171">
        <v>108.3</v>
      </c>
      <c r="I35" s="172">
        <f>((G35-G32)/sum(F32:F34))*(SUM(H32:H34)/3)</f>
        <v>13.72854776</v>
      </c>
      <c r="J35" s="180" t="s">
        <v>22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175"/>
      <c r="E36" s="176">
        <v>44656.0</v>
      </c>
      <c r="F36" s="177">
        <v>2000.0</v>
      </c>
      <c r="G36" s="177">
        <v>5142.0</v>
      </c>
      <c r="H36" s="177">
        <v>118.67</v>
      </c>
      <c r="I36" s="178">
        <f t="shared" ref="I36:I50" si="2">((G36-G35)/F35)*(H35)</f>
        <v>22.743</v>
      </c>
      <c r="J36" s="179" t="s">
        <v>22</v>
      </c>
      <c r="K36" s="43"/>
      <c r="L36" s="43"/>
      <c r="M36" s="43"/>
      <c r="N36" s="43"/>
      <c r="O36" s="182" t="s">
        <v>351</v>
      </c>
      <c r="R36" s="43"/>
      <c r="S36" s="10" t="s">
        <v>352</v>
      </c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169"/>
      <c r="E37" s="170">
        <v>44668.0</v>
      </c>
      <c r="F37" s="171">
        <v>2500.0</v>
      </c>
      <c r="G37" s="171">
        <v>5394.0</v>
      </c>
      <c r="H37" s="171">
        <v>119.49</v>
      </c>
      <c r="I37" s="172">
        <f t="shared" si="2"/>
        <v>14.95242</v>
      </c>
      <c r="J37" s="180" t="s">
        <v>22</v>
      </c>
      <c r="K37" s="43"/>
      <c r="L37" s="43"/>
      <c r="M37" s="43"/>
      <c r="N37" s="43"/>
      <c r="O37" s="42" t="s">
        <v>67</v>
      </c>
      <c r="P37" s="42" t="s">
        <v>2</v>
      </c>
      <c r="Q37" s="119" t="s">
        <v>353</v>
      </c>
      <c r="R37" s="42" t="s">
        <v>354</v>
      </c>
      <c r="S37" s="42" t="s">
        <v>355</v>
      </c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175"/>
      <c r="E38" s="183">
        <v>44695.0</v>
      </c>
      <c r="F38" s="177">
        <v>4321.0</v>
      </c>
      <c r="G38" s="177">
        <v>5870.0</v>
      </c>
      <c r="H38" s="177">
        <v>119.58</v>
      </c>
      <c r="I38" s="178">
        <f t="shared" si="2"/>
        <v>22.750896</v>
      </c>
      <c r="J38" s="179" t="s">
        <v>22</v>
      </c>
      <c r="K38" s="43"/>
      <c r="L38" s="43"/>
      <c r="M38" s="43"/>
      <c r="N38" s="43"/>
      <c r="O38" s="44">
        <v>44478.0</v>
      </c>
      <c r="P38" s="45">
        <v>650.0</v>
      </c>
      <c r="Q38" s="41" t="s">
        <v>356</v>
      </c>
      <c r="R38" s="10" t="s">
        <v>357</v>
      </c>
      <c r="S38" s="1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169"/>
      <c r="E39" s="184">
        <v>44742.0</v>
      </c>
      <c r="F39" s="171">
        <v>3234.97</v>
      </c>
      <c r="G39" s="171">
        <v>6171.0</v>
      </c>
      <c r="H39" s="171">
        <v>109.66</v>
      </c>
      <c r="I39" s="172">
        <f t="shared" si="2"/>
        <v>8.329919</v>
      </c>
      <c r="J39" s="180" t="s">
        <v>22</v>
      </c>
      <c r="L39" s="43"/>
      <c r="M39" s="43"/>
      <c r="N39" s="43"/>
      <c r="O39" s="44">
        <v>44787.0</v>
      </c>
      <c r="P39" s="45">
        <v>6890.0</v>
      </c>
      <c r="Q39" s="185">
        <v>4113.0</v>
      </c>
      <c r="R39" s="10" t="s">
        <v>357</v>
      </c>
      <c r="S39" s="10" t="s">
        <v>358</v>
      </c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175"/>
      <c r="E40" s="176">
        <v>44787.0</v>
      </c>
      <c r="F40" s="177">
        <v>4198.55</v>
      </c>
      <c r="G40" s="177">
        <v>6723.0</v>
      </c>
      <c r="H40" s="177">
        <v>109.68</v>
      </c>
      <c r="I40" s="178">
        <f t="shared" si="2"/>
        <v>18.71186441</v>
      </c>
      <c r="J40" s="179" t="s">
        <v>22</v>
      </c>
      <c r="K40" s="43"/>
      <c r="L40" s="43"/>
      <c r="M40" s="43"/>
      <c r="N40" s="43"/>
      <c r="O40" s="44">
        <v>45145.0</v>
      </c>
      <c r="P40" s="45">
        <v>12661.0</v>
      </c>
      <c r="Q40" s="185">
        <v>3472.0</v>
      </c>
      <c r="R40" s="10" t="s">
        <v>359</v>
      </c>
      <c r="S40" s="34" t="s">
        <v>358</v>
      </c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169"/>
      <c r="E41" s="170">
        <v>44861.0</v>
      </c>
      <c r="F41" s="171">
        <v>3799.71</v>
      </c>
      <c r="G41" s="171">
        <v>7134.0</v>
      </c>
      <c r="H41" s="171">
        <v>109.66</v>
      </c>
      <c r="I41" s="172">
        <f t="shared" si="2"/>
        <v>10.73667814</v>
      </c>
      <c r="J41" s="180" t="s">
        <v>22</v>
      </c>
      <c r="L41" s="43"/>
      <c r="M41" s="43"/>
      <c r="N41" s="43"/>
      <c r="O41" s="44">
        <v>45500.0</v>
      </c>
      <c r="P41" s="45">
        <v>19538.0</v>
      </c>
      <c r="Q41" s="45">
        <v>9369.0</v>
      </c>
      <c r="R41" s="10" t="s">
        <v>359</v>
      </c>
      <c r="S41" s="10" t="s">
        <v>358</v>
      </c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175"/>
      <c r="E42" s="176">
        <v>44905.0</v>
      </c>
      <c r="F42" s="177">
        <v>3600.0</v>
      </c>
      <c r="G42" s="177">
        <v>7622.0</v>
      </c>
      <c r="H42" s="177">
        <v>109.66</v>
      </c>
      <c r="I42" s="178">
        <f t="shared" si="2"/>
        <v>14.08372744</v>
      </c>
      <c r="J42" s="179" t="s">
        <v>22</v>
      </c>
      <c r="L42" s="43"/>
      <c r="M42" s="43"/>
      <c r="N42" s="43"/>
      <c r="O42" s="44">
        <v>45844.0</v>
      </c>
      <c r="P42" s="45">
        <v>27290.0</v>
      </c>
      <c r="Q42" s="45">
        <v>9649.0</v>
      </c>
      <c r="R42" s="10" t="s">
        <v>360</v>
      </c>
      <c r="S42" s="10" t="s">
        <v>358</v>
      </c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169"/>
      <c r="E43" s="170">
        <v>44913.0</v>
      </c>
      <c r="F43" s="171">
        <v>3640.71</v>
      </c>
      <c r="G43" s="171">
        <v>8105.0</v>
      </c>
      <c r="H43" s="171">
        <v>109.66</v>
      </c>
      <c r="I43" s="172">
        <f t="shared" si="2"/>
        <v>14.71271667</v>
      </c>
      <c r="J43" s="180" t="s">
        <v>22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175"/>
      <c r="E44" s="176">
        <v>44919.0</v>
      </c>
      <c r="F44" s="177">
        <v>3395.0</v>
      </c>
      <c r="G44" s="177">
        <v>8610.0</v>
      </c>
      <c r="H44" s="177">
        <v>109.66</v>
      </c>
      <c r="I44" s="178">
        <f t="shared" si="2"/>
        <v>15.21085173</v>
      </c>
      <c r="J44" s="179" t="s">
        <v>22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169"/>
      <c r="E45" s="170">
        <v>44961.0</v>
      </c>
      <c r="F45" s="171">
        <v>4299.45</v>
      </c>
      <c r="G45" s="171">
        <v>9073.0</v>
      </c>
      <c r="H45" s="171">
        <v>109.68</v>
      </c>
      <c r="I45" s="172">
        <f t="shared" si="2"/>
        <v>14.95510457</v>
      </c>
      <c r="J45" s="180" t="s">
        <v>22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175"/>
      <c r="E46" s="176">
        <v>45010.0</v>
      </c>
      <c r="F46" s="177">
        <v>3805.2</v>
      </c>
      <c r="G46" s="177">
        <v>9512.0</v>
      </c>
      <c r="H46" s="177">
        <v>109.66</v>
      </c>
      <c r="I46" s="178">
        <f t="shared" si="2"/>
        <v>11.19899522</v>
      </c>
      <c r="J46" s="179" t="s">
        <v>22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169"/>
      <c r="E47" s="170">
        <v>45044.0</v>
      </c>
      <c r="F47" s="171">
        <v>3700.0</v>
      </c>
      <c r="G47" s="171">
        <v>9927.0</v>
      </c>
      <c r="H47" s="186">
        <v>109.21</v>
      </c>
      <c r="I47" s="172">
        <f t="shared" si="2"/>
        <v>11.95966046</v>
      </c>
      <c r="J47" s="180" t="s">
        <v>24</v>
      </c>
      <c r="K47" s="10" t="s">
        <v>361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175"/>
      <c r="E48" s="183">
        <v>45047.0</v>
      </c>
      <c r="F48" s="177">
        <v>4300.0</v>
      </c>
      <c r="G48" s="177">
        <v>10523.0</v>
      </c>
      <c r="H48" s="177">
        <v>109.52</v>
      </c>
      <c r="I48" s="178">
        <f t="shared" si="2"/>
        <v>17.59166486</v>
      </c>
      <c r="J48" s="179" t="s">
        <v>24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169"/>
      <c r="E49" s="170">
        <v>45085.0</v>
      </c>
      <c r="F49" s="171">
        <v>1345.0</v>
      </c>
      <c r="G49" s="171">
        <v>10925.0</v>
      </c>
      <c r="H49" s="171">
        <v>109.65</v>
      </c>
      <c r="I49" s="172">
        <f t="shared" si="2"/>
        <v>10.23884651</v>
      </c>
      <c r="J49" s="180" t="s">
        <v>24</v>
      </c>
      <c r="K49" s="10" t="s">
        <v>362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175"/>
      <c r="E50" s="176">
        <v>45091.0</v>
      </c>
      <c r="F50" s="177">
        <v>1400.0</v>
      </c>
      <c r="G50" s="177">
        <v>11014.0</v>
      </c>
      <c r="H50" s="177">
        <v>109.66</v>
      </c>
      <c r="I50" s="178">
        <f t="shared" si="2"/>
        <v>7.255650558</v>
      </c>
      <c r="J50" s="179" t="s">
        <v>22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169"/>
      <c r="E51" s="170">
        <v>45109.0</v>
      </c>
      <c r="F51" s="171">
        <v>4151.7</v>
      </c>
      <c r="G51" s="171">
        <v>11513.0</v>
      </c>
      <c r="H51" s="171">
        <v>109.07</v>
      </c>
      <c r="I51" s="172">
        <f t="shared" ref="I51:I53" si="3">((G51-G50)/F51)*(H51)</f>
        <v>13.10931185</v>
      </c>
      <c r="J51" s="180" t="s">
        <v>22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175"/>
      <c r="E52" s="176">
        <v>45127.0</v>
      </c>
      <c r="F52" s="177">
        <v>4151.0</v>
      </c>
      <c r="G52" s="177">
        <v>11906.0</v>
      </c>
      <c r="H52" s="177">
        <v>109.66</v>
      </c>
      <c r="I52" s="178">
        <f t="shared" si="3"/>
        <v>10.38216815</v>
      </c>
      <c r="J52" s="179" t="s">
        <v>22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169"/>
      <c r="E53" s="170">
        <v>45131.0</v>
      </c>
      <c r="F53" s="171">
        <v>3690.92</v>
      </c>
      <c r="G53" s="171">
        <v>12467.0</v>
      </c>
      <c r="H53" s="171">
        <v>109.66</v>
      </c>
      <c r="I53" s="172">
        <f t="shared" si="3"/>
        <v>16.66773054</v>
      </c>
      <c r="J53" s="180" t="s">
        <v>22</v>
      </c>
      <c r="K53" s="10" t="s">
        <v>363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175"/>
      <c r="E54" s="176">
        <v>45161.0</v>
      </c>
      <c r="F54" s="177">
        <v>456.0</v>
      </c>
      <c r="G54" s="177">
        <v>12842.0</v>
      </c>
      <c r="H54" s="177">
        <v>109.68</v>
      </c>
      <c r="I54" s="178">
        <f t="shared" ref="I54:I59" si="4">((G54-G53)/F53)*(H54)</f>
        <v>11.14356312</v>
      </c>
      <c r="J54" s="179" t="s">
        <v>24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169"/>
      <c r="E55" s="187">
        <v>45161.0</v>
      </c>
      <c r="F55" s="171">
        <v>4125.4</v>
      </c>
      <c r="G55" s="171">
        <v>12846.0</v>
      </c>
      <c r="H55" s="171">
        <v>109.66</v>
      </c>
      <c r="I55" s="172">
        <f t="shared" si="4"/>
        <v>0.9619298246</v>
      </c>
      <c r="J55" s="180" t="s">
        <v>22</v>
      </c>
      <c r="K55" s="10" t="s">
        <v>364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175"/>
      <c r="E56" s="176">
        <v>45171.0</v>
      </c>
      <c r="F56" s="178">
        <f>(620.32+4001.45)</f>
        <v>4621.77</v>
      </c>
      <c r="G56" s="177">
        <v>13341.0</v>
      </c>
      <c r="H56" s="177">
        <v>109.93</v>
      </c>
      <c r="I56" s="178">
        <f t="shared" si="4"/>
        <v>13.19032094</v>
      </c>
      <c r="J56" s="179" t="s">
        <v>22</v>
      </c>
      <c r="K56" s="26" t="s">
        <v>365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169"/>
      <c r="E57" s="170">
        <v>45185.0</v>
      </c>
      <c r="F57" s="171">
        <v>3902.8</v>
      </c>
      <c r="G57" s="171">
        <v>13918.0</v>
      </c>
      <c r="H57" s="171">
        <v>109.66</v>
      </c>
      <c r="I57" s="172">
        <f t="shared" si="4"/>
        <v>13.69038702</v>
      </c>
      <c r="J57" s="180" t="s">
        <v>22</v>
      </c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175"/>
      <c r="E58" s="176">
        <v>45226.0</v>
      </c>
      <c r="F58" s="177">
        <v>4000.0</v>
      </c>
      <c r="G58" s="177">
        <v>14281.0</v>
      </c>
      <c r="H58" s="177">
        <v>109.66</v>
      </c>
      <c r="I58" s="178">
        <f t="shared" si="4"/>
        <v>10.19949267</v>
      </c>
      <c r="J58" s="179" t="s">
        <v>24</v>
      </c>
      <c r="K58" s="10" t="s">
        <v>366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169"/>
      <c r="E59" s="187">
        <v>45280.0</v>
      </c>
      <c r="F59" s="171">
        <v>1000.0</v>
      </c>
      <c r="G59" s="171">
        <v>14686.0</v>
      </c>
      <c r="H59" s="171">
        <v>109.8</v>
      </c>
      <c r="I59" s="172">
        <f t="shared" si="4"/>
        <v>11.11725</v>
      </c>
      <c r="J59" s="180" t="s">
        <v>22</v>
      </c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175"/>
      <c r="E60" s="188">
        <v>45284.0</v>
      </c>
      <c r="F60" s="177">
        <v>4301.17</v>
      </c>
      <c r="G60" s="177">
        <v>14932.0</v>
      </c>
      <c r="H60" s="177">
        <v>109.64</v>
      </c>
      <c r="I60" s="178">
        <f>((G60-G58)/(F58+F59))*((H59+H60)/2)</f>
        <v>14.285544</v>
      </c>
      <c r="J60" s="179" t="s">
        <v>22</v>
      </c>
      <c r="K60" s="45" t="s">
        <v>367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169"/>
      <c r="E61" s="170">
        <v>45297.0</v>
      </c>
      <c r="F61" s="171">
        <v>3500.0</v>
      </c>
      <c r="G61" s="171">
        <v>15372.0</v>
      </c>
      <c r="H61" s="171">
        <v>109.68</v>
      </c>
      <c r="I61" s="172">
        <f>(G61-G60)/(F61)*(H61)</f>
        <v>13.78834286</v>
      </c>
      <c r="J61" s="180" t="s">
        <v>22</v>
      </c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175"/>
      <c r="E62" s="176">
        <v>45321.0</v>
      </c>
      <c r="F62" s="177">
        <v>1000.0</v>
      </c>
      <c r="G62" s="177">
        <v>15902.0</v>
      </c>
      <c r="H62" s="177">
        <v>109.66</v>
      </c>
      <c r="I62" s="178">
        <f t="shared" ref="I62:I65" si="5">(G62-G61)/(F61)*(H62)</f>
        <v>16.60565714</v>
      </c>
      <c r="J62" s="179" t="s">
        <v>22</v>
      </c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169"/>
      <c r="E63" s="170">
        <v>45326.0</v>
      </c>
      <c r="F63" s="171">
        <v>4339.75</v>
      </c>
      <c r="G63" s="171">
        <v>15994.0</v>
      </c>
      <c r="H63" s="171">
        <v>116.0</v>
      </c>
      <c r="I63" s="172">
        <f t="shared" si="5"/>
        <v>10.672</v>
      </c>
      <c r="J63" s="180" t="s">
        <v>22</v>
      </c>
      <c r="K63" s="45" t="s">
        <v>368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175"/>
      <c r="E64" s="176">
        <v>45351.0</v>
      </c>
      <c r="F64" s="177">
        <v>3320.0</v>
      </c>
      <c r="G64" s="177">
        <v>16402.0</v>
      </c>
      <c r="H64" s="177">
        <v>109.66</v>
      </c>
      <c r="I64" s="178">
        <f t="shared" si="5"/>
        <v>10.30964456</v>
      </c>
      <c r="J64" s="179" t="s">
        <v>22</v>
      </c>
      <c r="K64" s="189" t="s">
        <v>369</v>
      </c>
      <c r="L64" s="43"/>
      <c r="M64" s="43"/>
      <c r="N64" s="45" t="s">
        <v>370</v>
      </c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169"/>
      <c r="E65" s="170">
        <v>45377.0</v>
      </c>
      <c r="F65" s="171">
        <v>4200.8</v>
      </c>
      <c r="G65" s="171">
        <v>16751.0</v>
      </c>
      <c r="H65" s="171">
        <v>107.66</v>
      </c>
      <c r="I65" s="172">
        <f t="shared" si="5"/>
        <v>11.31727108</v>
      </c>
      <c r="J65" s="180" t="s">
        <v>22</v>
      </c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175"/>
      <c r="E66" s="176">
        <v>45389.0</v>
      </c>
      <c r="F66" s="177">
        <v>4000.0</v>
      </c>
      <c r="G66" s="177">
        <v>17203.0</v>
      </c>
      <c r="H66" s="177">
        <v>107.22</v>
      </c>
      <c r="I66" s="178">
        <f t="shared" ref="I66:I74" si="6">(G66-G65)/(F65)*(H65)</f>
        <v>11.58406018</v>
      </c>
      <c r="J66" s="179" t="s">
        <v>22</v>
      </c>
      <c r="K66" s="43"/>
      <c r="L66" s="43"/>
      <c r="M66" s="190" t="s">
        <v>24</v>
      </c>
      <c r="N66" s="191" t="s">
        <v>31</v>
      </c>
      <c r="O66" s="192" t="s">
        <v>22</v>
      </c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169"/>
      <c r="E67" s="170">
        <v>45401.0</v>
      </c>
      <c r="F67" s="171">
        <v>4001.02</v>
      </c>
      <c r="G67" s="171">
        <v>17735.0</v>
      </c>
      <c r="H67" s="171">
        <v>107.41</v>
      </c>
      <c r="I67" s="172">
        <f t="shared" si="6"/>
        <v>14.26026</v>
      </c>
      <c r="J67" s="180" t="s">
        <v>22</v>
      </c>
      <c r="K67" s="43"/>
      <c r="L67" s="43"/>
      <c r="M67" s="193">
        <f>SUMIF(J17:J100,"Bharat",I17:I100)/COUNTIFS(J17:J72,"Bharat",I17:I72,"&lt;&gt;")</f>
        <v>17.93016753</v>
      </c>
      <c r="N67" s="194">
        <f>SUMIF(J17:J100,"HP",I17:I100)/COUNTIFS(J17:J72,"HP",I17:I72,"&lt;&gt;")</f>
        <v>14.37813634</v>
      </c>
      <c r="O67" s="195">
        <f>AVERAGEIFS(I17:I100,I17:I100,"&lt;&gt;",J17:J100,"Indian Oil")</f>
        <v>13.98022563</v>
      </c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175"/>
      <c r="E68" s="183">
        <v>45432.0</v>
      </c>
      <c r="F68" s="177">
        <v>4039.69</v>
      </c>
      <c r="G68" s="177">
        <v>18102.0</v>
      </c>
      <c r="H68" s="177">
        <v>107.41</v>
      </c>
      <c r="I68" s="178">
        <f t="shared" si="6"/>
        <v>9.852355149</v>
      </c>
      <c r="J68" s="179" t="s">
        <v>22</v>
      </c>
      <c r="K68" s="10" t="s">
        <v>371</v>
      </c>
      <c r="L68" s="43"/>
      <c r="M68" s="196">
        <f>COUNTIFS(J17:J72,"Bharat",I17:I72,"&lt;&gt;")</f>
        <v>5</v>
      </c>
      <c r="N68" s="196">
        <f>COUNTIFS(J17:J72,"HP",I17:I72,"&lt;&gt;")</f>
        <v>2</v>
      </c>
      <c r="O68" s="43">
        <f>COUNTIFS(J17:J100,"Indian Oil",I17:I100,"&lt;&gt;")</f>
        <v>44</v>
      </c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169">
        <f>(G69-G68)</f>
        <v>370</v>
      </c>
      <c r="E69" s="170">
        <v>45452.0</v>
      </c>
      <c r="F69" s="171">
        <v>4080.68</v>
      </c>
      <c r="G69" s="171">
        <v>18472.0</v>
      </c>
      <c r="H69" s="171">
        <v>107.4</v>
      </c>
      <c r="I69" s="172">
        <f t="shared" si="6"/>
        <v>9.837809337</v>
      </c>
      <c r="J69" s="180" t="s">
        <v>31</v>
      </c>
      <c r="K69" s="45" t="s">
        <v>372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175"/>
      <c r="E70" s="176">
        <v>45467.0</v>
      </c>
      <c r="F70" s="177">
        <v>2000.0</v>
      </c>
      <c r="G70" s="177">
        <v>19004.0</v>
      </c>
      <c r="H70" s="177">
        <v>107.17</v>
      </c>
      <c r="I70" s="178">
        <f t="shared" si="6"/>
        <v>14.00178402</v>
      </c>
      <c r="J70" s="179" t="s">
        <v>22</v>
      </c>
      <c r="K70" s="45" t="s">
        <v>324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169"/>
      <c r="E71" s="170">
        <v>45477.0</v>
      </c>
      <c r="F71" s="171">
        <v>4290.0</v>
      </c>
      <c r="G71" s="171">
        <v>19216.0</v>
      </c>
      <c r="H71" s="171">
        <v>107.41</v>
      </c>
      <c r="I71" s="172">
        <f t="shared" si="6"/>
        <v>11.36002</v>
      </c>
      <c r="J71" s="180" t="s">
        <v>22</v>
      </c>
      <c r="K71" s="45" t="s">
        <v>373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175"/>
      <c r="E72" s="197">
        <v>45504.0</v>
      </c>
      <c r="F72" s="178">
        <f>(3909.72+537.15)</f>
        <v>4446.87</v>
      </c>
      <c r="G72" s="198">
        <v>19616.0</v>
      </c>
      <c r="H72" s="198">
        <v>107.43</v>
      </c>
      <c r="I72" s="178">
        <f t="shared" si="6"/>
        <v>10.01491841</v>
      </c>
      <c r="J72" s="199" t="s">
        <v>22</v>
      </c>
      <c r="K72" s="45" t="s">
        <v>374</v>
      </c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169"/>
      <c r="E73" s="200">
        <v>45521.0</v>
      </c>
      <c r="F73" s="201">
        <v>4450.0</v>
      </c>
      <c r="G73" s="201">
        <v>20103.0</v>
      </c>
      <c r="H73" s="201">
        <v>107.61</v>
      </c>
      <c r="I73" s="172">
        <f t="shared" si="6"/>
        <v>11.76522138</v>
      </c>
      <c r="J73" s="180" t="s">
        <v>22</v>
      </c>
      <c r="K73" s="202" t="s">
        <v>375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203">
        <f t="shared" ref="D74:D88" si="7">(G74-G73)</f>
        <v>493</v>
      </c>
      <c r="E74" s="197">
        <v>45540.0</v>
      </c>
      <c r="F74" s="198">
        <v>4346.0</v>
      </c>
      <c r="G74" s="198">
        <v>20596.0</v>
      </c>
      <c r="H74" s="198">
        <v>107.41</v>
      </c>
      <c r="I74" s="204">
        <f t="shared" si="6"/>
        <v>11.92173708</v>
      </c>
      <c r="J74" s="179" t="s">
        <v>376</v>
      </c>
      <c r="K74" s="189" t="s">
        <v>377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205">
        <f t="shared" si="7"/>
        <v>384</v>
      </c>
      <c r="E75" s="200">
        <v>45581.0</v>
      </c>
      <c r="F75" s="201">
        <v>4299.64</v>
      </c>
      <c r="G75" s="201">
        <v>20980.0</v>
      </c>
      <c r="H75" s="201">
        <v>107.41</v>
      </c>
      <c r="I75" s="206">
        <f t="shared" ref="I75:I77" si="8">(G76-G75)/(F75)*(H75)</f>
        <v>13.28997777</v>
      </c>
      <c r="J75" s="180" t="s">
        <v>22</v>
      </c>
      <c r="K75" s="185" t="s">
        <v>378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203">
        <f t="shared" si="7"/>
        <v>532</v>
      </c>
      <c r="E76" s="197">
        <v>45592.0</v>
      </c>
      <c r="F76" s="198">
        <v>3938.0</v>
      </c>
      <c r="G76" s="198">
        <v>21512.0</v>
      </c>
      <c r="H76" s="198">
        <v>107.43</v>
      </c>
      <c r="I76" s="204">
        <f t="shared" si="8"/>
        <v>13.25824784</v>
      </c>
      <c r="J76" s="199" t="s">
        <v>22</v>
      </c>
      <c r="K76" s="45" t="s">
        <v>379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205">
        <f t="shared" si="7"/>
        <v>486</v>
      </c>
      <c r="E77" s="200">
        <v>45617.0</v>
      </c>
      <c r="F77" s="201">
        <f>(4253.27+2551)</f>
        <v>6804.27</v>
      </c>
      <c r="G77" s="201">
        <v>21998.0</v>
      </c>
      <c r="H77" s="201">
        <v>107.46</v>
      </c>
      <c r="I77" s="206">
        <f t="shared" si="8"/>
        <v>13.51882862</v>
      </c>
      <c r="J77" s="180" t="s">
        <v>22</v>
      </c>
      <c r="K77" s="10" t="s">
        <v>380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203">
        <f t="shared" si="7"/>
        <v>856</v>
      </c>
      <c r="E78" s="197">
        <v>45641.0</v>
      </c>
      <c r="F78" s="178">
        <f>(4440)</f>
        <v>4440</v>
      </c>
      <c r="G78" s="198">
        <v>22854.0</v>
      </c>
      <c r="H78" s="198">
        <v>110.0</v>
      </c>
      <c r="I78" s="204">
        <f t="shared" ref="I78:I79" si="9">(G78-G77)/(F77)*(H77)</f>
        <v>13.51882862</v>
      </c>
      <c r="J78" s="179" t="s">
        <v>24</v>
      </c>
      <c r="K78" s="189" t="s">
        <v>381</v>
      </c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205">
        <f t="shared" si="7"/>
        <v>482</v>
      </c>
      <c r="E79" s="207">
        <v>45677.0</v>
      </c>
      <c r="F79" s="172">
        <f>(4292.47+100)</f>
        <v>4392.47</v>
      </c>
      <c r="G79" s="201">
        <v>23336.0</v>
      </c>
      <c r="H79" s="201">
        <v>107.46</v>
      </c>
      <c r="I79" s="206">
        <f t="shared" si="9"/>
        <v>11.94144144</v>
      </c>
      <c r="J79" s="180" t="s">
        <v>382</v>
      </c>
      <c r="K79" s="45" t="s">
        <v>372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203">
        <f t="shared" si="7"/>
        <v>562</v>
      </c>
      <c r="E80" s="197">
        <v>45686.0</v>
      </c>
      <c r="F80" s="198">
        <v>4226.4</v>
      </c>
      <c r="G80" s="198">
        <v>23898.0</v>
      </c>
      <c r="H80" s="198">
        <v>107.46</v>
      </c>
      <c r="I80" s="204">
        <f>IF(ISBLANK(G80),"", ($G$80-G79)/F79*H79)</f>
        <v>13.74910244</v>
      </c>
      <c r="J80" s="179" t="s">
        <v>22</v>
      </c>
      <c r="K80" s="45" t="s">
        <v>383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208">
        <f t="shared" si="7"/>
        <v>357</v>
      </c>
      <c r="E81" s="200">
        <v>45728.0</v>
      </c>
      <c r="F81" s="201">
        <v>4000.0</v>
      </c>
      <c r="G81" s="201">
        <v>24255.0</v>
      </c>
      <c r="H81" s="201">
        <v>107.48</v>
      </c>
      <c r="I81" s="206">
        <f>IF(ISBLANK(G81),"", ($G$81-G80)/F80*H80)</f>
        <v>9.077044293</v>
      </c>
      <c r="J81" s="173"/>
      <c r="K81" s="41" t="s">
        <v>384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203">
        <f t="shared" si="7"/>
        <v>536</v>
      </c>
      <c r="E82" s="197">
        <v>45742.0</v>
      </c>
      <c r="F82" s="198">
        <v>4240.83</v>
      </c>
      <c r="G82" s="198">
        <v>24791.0</v>
      </c>
      <c r="H82" s="198">
        <v>107.48</v>
      </c>
      <c r="I82" s="204">
        <f>IF(ISBLANK(G82),"", ($G$82-G81)/F81*H81)</f>
        <v>14.40232</v>
      </c>
      <c r="J82" s="209"/>
      <c r="K82" s="45" t="s">
        <v>385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205">
        <f t="shared" si="7"/>
        <v>397</v>
      </c>
      <c r="E83" s="200">
        <v>45764.0</v>
      </c>
      <c r="F83" s="201">
        <v>4357.4</v>
      </c>
      <c r="G83" s="201">
        <v>25188.0</v>
      </c>
      <c r="H83" s="201">
        <v>107.67</v>
      </c>
      <c r="I83" s="206">
        <f>IF(ISBLANK(G83),"", (G83-G82)/F82*H82)</f>
        <v>10.06160586</v>
      </c>
      <c r="J83" s="180" t="s">
        <v>22</v>
      </c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203">
        <f t="shared" si="7"/>
        <v>607</v>
      </c>
      <c r="E84" s="197">
        <v>45767.0</v>
      </c>
      <c r="F84" s="198">
        <v>4096.37</v>
      </c>
      <c r="G84" s="198">
        <v>25795.0</v>
      </c>
      <c r="H84" s="198">
        <v>107.46</v>
      </c>
      <c r="I84" s="204">
        <f>IF(ISBLANK(G84),"", ($G$84-G83)/F83*H83)</f>
        <v>14.99878138</v>
      </c>
      <c r="J84" s="179" t="s">
        <v>24</v>
      </c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205">
        <f t="shared" si="7"/>
        <v>329</v>
      </c>
      <c r="E85" s="200">
        <v>45792.0</v>
      </c>
      <c r="F85" s="201">
        <v>4000.74</v>
      </c>
      <c r="G85" s="201">
        <v>26124.0</v>
      </c>
      <c r="H85" s="201">
        <v>107.46</v>
      </c>
      <c r="I85" s="206">
        <f>IF(ISBLANK(G85),"", ($G$85-G84)/F84*H84)</f>
        <v>8.63065104</v>
      </c>
      <c r="J85" s="180" t="s">
        <v>22</v>
      </c>
      <c r="K85" s="45" t="s">
        <v>386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203">
        <f t="shared" si="7"/>
        <v>537</v>
      </c>
      <c r="E86" s="197">
        <v>45836.0</v>
      </c>
      <c r="F86" s="198">
        <v>3998.12</v>
      </c>
      <c r="G86" s="198">
        <v>26661.0</v>
      </c>
      <c r="H86" s="198">
        <v>107.46</v>
      </c>
      <c r="I86" s="204">
        <f t="shared" ref="I86:I87" si="10">IF(ISBLANK(G86),"", (G86-G85)/F85*H85)</f>
        <v>14.42383659</v>
      </c>
      <c r="J86" s="179" t="s">
        <v>31</v>
      </c>
      <c r="K86" s="45" t="s">
        <v>324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205">
        <f t="shared" si="7"/>
        <v>630</v>
      </c>
      <c r="E87" s="200">
        <v>45844.0</v>
      </c>
      <c r="F87" s="172">
        <f>(500+4169.45)</f>
        <v>4669.45</v>
      </c>
      <c r="G87" s="201">
        <v>27291.0</v>
      </c>
      <c r="H87" s="201">
        <v>107.46</v>
      </c>
      <c r="I87" s="206">
        <f t="shared" si="10"/>
        <v>16.93290847</v>
      </c>
      <c r="J87" s="180" t="s">
        <v>22</v>
      </c>
      <c r="K87" s="45" t="s">
        <v>387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D88" s="203">
        <f t="shared" si="7"/>
        <v>580</v>
      </c>
      <c r="E88" s="197">
        <v>45865.0</v>
      </c>
      <c r="F88" s="198">
        <v>4091.58</v>
      </c>
      <c r="G88" s="198">
        <v>27871.0</v>
      </c>
      <c r="H88" s="198">
        <v>106.83</v>
      </c>
      <c r="I88" s="204">
        <f>IF(ISBLANK(G88),"", ($G$88-G87)/F87*H87)</f>
        <v>13.34778186</v>
      </c>
      <c r="J88" s="179" t="s">
        <v>22</v>
      </c>
      <c r="K88" s="45" t="s">
        <v>388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169"/>
      <c r="E89" s="200">
        <v>45887.0</v>
      </c>
      <c r="F89" s="201">
        <v>4199.99</v>
      </c>
      <c r="G89" s="201">
        <v>28408.0</v>
      </c>
      <c r="H89" s="201">
        <v>106.87</v>
      </c>
      <c r="I89" s="206">
        <f>IF(ISBLANK(G89),"", ($G$89-G88)/F88*H88)</f>
        <v>14.02091857</v>
      </c>
      <c r="J89" s="180" t="s">
        <v>376</v>
      </c>
      <c r="K89" s="210" t="s">
        <v>389</v>
      </c>
      <c r="L89" s="10" t="s">
        <v>390</v>
      </c>
      <c r="M89" s="10" t="s">
        <v>391</v>
      </c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175"/>
      <c r="E90" s="211"/>
      <c r="F90" s="178"/>
      <c r="G90" s="178"/>
      <c r="H90" s="178"/>
      <c r="I90" s="204" t="str">
        <f t="shared" ref="I90:I109" si="11">IF(ISBLANK(G90),"", ($G$80-G89)/F89*H89)</f>
        <v/>
      </c>
      <c r="J90" s="209"/>
      <c r="K90" s="45" t="s">
        <v>389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169"/>
      <c r="E91" s="212"/>
      <c r="F91" s="172"/>
      <c r="G91" s="172"/>
      <c r="H91" s="172"/>
      <c r="I91" s="206" t="str">
        <f t="shared" si="11"/>
        <v/>
      </c>
      <c r="J91" s="17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175"/>
      <c r="E92" s="211"/>
      <c r="F92" s="178"/>
      <c r="G92" s="178"/>
      <c r="H92" s="178"/>
      <c r="I92" s="204" t="str">
        <f t="shared" si="11"/>
        <v/>
      </c>
      <c r="J92" s="209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169"/>
      <c r="E93" s="212"/>
      <c r="F93" s="172"/>
      <c r="G93" s="172"/>
      <c r="H93" s="172"/>
      <c r="I93" s="206" t="str">
        <f t="shared" si="11"/>
        <v/>
      </c>
      <c r="J93" s="17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175"/>
      <c r="E94" s="211"/>
      <c r="F94" s="178"/>
      <c r="G94" s="178"/>
      <c r="H94" s="178"/>
      <c r="I94" s="204" t="str">
        <f t="shared" si="11"/>
        <v/>
      </c>
      <c r="J94" s="209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169"/>
      <c r="E95" s="212"/>
      <c r="F95" s="172"/>
      <c r="G95" s="172"/>
      <c r="H95" s="172"/>
      <c r="I95" s="206" t="str">
        <f t="shared" si="11"/>
        <v/>
      </c>
      <c r="J95" s="17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175"/>
      <c r="E96" s="211"/>
      <c r="F96" s="178"/>
      <c r="G96" s="178"/>
      <c r="H96" s="178"/>
      <c r="I96" s="204" t="str">
        <f t="shared" si="11"/>
        <v/>
      </c>
      <c r="J96" s="209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169"/>
      <c r="E97" s="212"/>
      <c r="F97" s="172"/>
      <c r="G97" s="172"/>
      <c r="H97" s="172"/>
      <c r="I97" s="206" t="str">
        <f t="shared" si="11"/>
        <v/>
      </c>
      <c r="J97" s="17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175"/>
      <c r="E98" s="211"/>
      <c r="F98" s="178"/>
      <c r="G98" s="178"/>
      <c r="H98" s="178"/>
      <c r="I98" s="204" t="str">
        <f t="shared" si="11"/>
        <v/>
      </c>
      <c r="J98" s="209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169"/>
      <c r="E99" s="212"/>
      <c r="F99" s="172"/>
      <c r="G99" s="172"/>
      <c r="H99" s="172"/>
      <c r="I99" s="206" t="str">
        <f t="shared" si="11"/>
        <v/>
      </c>
      <c r="J99" s="17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175"/>
      <c r="E100" s="211"/>
      <c r="F100" s="178"/>
      <c r="G100" s="178"/>
      <c r="H100" s="178"/>
      <c r="I100" s="204" t="str">
        <f t="shared" si="11"/>
        <v/>
      </c>
      <c r="J100" s="209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169"/>
      <c r="E101" s="212"/>
      <c r="F101" s="172"/>
      <c r="G101" s="172"/>
      <c r="H101" s="172"/>
      <c r="I101" s="206" t="str">
        <f t="shared" si="11"/>
        <v/>
      </c>
      <c r="J101" s="17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175"/>
      <c r="E102" s="211"/>
      <c r="F102" s="178"/>
      <c r="G102" s="178"/>
      <c r="H102" s="178"/>
      <c r="I102" s="204" t="str">
        <f t="shared" si="11"/>
        <v/>
      </c>
      <c r="J102" s="209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169"/>
      <c r="E103" s="212"/>
      <c r="F103" s="172"/>
      <c r="G103" s="172"/>
      <c r="H103" s="172"/>
      <c r="I103" s="206" t="str">
        <f t="shared" si="11"/>
        <v/>
      </c>
      <c r="J103" s="17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175"/>
      <c r="E104" s="211"/>
      <c r="F104" s="178"/>
      <c r="G104" s="178"/>
      <c r="H104" s="178"/>
      <c r="I104" s="204" t="str">
        <f t="shared" si="11"/>
        <v/>
      </c>
      <c r="J104" s="209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169"/>
      <c r="E105" s="212"/>
      <c r="F105" s="172"/>
      <c r="G105" s="172"/>
      <c r="H105" s="172"/>
      <c r="I105" s="206" t="str">
        <f t="shared" si="11"/>
        <v/>
      </c>
      <c r="J105" s="17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175"/>
      <c r="E106" s="211"/>
      <c r="F106" s="178"/>
      <c r="G106" s="178"/>
      <c r="H106" s="178"/>
      <c r="I106" s="204" t="str">
        <f t="shared" si="11"/>
        <v/>
      </c>
      <c r="J106" s="209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169"/>
      <c r="E107" s="212"/>
      <c r="F107" s="172"/>
      <c r="G107" s="172"/>
      <c r="H107" s="172"/>
      <c r="I107" s="206" t="str">
        <f t="shared" si="11"/>
        <v/>
      </c>
      <c r="J107" s="17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175"/>
      <c r="E108" s="211"/>
      <c r="F108" s="178"/>
      <c r="G108" s="178"/>
      <c r="H108" s="178"/>
      <c r="I108" s="204" t="str">
        <f t="shared" si="11"/>
        <v/>
      </c>
      <c r="J108" s="209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213"/>
      <c r="E109" s="214"/>
      <c r="F109" s="215"/>
      <c r="G109" s="215"/>
      <c r="H109" s="215"/>
      <c r="I109" s="216" t="str">
        <f t="shared" si="11"/>
        <v/>
      </c>
      <c r="J109" s="217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>
      <c r="A1004" s="43"/>
      <c r="B1004" s="43"/>
      <c r="C1004" s="43"/>
      <c r="K1004" s="43"/>
      <c r="L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</sheetData>
  <mergeCells count="2">
    <mergeCell ref="K1:L1"/>
    <mergeCell ref="O36:Q36"/>
  </mergeCells>
  <dataValidations>
    <dataValidation type="custom" allowBlank="1" showDropDown="1" sqref="E17:E109">
      <formula1>OR(NOT(ISERROR(DATEVALUE(E17))), AND(ISNUMBER(E17), LEFT(CELL("format", E17))="D"))</formula1>
    </dataValidation>
    <dataValidation type="list" allowBlank="1" showDropDown="1" showErrorMessage="1" sqref="J17:J109">
      <formula1>"HP,Indian Oil,Bharat,Indian  Oil,Indian Oil X95"</formula1>
    </dataValidation>
    <dataValidation type="custom" allowBlank="1" showDropDown="1" sqref="F17:I109">
      <formula1>AND(ISNUMBER(F17),(NOT(OR(NOT(ISERROR(DATEVALUE(F17))), AND(ISNUMBER(F17), LEFT(CELL("format", F17))="D")))))</formula1>
    </dataValidation>
  </dataValidations>
  <drawing r:id="rId1"/>
  <tableParts count="1">
    <tablePart r:id="rId3"/>
  </tableParts>
</worksheet>
</file>