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victoriayong/Desktop/Financial and costings/"/>
    </mc:Choice>
  </mc:AlternateContent>
  <xr:revisionPtr revIDLastSave="0" documentId="13_ncr:1_{43578D83-2789-5A44-94EC-9CCD3F7F10E1}" xr6:coauthVersionLast="47" xr6:coauthVersionMax="47" xr10:uidLastSave="{00000000-0000-0000-0000-000000000000}"/>
  <bookViews>
    <workbookView xWindow="0" yWindow="500" windowWidth="28800" windowHeight="16420" activeTab="3" xr2:uid="{00000000-000D-0000-FFFF-FFFF00000000}"/>
  </bookViews>
  <sheets>
    <sheet name="Cashflow Projection" sheetId="9" state="hidden" r:id="rId1"/>
    <sheet name="02 Rev Forecasts; Internal  (3)" sheetId="25" state="hidden" r:id="rId2"/>
    <sheet name="01a Cashflow Forecast - 12 mths" sheetId="29" r:id="rId3"/>
    <sheet name="01b Cashflow Forecast - 3 Yrs" sheetId="28" r:id="rId4"/>
    <sheet name="01A Cash 12 Mths OPEX 2 Batch " sheetId="22" state="hidden" r:id="rId5"/>
    <sheet name="01b Cash Forecast 6 Mths OPEX" sheetId="21" state="hidden" r:id="rId6"/>
    <sheet name="01 Cashflow 12mo v0.3 250729" sheetId="19" state="hidden" r:id="rId7"/>
    <sheet name="01B Cash 12 Mths OPEX 1 Batch" sheetId="23" state="hidden" r:id="rId8"/>
    <sheet name="01c Actual Cashflow Stt" sheetId="27" r:id="rId9"/>
    <sheet name="02 Rev Forecasts; Internal KPIs" sheetId="2" r:id="rId10"/>
    <sheet name="03 Worst Case Scenario Model" sheetId="3" state="hidden" r:id="rId11"/>
    <sheet name="04 MFG Batch 0001 Cost (330pc)" sheetId="4" r:id="rId12"/>
    <sheet name="05 GG Next Steps, Pipeline" sheetId="6" r:id="rId13"/>
    <sheet name="07 SG MRA Grant" sheetId="7" r:id="rId14"/>
    <sheet name="OPEX Tabulation (DO NOT USE)" sheetId="8" state="hidden" r:id="rId15"/>
    <sheet name="08 BOM Costs" sheetId="13" r:id="rId16"/>
    <sheet name="09 Inventory Loan" sheetId="17" r:id="rId17"/>
    <sheet name="10 Laser Balancing Int vs Ext" sheetId="10" r:id="rId18"/>
    <sheet name="11 Forward OPEX 250728" sheetId="14" r:id="rId19"/>
    <sheet name="12 Other Liabilities" sheetId="30" r:id="rId20"/>
    <sheet name="13 Loan from Mr Ong" sheetId="31" r:id="rId21"/>
    <sheet name="Summary P&amp;L-USD Yr Jul_Jun Best" sheetId="12" state="hidden" r:id="rId22"/>
    <sheet name="OPEX Workings" sheetId="11" state="hidden" r:id="rId23"/>
    <sheet name="Cashflow Proj 12mo v0.2 250729" sheetId="18" state="hidden" r:id="rId24"/>
    <sheet name="Cashflow Proj 12mo v0.1 250728" sheetId="16" state="hidden" r:id="rId25"/>
    <sheet name="OPEX Rough Workings" sheetId="5" state="hidden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">#REF!</definedName>
    <definedName name="__123Graph_A">#REF!</definedName>
    <definedName name="__123Graph_AINSEE">#REF!</definedName>
    <definedName name="__123Graph_AINSEE_GLO">#REF!</definedName>
    <definedName name="__123Graph_AINSEE2">#REF!</definedName>
    <definedName name="__123Graph_B">#REF!</definedName>
    <definedName name="__123Graph_BINSEE">#REF!</definedName>
    <definedName name="__123Graph_BINSEE_GLO">#REF!</definedName>
    <definedName name="__123Graph_BINSEE2">#REF!</definedName>
    <definedName name="__123Graph_C">#REF!</definedName>
    <definedName name="__123Graph_CINSEE">#REF!</definedName>
    <definedName name="__123Graph_CINSEE_GLO">#REF!</definedName>
    <definedName name="__123Graph_CINSEE2">#REF!</definedName>
    <definedName name="__123Graph_D">#REF!</definedName>
    <definedName name="__123Graph_DINSEE">#REF!</definedName>
    <definedName name="__123Graph_DINSEE_GLO">#REF!</definedName>
    <definedName name="__123Graph_DINSEE2">#REF!</definedName>
    <definedName name="__123Graph_X">#REF!</definedName>
    <definedName name="__123Graph_XINSEE">#REF!</definedName>
    <definedName name="__123Graph_XINSEE_GLO">#REF!</definedName>
    <definedName name="__123Graph_XINSEE2">#REF!</definedName>
    <definedName name="_1993" localSheetId="21">#REF!</definedName>
    <definedName name="_1993">#REF!</definedName>
    <definedName name="_1STFL" localSheetId="21">#REF!</definedName>
    <definedName name="_1STFL">#REF!</definedName>
    <definedName name="_25_Cannon_Street_Limited___951" localSheetId="21">#REF!</definedName>
    <definedName name="_25_Cannon_Street_Limited___951">#REF!</definedName>
    <definedName name="_2PARTDIV" localSheetId="21">#REF!</definedName>
    <definedName name="_2PARTDIV">#REF!</definedName>
    <definedName name="_AA53_" localSheetId="21">#REF!</definedName>
    <definedName name="_AA53_">#REF!</definedName>
    <definedName name="_AC117_" localSheetId="21">#REF!</definedName>
    <definedName name="_AC117_">#REF!</definedName>
    <definedName name="_cos92" localSheetId="21">#REF!</definedName>
    <definedName name="_cos92">#REF!</definedName>
    <definedName name="_cos93" localSheetId="21">#REF!</definedName>
    <definedName name="_cos93">#REF!</definedName>
    <definedName name="_doc2" localSheetId="21">#REF!</definedName>
    <definedName name="_doc2">#REF!</definedName>
    <definedName name="_Fill" localSheetId="21">#REF!</definedName>
    <definedName name="_Fill">#REF!</definedName>
    <definedName name="_xlnm._FilterDatabase" hidden="1">#REF!</definedName>
    <definedName name="_jrn106" localSheetId="21">#REF!</definedName>
    <definedName name="_jrn106">#REF!</definedName>
    <definedName name="_Key1" localSheetId="21">#REF!</definedName>
    <definedName name="_Key1">#REF!</definedName>
    <definedName name="_mm98" localSheetId="21">#REF!</definedName>
    <definedName name="_mm98">#REF!</definedName>
    <definedName name="_mm99" localSheetId="21">#REF!</definedName>
    <definedName name="_mm99">#REF!</definedName>
    <definedName name="_off3" localSheetId="21">#REF!</definedName>
    <definedName name="_off3">#REF!</definedName>
    <definedName name="_off4" localSheetId="21">#REF!</definedName>
    <definedName name="_off4">#REF!</definedName>
    <definedName name="_off5" localSheetId="21">#REF!</definedName>
    <definedName name="_off5">#REF!</definedName>
    <definedName name="_off6" localSheetId="21">#REF!</definedName>
    <definedName name="_off6">#REF!</definedName>
    <definedName name="_Order1">255</definedName>
    <definedName name="_Parse_In" localSheetId="21">#REF!</definedName>
    <definedName name="_Parse_In">#REF!</definedName>
    <definedName name="_Parse_Out" localSheetId="21">#REF!</definedName>
    <definedName name="_Parse_Out">#REF!</definedName>
    <definedName name="_ret1" localSheetId="21">#REF!</definedName>
    <definedName name="_ret1">#REF!</definedName>
    <definedName name="_ret2" localSheetId="21">#REF!</definedName>
    <definedName name="_ret2">#REF!</definedName>
    <definedName name="_ret3" localSheetId="21">#REF!</definedName>
    <definedName name="_ret3">#REF!</definedName>
    <definedName name="_ret4" localSheetId="21">#REF!</definedName>
    <definedName name="_ret4">#REF!</definedName>
    <definedName name="_ret5" localSheetId="21">#REF!</definedName>
    <definedName name="_ret5">#REF!</definedName>
    <definedName name="_ret6" localSheetId="21">#REF!</definedName>
    <definedName name="_ret6">#REF!</definedName>
    <definedName name="_sa1" localSheetId="21">#REF!</definedName>
    <definedName name="_sa1">#REF!</definedName>
    <definedName name="_sa2" localSheetId="21">#REF!</definedName>
    <definedName name="_sa2">#REF!</definedName>
    <definedName name="_sa3" localSheetId="21">#REF!</definedName>
    <definedName name="_sa3">#REF!</definedName>
    <definedName name="_sa4" localSheetId="21">#REF!</definedName>
    <definedName name="_sa4">#REF!</definedName>
    <definedName name="_sa5" localSheetId="21">#REF!</definedName>
    <definedName name="_sa5">#REF!</definedName>
    <definedName name="_sa6" localSheetId="21">#REF!</definedName>
    <definedName name="_sa6">#REF!</definedName>
    <definedName name="_Sort" localSheetId="21">#REF!</definedName>
    <definedName name="_Sort">#REF!</definedName>
    <definedName name="_SP500" localSheetId="21">#REF!</definedName>
    <definedName name="_SP500">#REF!</definedName>
    <definedName name="_TAB2" localSheetId="21">#REF!</definedName>
    <definedName name="_TAB2">#REF!</definedName>
    <definedName name="_TAB3">#REF!</definedName>
    <definedName name="_Z53_" localSheetId="21">#REF!</definedName>
    <definedName name="_Z53_">#REF!</definedName>
    <definedName name="_总表4" localSheetId="21">#REF!</definedName>
    <definedName name="_总表4">#REF!</definedName>
    <definedName name="\a">#REF!</definedName>
    <definedName name="\b">#REF!</definedName>
    <definedName name="\E">#REF!</definedName>
    <definedName name="\F">#REF!</definedName>
    <definedName name="\H">#REF!</definedName>
    <definedName name="\I">#REF!</definedName>
    <definedName name="\J">#REF!</definedName>
    <definedName name="\M">#REF!</definedName>
    <definedName name="\P">#REF!</definedName>
    <definedName name="\Q">#REF!</definedName>
    <definedName name="\R">#REF!</definedName>
    <definedName name="\S">#REF!</definedName>
    <definedName name="\T">#REF!</definedName>
    <definedName name="\W">#REF!</definedName>
    <definedName name="a" localSheetId="21">#REF!</definedName>
    <definedName name="a">#REF!</definedName>
    <definedName name="ACA_EQUITY" localSheetId="21">#REF!</definedName>
    <definedName name="ACA_EQUITY">#REF!</definedName>
    <definedName name="ACA_OWN" localSheetId="21">#REF!</definedName>
    <definedName name="ACA_OWN">#REF!</definedName>
    <definedName name="Accounting">#REF!</definedName>
    <definedName name="ACT" localSheetId="21">#REF!</definedName>
    <definedName name="ACT">#REF!</definedName>
    <definedName name="ActBud" localSheetId="21">#REF!</definedName>
    <definedName name="ActBud">#REF!</definedName>
    <definedName name="active" localSheetId="21">#REF!</definedName>
    <definedName name="active">#REF!</definedName>
    <definedName name="ACTIVITY_client">#REF!</definedName>
    <definedName name="ACTIVITY_client_mo">#REF!</definedName>
    <definedName name="ACTIVITY_sector_client">#REF!</definedName>
    <definedName name="ACTIVITY_segment_client">#REF!</definedName>
    <definedName name="Actuel" localSheetId="21">#REF!</definedName>
    <definedName name="Actuel">#REF!</definedName>
    <definedName name="Admin_Expenses" localSheetId="4">'[1]Assumptions &amp; Variables'!$C$109</definedName>
    <definedName name="Admin_Expenses" localSheetId="2">'[1]Assumptions &amp; Variables'!$C$109</definedName>
    <definedName name="Admin_Expenses" localSheetId="7">'[1]Assumptions &amp; Variables'!$C$109</definedName>
    <definedName name="Admin_Expenses" localSheetId="5">'[1]Assumptions &amp; Variables'!$C$109</definedName>
    <definedName name="Admin_Expenses" localSheetId="3">'[1]Assumptions &amp; Variables'!$C$109</definedName>
    <definedName name="Admin_Expenses" localSheetId="8">#REF!</definedName>
    <definedName name="Admin_Expenses">'[2]Assumptions &amp; Variables'!$C$109</definedName>
    <definedName name="affaire">#REF!</definedName>
    <definedName name="ALANA" localSheetId="21">#REF!</definedName>
    <definedName name="ALANA">#REF!</definedName>
    <definedName name="ALLIN" localSheetId="21">#REF!</definedName>
    <definedName name="ALLIN">#REF!</definedName>
    <definedName name="alloc92" localSheetId="21">#REF!</definedName>
    <definedName name="alloc92">#REF!</definedName>
    <definedName name="alloc93" localSheetId="21">#REF!</definedName>
    <definedName name="alloc93">#REF!</definedName>
    <definedName name="ALLOTHER" localSheetId="21">#REF!</definedName>
    <definedName name="ALLOTHER">#REF!</definedName>
    <definedName name="ALTERNATIVE_HOLD_PERIOD" localSheetId="21">#REF!</definedName>
    <definedName name="ALTERNATIVE_HOLD_PERIOD">#REF!</definedName>
    <definedName name="ALTERNATIVE_NOI_AFTER_TAXES" localSheetId="21">#REF!</definedName>
    <definedName name="ALTERNATIVE_NOI_AFTER_TAXES">#REF!</definedName>
    <definedName name="AMORT_TERM" localSheetId="21">#REF!</definedName>
    <definedName name="AMORT_TERM">#REF!</definedName>
    <definedName name="AMORT_TERM_2" localSheetId="21">#REF!</definedName>
    <definedName name="AMORT_TERM_2">#REF!</definedName>
    <definedName name="AMORT_TERM_3" localSheetId="21">#REF!</definedName>
    <definedName name="AMORT_TERM_3">#REF!</definedName>
    <definedName name="AMORT_TERM2" localSheetId="21">#REF!</definedName>
    <definedName name="AMORT_TERM2">#REF!</definedName>
    <definedName name="AMORT_TERM3" localSheetId="21">#REF!</definedName>
    <definedName name="AMORT_TERM3">#REF!</definedName>
    <definedName name="ANN_NOI" localSheetId="21">#REF!</definedName>
    <definedName name="ANN_NOI">#REF!</definedName>
    <definedName name="ANN._RATE_INCR." localSheetId="21">#REF!</definedName>
    <definedName name="ANN._RATE_INCR.">#REF!</definedName>
    <definedName name="ANNUAL_COMPOUND" localSheetId="21">#REF!</definedName>
    <definedName name="ANNUAL_COMPOUND">#REF!</definedName>
    <definedName name="annual_yield" localSheetId="21">#REF!</definedName>
    <definedName name="annual_yield">#REF!</definedName>
    <definedName name="anscount">3</definedName>
    <definedName name="Appendix">#REF!</definedName>
    <definedName name="Area" localSheetId="21">#REF!</definedName>
    <definedName name="Area">#REF!</definedName>
    <definedName name="AUD">#REF!</definedName>
    <definedName name="Audit_Fee" localSheetId="4">'[1]Assumptions &amp; Variables'!$C$110</definedName>
    <definedName name="Audit_Fee" localSheetId="2">'[1]Assumptions &amp; Variables'!$C$110</definedName>
    <definedName name="Audit_Fee" localSheetId="7">'[1]Assumptions &amp; Variables'!$C$110</definedName>
    <definedName name="Audit_Fee" localSheetId="5">'[1]Assumptions &amp; Variables'!$C$110</definedName>
    <definedName name="Audit_Fee" localSheetId="3">'[1]Assumptions &amp; Variables'!$C$110</definedName>
    <definedName name="Audit_Fee" localSheetId="8">#REF!</definedName>
    <definedName name="Audit_Fee">'[2]Assumptions &amp; Variables'!$C$110</definedName>
    <definedName name="b10p1" localSheetId="21">#REF!</definedName>
    <definedName name="b10p1">#REF!</definedName>
    <definedName name="b10p2" localSheetId="21">#REF!</definedName>
    <definedName name="b10p2">#REF!</definedName>
    <definedName name="b4p1" localSheetId="21">#REF!</definedName>
    <definedName name="b4p1">#REF!</definedName>
    <definedName name="B4p2" localSheetId="21">#REF!</definedName>
    <definedName name="B4p2">#REF!</definedName>
    <definedName name="b5p1" localSheetId="21">#REF!</definedName>
    <definedName name="b5p1">#REF!</definedName>
    <definedName name="b5p2" localSheetId="21">#REF!</definedName>
    <definedName name="b5p2">#REF!</definedName>
    <definedName name="b6p1" localSheetId="21">#REF!</definedName>
    <definedName name="b6p1">#REF!</definedName>
    <definedName name="b6p2" localSheetId="21">#REF!</definedName>
    <definedName name="b6p2">#REF!</definedName>
    <definedName name="b7p1" localSheetId="21">#REF!</definedName>
    <definedName name="b7p1">#REF!</definedName>
    <definedName name="b7p2" localSheetId="21">#REF!</definedName>
    <definedName name="b7p2">#REF!</definedName>
    <definedName name="b8p1" localSheetId="21">#REF!</definedName>
    <definedName name="b8p1">#REF!</definedName>
    <definedName name="b8p2" localSheetId="21">#REF!</definedName>
    <definedName name="b8p2">#REF!</definedName>
    <definedName name="b9p1" localSheetId="21">#REF!</definedName>
    <definedName name="b9p1">#REF!</definedName>
    <definedName name="b9p2" localSheetId="21">#REF!</definedName>
    <definedName name="b9p2">#REF!</definedName>
    <definedName name="balanced" localSheetId="21">#REF!</definedName>
    <definedName name="balanced">#REF!</definedName>
    <definedName name="Base" localSheetId="21">#REF!</definedName>
    <definedName name="Base">#REF!</definedName>
    <definedName name="BASE_Summary" localSheetId="21">#REF!</definedName>
    <definedName name="BASE_Summary">#REF!</definedName>
    <definedName name="BASE_Summary1" localSheetId="21">#REF!</definedName>
    <definedName name="BASE_Summary1">#REF!</definedName>
    <definedName name="BASE_Summary2" localSheetId="21">#REF!</definedName>
    <definedName name="BASE_Summary2">#REF!</definedName>
    <definedName name="BBAA" localSheetId="21">#REF!</definedName>
    <definedName name="BBAA">#REF!</definedName>
    <definedName name="BBFWD" localSheetId="21">#REF!</definedName>
    <definedName name="BBFWD">#REF!</definedName>
    <definedName name="BBOA" localSheetId="21">#REF!</definedName>
    <definedName name="BBOA">#REF!</definedName>
    <definedName name="BBSPOT" localSheetId="21">#REF!</definedName>
    <definedName name="BBSPOT">#REF!</definedName>
    <definedName name="blankline" localSheetId="21">#REF!</definedName>
    <definedName name="blankline">#REF!</definedName>
    <definedName name="bond" localSheetId="21">#REF!</definedName>
    <definedName name="bond">#REF!</definedName>
    <definedName name="Bond98" localSheetId="21">#REF!</definedName>
    <definedName name="Bond98">#REF!</definedName>
    <definedName name="Bond99" localSheetId="21">#REF!</definedName>
    <definedName name="Bond99">#REF!</definedName>
    <definedName name="Bondfcst" localSheetId="21">#REF!</definedName>
    <definedName name="Bondfcst">#REF!</definedName>
    <definedName name="Boston92" localSheetId="21">#REF!</definedName>
    <definedName name="Boston92">#REF!</definedName>
    <definedName name="Boston93" localSheetId="21">#REF!</definedName>
    <definedName name="Boston93">#REF!</definedName>
    <definedName name="Bostonfcst" localSheetId="21">#REF!</definedName>
    <definedName name="Bostonfcst">#REF!</definedName>
    <definedName name="Both" localSheetId="21">#REF!</definedName>
    <definedName name="Both">#REF!</definedName>
    <definedName name="boutique" localSheetId="21">#REF!</definedName>
    <definedName name="boutique">#REF!</definedName>
    <definedName name="BSMT" localSheetId="21">#REF!</definedName>
    <definedName name="BSMT">#REF!</definedName>
    <definedName name="bureaua" localSheetId="21">#REF!</definedName>
    <definedName name="bureaua">#REF!</definedName>
    <definedName name="bureauh" localSheetId="21">#REF!</definedName>
    <definedName name="bureauh">#REF!</definedName>
    <definedName name="BusinessValue" localSheetId="21">#REF!</definedName>
    <definedName name="BusinessValue">#REF!</definedName>
    <definedName name="cadre">#REF!</definedName>
    <definedName name="CALCS" localSheetId="21">#REF!</definedName>
    <definedName name="CALCS">#REF!</definedName>
    <definedName name="CAP_RATE_NB_ANALYSIS" localSheetId="21">#REF!</definedName>
    <definedName name="CAP_RATE_NB_ANALYSIS">#REF!</definedName>
    <definedName name="CAP_YEAR" localSheetId="21">#REF!</definedName>
    <definedName name="CAP_YEAR">#REF!</definedName>
    <definedName name="CapEx" localSheetId="21">#REF!</definedName>
    <definedName name="CapEx">#REF!</definedName>
    <definedName name="CAPPMTD" localSheetId="21">#REF!</definedName>
    <definedName name="CAPPMTD">#REF!</definedName>
    <definedName name="Car_Allowance" localSheetId="4">'[1]Payroll Variables'!$B$8</definedName>
    <definedName name="Car_Allowance" localSheetId="2">'[1]Payroll Variables'!$B$8</definedName>
    <definedName name="Car_Allowance" localSheetId="7">'[1]Payroll Variables'!$B$8</definedName>
    <definedName name="Car_Allowance" localSheetId="5">'[1]Payroll Variables'!$B$8</definedName>
    <definedName name="Car_Allowance" localSheetId="3">'[1]Payroll Variables'!$B$8</definedName>
    <definedName name="Car_Allowance" localSheetId="8">#REF!</definedName>
    <definedName name="Car_Allowance">'[2]Payroll Variables'!$B$8</definedName>
    <definedName name="CASE" localSheetId="21">#REF!</definedName>
    <definedName name="CASE">#REF!</definedName>
    <definedName name="CASE_INPUTS" localSheetId="21">#REF!</definedName>
    <definedName name="CASE_INPUTS">#REF!</definedName>
    <definedName name="CASE_NUMBER">#REF!</definedName>
    <definedName name="cashflow">#REF!</definedName>
    <definedName name="CCE_client">#REF!</definedName>
    <definedName name="CCE_sector_ss_client">#REF!</definedName>
    <definedName name="CCE_sectors_client">#REF!</definedName>
    <definedName name="CCE_sectors_ss">#REF!</definedName>
    <definedName name="CCE_segments_client">#REF!</definedName>
    <definedName name="CCE_ss_client">#REF!</definedName>
    <definedName name="CCG_assettype_all">#REF!</definedName>
    <definedName name="CCG_client">#REF!</definedName>
    <definedName name="CCG_composite_all">#REF!</definedName>
    <definedName name="CCG_eye">#REF!</definedName>
    <definedName name="CCG_sectors_client">#REF!</definedName>
    <definedName name="CCG_sectors_eye">#REF!</definedName>
    <definedName name="CCG_sectors_si">#REF!</definedName>
    <definedName name="CCG_segments_client">#REF!</definedName>
    <definedName name="CCG_segments_eye">#REF!</definedName>
    <definedName name="CCG_segments_si">#REF!</definedName>
    <definedName name="CCG_si">#REF!</definedName>
    <definedName name="CEO_Travel" localSheetId="4">'[1]Assumptions &amp; Variables'!$C$149</definedName>
    <definedName name="CEO_Travel" localSheetId="2">'[1]Assumptions &amp; Variables'!$C$149</definedName>
    <definedName name="CEO_Travel" localSheetId="7">'[1]Assumptions &amp; Variables'!$C$149</definedName>
    <definedName name="CEO_Travel" localSheetId="5">'[1]Assumptions &amp; Variables'!$C$149</definedName>
    <definedName name="CEO_Travel" localSheetId="3">'[1]Assumptions &amp; Variables'!$C$149</definedName>
    <definedName name="CEO_Travel" localSheetId="8">#REF!</definedName>
    <definedName name="CEO_Travel">'[2]Assumptions &amp; Variables'!$C$149</definedName>
    <definedName name="CF_File" localSheetId="21">#REF!</definedName>
    <definedName name="CF_File">#REF!</definedName>
    <definedName name="CGIG_sectors_si">#REF!</definedName>
    <definedName name="CGIG_segments_si">#REF!</definedName>
    <definedName name="CGIG_si">#REF!</definedName>
    <definedName name="ch">#REF!</definedName>
    <definedName name="chambre" localSheetId="21">#REF!</definedName>
    <definedName name="chambre">#REF!</definedName>
    <definedName name="Change_Euro">#REF!</definedName>
    <definedName name="ChangEuro">#REF!</definedName>
    <definedName name="Check_1" localSheetId="21">#REF!</definedName>
    <definedName name="Check_1">#REF!</definedName>
    <definedName name="Check_2" localSheetId="21">#REF!</definedName>
    <definedName name="Check_2">#REF!</definedName>
    <definedName name="Check_3" localSheetId="21">#REF!</definedName>
    <definedName name="Check_3">#REF!</definedName>
    <definedName name="CHF">#REF!</definedName>
    <definedName name="CIR_assettype_all">#REF!</definedName>
    <definedName name="CIR_client">#REF!</definedName>
    <definedName name="CIR_composite_all">#REF!</definedName>
    <definedName name="CIR_sectors_client">#REF!</definedName>
    <definedName name="CIR_sectors_si">#REF!</definedName>
    <definedName name="CIR_segments_client">#REF!</definedName>
    <definedName name="CIR_segments_si">#REF!</definedName>
    <definedName name="CIR_si">#REF!</definedName>
    <definedName name="Circ" localSheetId="21">#REF!</definedName>
    <definedName name="Circ">#REF!</definedName>
    <definedName name="circulation" localSheetId="21">#REF!</definedName>
    <definedName name="circulation">#REF!</definedName>
    <definedName name="CLEAR1" localSheetId="21">#REF!</definedName>
    <definedName name="CLEAR1">#REF!</definedName>
    <definedName name="Clinical_FY21_22">#REF!</definedName>
    <definedName name="Clinical_FY22_23">#REF!</definedName>
    <definedName name="CLOSING_COSTS" localSheetId="21">#REF!</definedName>
    <definedName name="CLOSING_COSTS">#REF!</definedName>
    <definedName name="Clr_Collateral" localSheetId="8">#REF!,#REF!,#REF!,#REF!,#REF!,#REF!,#REF!,#REF!,#REF!,#REF!,#REF!,#REF!</definedName>
    <definedName name="Clr_Collateral">#REF!</definedName>
    <definedName name="Clr_Replacement" localSheetId="8">#REF!,#REF!,#REF!,#REF!,#REF!</definedName>
    <definedName name="Clr_Replacement">#REF!</definedName>
    <definedName name="cncebit">#REF!</definedName>
    <definedName name="cncinc">#REF!</definedName>
    <definedName name="cncrev">#REF!</definedName>
    <definedName name="CNINV_assettype_all">#REF!</definedName>
    <definedName name="CNINV_client">#REF!</definedName>
    <definedName name="CNINV_composite_all">#REF!</definedName>
    <definedName name="CNINV_sectors_client">#REF!</definedName>
    <definedName name="CNINV_segments_client">#REF!</definedName>
    <definedName name="CNINV.CV_sectors_client">#REF!</definedName>
    <definedName name="cnsld2" localSheetId="21">#REF!</definedName>
    <definedName name="cnsld2">#REF!</definedName>
    <definedName name="cnsld3" localSheetId="21">#REF!</definedName>
    <definedName name="cnsld3">#REF!</definedName>
    <definedName name="cnsld4" localSheetId="21">#REF!</definedName>
    <definedName name="cnsld4">#REF!</definedName>
    <definedName name="CNUM_sector_ss_client">#REF!</definedName>
    <definedName name="CNUM_ss_client">#REF!</definedName>
    <definedName name="Coef" localSheetId="21">#REF!</definedName>
    <definedName name="Coef">#REF!</definedName>
    <definedName name="Coef_correction" localSheetId="21">#REF!</definedName>
    <definedName name="Coef_correction">#REF!</definedName>
    <definedName name="COM_client_mo">#REF!</definedName>
    <definedName name="combold" localSheetId="21">#REF!</definedName>
    <definedName name="combold">#REF!</definedName>
    <definedName name="CommonJul01" localSheetId="8">SUM(#REF!)</definedName>
    <definedName name="CommonJul01" localSheetId="21">#REF!</definedName>
    <definedName name="CommonJul01">#REF!</definedName>
    <definedName name="CON" localSheetId="21">#REF!</definedName>
    <definedName name="CON">#REF!</definedName>
    <definedName name="Consol92" localSheetId="21">#REF!</definedName>
    <definedName name="Consol92">#REF!</definedName>
    <definedName name="Consol93" localSheetId="21">#REF!</definedName>
    <definedName name="Consol93">#REF!</definedName>
    <definedName name="COPY1" localSheetId="21">#REF!</definedName>
    <definedName name="COPY1">#REF!</definedName>
    <definedName name="COPY2" localSheetId="21">#REF!</definedName>
    <definedName name="COPY2">#REF!</definedName>
    <definedName name="cost1" localSheetId="21">#REF!</definedName>
    <definedName name="cost1">#REF!</definedName>
    <definedName name="count.CTR_assettype_all">#REF!</definedName>
    <definedName name="count.CV_assettype_all">#REF!</definedName>
    <definedName name="count.CV_client">#REF!</definedName>
    <definedName name="count.CV_composite_all">#REF!</definedName>
    <definedName name="count.CV_sectors_client">#REF!</definedName>
    <definedName name="count.CV_segments_client">#REF!</definedName>
    <definedName name="count.TR_sector_ss_client">#REF!</definedName>
    <definedName name="count.TR_ss_client">#REF!</definedName>
    <definedName name="_xlnm.Criteria">#REF!</definedName>
    <definedName name="CRITERION" localSheetId="21">#REF!</definedName>
    <definedName name="CRITERION">#REF!</definedName>
    <definedName name="csDesignMode">1</definedName>
    <definedName name="csgsf" localSheetId="21">#REF!</definedName>
    <definedName name="csgsf">#REF!</definedName>
    <definedName name="CTR_assettype_all">#REF!</definedName>
    <definedName name="CTR_client">#REF!</definedName>
    <definedName name="CTR_composite_all">#REF!</definedName>
    <definedName name="CTR_sectors_client">#REF!</definedName>
    <definedName name="CTR_sectors_si">#REF!</definedName>
    <definedName name="CTR_segments_client">#REF!</definedName>
    <definedName name="CTR_segments_si">#REF!</definedName>
    <definedName name="CTR_si">#REF!</definedName>
    <definedName name="Cumbond" localSheetId="21">#REF!</definedName>
    <definedName name="Cumbond">#REF!</definedName>
    <definedName name="Cumequity" localSheetId="21">#REF!</definedName>
    <definedName name="Cumequity">#REF!</definedName>
    <definedName name="CumFCST" localSheetId="21">#REF!</definedName>
    <definedName name="CumFCST">#REF!</definedName>
    <definedName name="CumMM" localSheetId="21">#REF!</definedName>
    <definedName name="CumMM">#REF!</definedName>
    <definedName name="CurrentDate">#REF!</definedName>
    <definedName name="CurrentDateText">#REF!</definedName>
    <definedName name="CURRIND" localSheetId="21">#REF!</definedName>
    <definedName name="CURRIND">#REF!</definedName>
    <definedName name="CURRMRKT" localSheetId="21">#REF!</definedName>
    <definedName name="CURRMRKT">#REF!</definedName>
    <definedName name="CV_assettype_all">#REF!</definedName>
    <definedName name="CV_client">#REF!</definedName>
    <definedName name="CV_client_mo">#REF!</definedName>
    <definedName name="CV_composite_all">#REF!</definedName>
    <definedName name="CV_sectors_client">#REF!</definedName>
    <definedName name="CV_segments_client">#REF!</definedName>
    <definedName name="DAL" localSheetId="21">#REF!</definedName>
    <definedName name="DAL">#REF!</definedName>
    <definedName name="DATA" localSheetId="21">#REF!</definedName>
    <definedName name="DATA">#REF!</definedName>
    <definedName name="DATA1YR" localSheetId="21">#REF!</definedName>
    <definedName name="DATA1YR">#REF!</definedName>
    <definedName name="DATA2" localSheetId="21">#REF!</definedName>
    <definedName name="DATA2">#REF!</definedName>
    <definedName name="DATA3YR" localSheetId="21">#REF!</definedName>
    <definedName name="DATA3YR">#REF!</definedName>
    <definedName name="DATA5YR" localSheetId="21">#REF!</definedName>
    <definedName name="DATA5YR">#REF!</definedName>
    <definedName name="_xlnm.Database">#REF!</definedName>
    <definedName name="Date" localSheetId="21">#REF!</definedName>
    <definedName name="Date">#REF!</definedName>
    <definedName name="Date_valeur">#REF!</definedName>
    <definedName name="Date1">#REF!</definedName>
    <definedName name="Datea">#REF!</definedName>
    <definedName name="DateFrom" localSheetId="21">#REF!</definedName>
    <definedName name="DateFrom">#REF!</definedName>
    <definedName name="Dates">#REF!</definedName>
    <definedName name="DateTo" localSheetId="21">#REF!</definedName>
    <definedName name="DateTo">#REF!</definedName>
    <definedName name="DCF" localSheetId="21">#REF!</definedName>
    <definedName name="DCF">#REF!</definedName>
    <definedName name="DEAL_ALLOCATION_INPUTS" localSheetId="21">#REF!</definedName>
    <definedName name="DEAL_ALLOCATION_INPUTS">#REF!</definedName>
    <definedName name="debt_exit" localSheetId="21">#REF!</definedName>
    <definedName name="debt_exit">#REF!</definedName>
    <definedName name="Debt_Pct" localSheetId="21">#REF!</definedName>
    <definedName name="Debt_Pct">#REF!</definedName>
    <definedName name="Debt_Pct_P" localSheetId="21">#REF!</definedName>
    <definedName name="Debt_Pct_P">#REF!</definedName>
    <definedName name="DebtCoverage" localSheetId="21">#REF!</definedName>
    <definedName name="DebtCoverage">#REF!</definedName>
    <definedName name="DENCON" localSheetId="21">#REF!</definedName>
    <definedName name="DENCON">#REF!</definedName>
    <definedName name="designation" localSheetId="21">#REF!</definedName>
    <definedName name="designation">#REF!</definedName>
    <definedName name="DetailStab" localSheetId="21">#REF!</definedName>
    <definedName name="DetailStab">#REF!</definedName>
    <definedName name="dev">#REF!</definedName>
    <definedName name="devel">#REF!</definedName>
    <definedName name="DevelopmentCosts" localSheetId="21">#REF!</definedName>
    <definedName name="DevelopmentCosts">#REF!</definedName>
    <definedName name="DFFA" localSheetId="21">#REF!</definedName>
    <definedName name="DFFA">#REF!</definedName>
    <definedName name="DFFB" localSheetId="21">#REF!</definedName>
    <definedName name="DFFB">#REF!</definedName>
    <definedName name="dfg" localSheetId="8">{"pg F1",#N/A,FALSE,"Fin Smry1";"pg F2",#N/A,FALSE,"Fin Smry2";"pg F3",#N/A,FALSE,"Fin Smry3";"pg F4",#N/A,FALSE,"Fin Smry4"}</definedName>
    <definedName name="dfg">#REF!</definedName>
    <definedName name="DIFF" localSheetId="21">#REF!</definedName>
    <definedName name="DIFF">#REF!</definedName>
    <definedName name="Diff2" localSheetId="21">#REF!</definedName>
    <definedName name="Diff2">#REF!</definedName>
    <definedName name="DIndex" localSheetId="21">#REF!</definedName>
    <definedName name="DIndex">#REF!</definedName>
    <definedName name="DirectCap" localSheetId="21">#REF!</definedName>
    <definedName name="DirectCap">#REF!</definedName>
    <definedName name="DISC" localSheetId="21">#REF!</definedName>
    <definedName name="DISC">#REF!</definedName>
    <definedName name="dispyear" localSheetId="21">#REF!</definedName>
    <definedName name="dispyear">#REF!</definedName>
    <definedName name="District">#REF!</definedName>
    <definedName name="DIVPAID" localSheetId="21">#REF!</definedName>
    <definedName name="DIVPAID">#REF!</definedName>
    <definedName name="DMFA" localSheetId="21">#REF!</definedName>
    <definedName name="DMFA">#REF!</definedName>
    <definedName name="DMFB" localSheetId="21">#REF!</definedName>
    <definedName name="DMFB">#REF!</definedName>
    <definedName name="Document" localSheetId="21">#REF!</definedName>
    <definedName name="Document">#REF!</definedName>
    <definedName name="DOFA" localSheetId="21">#REF!</definedName>
    <definedName name="DOFA">#REF!</definedName>
    <definedName name="DOFB" localSheetId="21">#REF!</definedName>
    <definedName name="DOFB">#REF!</definedName>
    <definedName name="dsc" localSheetId="21">#REF!</definedName>
    <definedName name="dsc">#REF!</definedName>
    <definedName name="dummy">#REF!</definedName>
    <definedName name="DUTA" localSheetId="21">#REF!</definedName>
    <definedName name="DUTA">#REF!</definedName>
    <definedName name="DUTB" localSheetId="21">#REF!</definedName>
    <definedName name="DUTB">#REF!</definedName>
    <definedName name="EFFECTIVE_FIRST_LOAN_INTEREST_RATE" localSheetId="21">#REF!</definedName>
    <definedName name="EFFECTIVE_FIRST_LOAN_INTEREST_RATE">#REF!</definedName>
    <definedName name="Employers_NI" localSheetId="4">'[1]Payroll Variables'!$B$5</definedName>
    <definedName name="Employers_NI" localSheetId="2">'[1]Payroll Variables'!$B$5</definedName>
    <definedName name="Employers_NI" localSheetId="7">'[1]Payroll Variables'!$B$5</definedName>
    <definedName name="Employers_NI" localSheetId="5">'[1]Payroll Variables'!$B$5</definedName>
    <definedName name="Employers_NI" localSheetId="3">'[1]Payroll Variables'!$B$5</definedName>
    <definedName name="Employers_NI" localSheetId="8">#REF!</definedName>
    <definedName name="Employers_NI">'[2]Payroll Variables'!$B$5</definedName>
    <definedName name="Employers_SS_Singapore" localSheetId="4">'[1]Payroll Variables'!$B$6</definedName>
    <definedName name="Employers_SS_Singapore" localSheetId="2">'[1]Payroll Variables'!$B$6</definedName>
    <definedName name="Employers_SS_Singapore" localSheetId="7">'[1]Payroll Variables'!$B$6</definedName>
    <definedName name="Employers_SS_Singapore" localSheetId="5">'[1]Payroll Variables'!$B$6</definedName>
    <definedName name="Employers_SS_Singapore" localSheetId="3">'[1]Payroll Variables'!$B$6</definedName>
    <definedName name="Employers_SS_Singapore" localSheetId="8">#REF!</definedName>
    <definedName name="Employers_SS_Singapore">'[2]Payroll Variables'!$B$6</definedName>
    <definedName name="emprise" localSheetId="21">#REF!</definedName>
    <definedName name="emprise">#REF!</definedName>
    <definedName name="equity" localSheetId="21">#REF!</definedName>
    <definedName name="equity">#REF!</definedName>
    <definedName name="Equity_Pct" localSheetId="21">#REF!</definedName>
    <definedName name="Equity_Pct">#REF!</definedName>
    <definedName name="equity98" localSheetId="21">#REF!</definedName>
    <definedName name="equity98">#REF!</definedName>
    <definedName name="equity99" localSheetId="21">#REF!</definedName>
    <definedName name="equity99">#REF!</definedName>
    <definedName name="equityfcst" localSheetId="21">#REF!</definedName>
    <definedName name="equityfcst">#REF!</definedName>
    <definedName name="ERV.GWTH_eye">#REF!</definedName>
    <definedName name="ERV.GWTH_sectors_eye">#REF!</definedName>
    <definedName name="ERV.GWTH_segments_eye">#REF!</definedName>
    <definedName name="Estimation" localSheetId="21">#REF!</definedName>
    <definedName name="Estimation">#REF!</definedName>
    <definedName name="etc" localSheetId="8">{#N/A,#N/A,FALSE,"totcap";#N/A,#N/A,FALSE,"capopr";#N/A,#N/A,FALSE,"capadm"}</definedName>
    <definedName name="etc">#REF!</definedName>
    <definedName name="EUR" localSheetId="4">'[1]Assumptions &amp; Variables'!$E$21</definedName>
    <definedName name="EUR" localSheetId="2">'[1]Assumptions &amp; Variables'!$E$21</definedName>
    <definedName name="EUR" localSheetId="7">'[1]Assumptions &amp; Variables'!$E$21</definedName>
    <definedName name="EUR" localSheetId="5">'[1]Assumptions &amp; Variables'!$E$21</definedName>
    <definedName name="EUR" localSheetId="3">'[1]Assumptions &amp; Variables'!$E$21</definedName>
    <definedName name="EUR" localSheetId="8">#REF!</definedName>
    <definedName name="EUR">'[2]Assumptions &amp; Variables'!$E$21</definedName>
    <definedName name="euro">#REF!</definedName>
    <definedName name="EuropeSheet" localSheetId="21">#REF!</definedName>
    <definedName name="EuropeSheet">#REF!</definedName>
    <definedName name="EuropeYTDCopy" localSheetId="21">#REF!</definedName>
    <definedName name="EuropeYTDCopy">#REF!</definedName>
    <definedName name="EXCHANGE" localSheetId="21">#REF!</definedName>
    <definedName name="EXCHANGE">#REF!</definedName>
    <definedName name="EXCHANGE_RATE" localSheetId="21">#REF!</definedName>
    <definedName name="EXCHANGE_RATE">#REF!</definedName>
    <definedName name="EXIT" localSheetId="21">#REF!</definedName>
    <definedName name="EXIT">#REF!</definedName>
    <definedName name="EXIT_CAP" localSheetId="21">#REF!</definedName>
    <definedName name="EXIT_CAP">#REF!</definedName>
    <definedName name="EXIT_CAP_P" localSheetId="21">#REF!</definedName>
    <definedName name="EXIT_CAP_P">#REF!</definedName>
    <definedName name="Exit_Exit_Cap" localSheetId="21">#REF!</definedName>
    <definedName name="Exit_Exit_Cap">#REF!</definedName>
    <definedName name="Exp_HC">#REF!</definedName>
    <definedName name="_xlnm.Extract">#REF!</definedName>
    <definedName name="EY_eye">#REF!</definedName>
    <definedName name="EY_sectors_eye">#REF!</definedName>
    <definedName name="EY_segments_eye">#REF!</definedName>
    <definedName name="EY.IMP_eye">#REF!</definedName>
    <definedName name="EY.IMP_sectors_eye">#REF!</definedName>
    <definedName name="EY.IMP_segments_eye">#REF!</definedName>
    <definedName name="Far_EastSheet" localSheetId="21">#REF!</definedName>
    <definedName name="Far_EastSheet">#REF!</definedName>
    <definedName name="Far_EastYTDCopy" localSheetId="21">#REF!</definedName>
    <definedName name="Far_EastYTDCopy">#REF!</definedName>
    <definedName name="FF" localSheetId="21">#REF!</definedName>
    <definedName name="FF">#REF!</definedName>
    <definedName name="File" localSheetId="21">#REF!</definedName>
    <definedName name="File">#REF!</definedName>
    <definedName name="FINANCING_FEES" localSheetId="21">#REF!</definedName>
    <definedName name="FINANCING_FEES">#REF!</definedName>
    <definedName name="FIndex" localSheetId="21">#REF!</definedName>
    <definedName name="FIndex">#REF!</definedName>
    <definedName name="FIPLogo">#N/A</definedName>
    <definedName name="FIRST_LOAN" localSheetId="21">#REF!</definedName>
    <definedName name="FIRST_LOAN">#REF!</definedName>
    <definedName name="FISCALDAY" localSheetId="21">#REF!</definedName>
    <definedName name="FISCALDAY">#REF!</definedName>
    <definedName name="FISCALMONTH" localSheetId="21">#REF!</definedName>
    <definedName name="FISCALMONTH">#REF!</definedName>
    <definedName name="FISCALYEAR" localSheetId="21">#REF!</definedName>
    <definedName name="FISCALYEAR">#REF!</definedName>
    <definedName name="fNumber" localSheetId="21">#REF!</definedName>
    <definedName name="fNumber">#REF!</definedName>
    <definedName name="FOUR" localSheetId="21">#REF!</definedName>
    <definedName name="FOUR">#REF!</definedName>
    <definedName name="FP">#REF!</definedName>
    <definedName name="FRPT" localSheetId="21">#REF!</definedName>
    <definedName name="FRPT">#REF!</definedName>
    <definedName name="FRPT1" localSheetId="21">#REF!</definedName>
    <definedName name="FRPT1">#REF!</definedName>
    <definedName name="FUND_NOI" localSheetId="21">#REF!</definedName>
    <definedName name="FUND_NOI">#REF!</definedName>
    <definedName name="FUND_OF_FUNDS_CARRIED_INTEREST" localSheetId="21">#REF!</definedName>
    <definedName name="FUND_OF_FUNDS_CARRIED_INTEREST">#REF!</definedName>
    <definedName name="FUND_OF_FUNDS_HURDLE_RATE" localSheetId="21">#REF!</definedName>
    <definedName name="FUND_OF_FUNDS_HURDLE_RATE">#REF!</definedName>
    <definedName name="FUND_OF_FUNDS_MGMT_FEE" localSheetId="21">#REF!</definedName>
    <definedName name="FUND_OF_FUNDS_MGMT_FEE">#REF!</definedName>
    <definedName name="FUND_OF_FUNDS_PLACEMENT_EXPENSE" localSheetId="21">#REF!</definedName>
    <definedName name="FUND_OF_FUNDS_PLACEMENT_EXPENSE">#REF!</definedName>
    <definedName name="FUND_OF_FUNDS_TARGET_IRR" localSheetId="21">#REF!</definedName>
    <definedName name="FUND_OF_FUNDS_TARGET_IRR">#REF!</definedName>
    <definedName name="Fundname" localSheetId="21">#REF!</definedName>
    <definedName name="Fundname">#REF!</definedName>
    <definedName name="fundnames" localSheetId="21">#REF!</definedName>
    <definedName name="fundnames">#REF!</definedName>
    <definedName name="fundnumber" localSheetId="21">#REF!</definedName>
    <definedName name="fundnumber">#REF!</definedName>
    <definedName name="FUNDSORT" localSheetId="21">#REF!</definedName>
    <definedName name="FUNDSORT">#REF!</definedName>
    <definedName name="FundValuation" localSheetId="21">#REF!</definedName>
    <definedName name="FundValuation">#REF!</definedName>
    <definedName name="FX" localSheetId="21">#REF!</definedName>
    <definedName name="FX">#REF!</definedName>
    <definedName name="FX_Rates" localSheetId="21">#REF!</definedName>
    <definedName name="FX_Rates">#REF!</definedName>
    <definedName name="GBP">#REF!</definedName>
    <definedName name="gbp_rates" localSheetId="21">#REF!</definedName>
    <definedName name="gbp_rates">#REF!</definedName>
    <definedName name="GF" localSheetId="21">#REF!</definedName>
    <definedName name="GF">#REF!</definedName>
    <definedName name="gig">#REF!</definedName>
    <definedName name="GIY_eye">#REF!</definedName>
    <definedName name="GIY_sectors_eye">#REF!</definedName>
    <definedName name="GIY_segments_eye">#REF!</definedName>
    <definedName name="GMO_NOI" localSheetId="21">#REF!</definedName>
    <definedName name="GMO_NOI">#REF!</definedName>
    <definedName name="GMO_NOI_AFTER_TAXES" localSheetId="21">#REF!</definedName>
    <definedName name="GMO_NOI_AFTER_TAXES">#REF!</definedName>
    <definedName name="gn" localSheetId="21">#REF!</definedName>
    <definedName name="gn">#REF!</definedName>
    <definedName name="GP_CATCHUP" localSheetId="21">#REF!</definedName>
    <definedName name="GP_CATCHUP">#REF!</definedName>
    <definedName name="GP_Check_1" localSheetId="21">#REF!</definedName>
    <definedName name="GP_Check_1">#REF!</definedName>
    <definedName name="GP_Check_2" localSheetId="21">#REF!</definedName>
    <definedName name="GP_Check_2">#REF!</definedName>
    <definedName name="GP_Check_3" localSheetId="21">#REF!</definedName>
    <definedName name="GP_Check_3">#REF!</definedName>
    <definedName name="GP_HURDLE_RATE" localSheetId="21">#REF!</definedName>
    <definedName name="GP_HURDLE_RATE">#REF!</definedName>
    <definedName name="GP_HURDLE_RATE_2" localSheetId="21">#REF!</definedName>
    <definedName name="GP_HURDLE_RATE_2">#REF!</definedName>
    <definedName name="GP_HURDLE_RATE_3" localSheetId="21">#REF!</definedName>
    <definedName name="GP_HURDLE_RATE_3">#REF!</definedName>
    <definedName name="GP_PROMOTE" localSheetId="21">#REF!</definedName>
    <definedName name="GP_PROMOTE">#REF!</definedName>
    <definedName name="GP_PROMOTE_2" localSheetId="21">#REF!</definedName>
    <definedName name="GP_PROMOTE_2">#REF!</definedName>
    <definedName name="GP_PROMOTE_3" localSheetId="21">#REF!</definedName>
    <definedName name="GP_PROMOTE_3">#REF!</definedName>
    <definedName name="Gr_xaxis" localSheetId="21">#REF!</definedName>
    <definedName name="Gr_xaxis">#REF!</definedName>
    <definedName name="Graph_2" localSheetId="21">#REF!</definedName>
    <definedName name="Graph_2">#REF!</definedName>
    <definedName name="Graph_a1" localSheetId="21">#REF!</definedName>
    <definedName name="Graph_a1">#REF!</definedName>
    <definedName name="Graph_a2" localSheetId="21">#REF!</definedName>
    <definedName name="Graph_a2">#REF!</definedName>
    <definedName name="Graph_b1" localSheetId="21">#REF!</definedName>
    <definedName name="Graph_b1">#REF!</definedName>
    <definedName name="Graph_b2" localSheetId="21">#REF!</definedName>
    <definedName name="Graph_b2">#REF!</definedName>
    <definedName name="Graph_c1" localSheetId="21">#REF!</definedName>
    <definedName name="Graph_c1">#REF!</definedName>
    <definedName name="Graph_c2" localSheetId="21">#REF!</definedName>
    <definedName name="Graph_c2">#REF!</definedName>
    <definedName name="Graph_d1" localSheetId="21">#REF!</definedName>
    <definedName name="Graph_d1">#REF!</definedName>
    <definedName name="Graph_d2" localSheetId="21">#REF!</definedName>
    <definedName name="Graph_d2">#REF!</definedName>
    <definedName name="Graph_e1" localSheetId="21">#REF!</definedName>
    <definedName name="Graph_e1">#REF!</definedName>
    <definedName name="Graph_e2" localSheetId="21">#REF!</definedName>
    <definedName name="Graph_e2">#REF!</definedName>
    <definedName name="GREEN" localSheetId="21">#REF!</definedName>
    <definedName name="GREEN">#REF!</definedName>
    <definedName name="HARVEST_RETURN_INPUTS" localSheetId="21">#REF!</definedName>
    <definedName name="HARVEST_RETURN_INPUTS">#REF!</definedName>
    <definedName name="hauteur" localSheetId="21">#REF!</definedName>
    <definedName name="hauteur">#REF!</definedName>
    <definedName name="Healthcare" localSheetId="4">'[1]Payroll Variables'!$B$7</definedName>
    <definedName name="Healthcare" localSheetId="2">'[1]Payroll Variables'!$B$7</definedName>
    <definedName name="Healthcare" localSheetId="7">'[1]Payroll Variables'!$B$7</definedName>
    <definedName name="Healthcare" localSheetId="5">'[1]Payroll Variables'!$B$7</definedName>
    <definedName name="Healthcare" localSheetId="3">'[1]Payroll Variables'!$B$7</definedName>
    <definedName name="Healthcare" localSheetId="8">#REF!</definedName>
    <definedName name="Healthcare">'[2]Payroll Variables'!$B$7</definedName>
    <definedName name="held">#REF!</definedName>
    <definedName name="HELP" localSheetId="21">#REF!</definedName>
    <definedName name="HELP">#REF!</definedName>
    <definedName name="HKD">#REF!</definedName>
    <definedName name="HOld" localSheetId="21">#REF!</definedName>
    <definedName name="HOld">#REF!</definedName>
    <definedName name="HOLD_PERIOD" localSheetId="21">#REF!</definedName>
    <definedName name="HOLD_PERIOD">#REF!</definedName>
    <definedName name="HOLD_PERIOD_P" localSheetId="21">#REF!</definedName>
    <definedName name="HOLD_PERIOD_P">#REF!</definedName>
    <definedName name="Hold_Period_P2" localSheetId="21">#REF!</definedName>
    <definedName name="Hold_Period_P2">#REF!</definedName>
    <definedName name="HOLDPERIOD" localSheetId="21">#REF!</definedName>
    <definedName name="HOLDPERIOD">#REF!</definedName>
    <definedName name="Hong_Kong92" localSheetId="21">#REF!</definedName>
    <definedName name="Hong_Kong92">#REF!</definedName>
    <definedName name="Hong_Kong93" localSheetId="21">#REF!</definedName>
    <definedName name="Hong_Kong93">#REF!</definedName>
    <definedName name="hotl1" localSheetId="21">#REF!</definedName>
    <definedName name="hotl1">#REF!</definedName>
    <definedName name="hotl2" localSheetId="21">#REF!</definedName>
    <definedName name="hotl2">#REF!</definedName>
    <definedName name="hotl3" localSheetId="21">#REF!</definedName>
    <definedName name="hotl3">#REF!</definedName>
    <definedName name="hotl4" localSheetId="21">#REF!</definedName>
    <definedName name="hotl4">#REF!</definedName>
    <definedName name="hotl5" localSheetId="21">#REF!</definedName>
    <definedName name="hotl5">#REF!</definedName>
    <definedName name="hotl6" localSheetId="21">#REF!</definedName>
    <definedName name="hotl6">#REF!</definedName>
    <definedName name="HRBP" localSheetId="4">'[1]Assumptions &amp; Variables'!$C$125</definedName>
    <definedName name="HRBP" localSheetId="2">'[1]Assumptions &amp; Variables'!$C$125</definedName>
    <definedName name="HRBP" localSheetId="7">'[1]Assumptions &amp; Variables'!$C$125</definedName>
    <definedName name="HRBP" localSheetId="5">'[1]Assumptions &amp; Variables'!$C$125</definedName>
    <definedName name="HRBP" localSheetId="3">'[1]Assumptions &amp; Variables'!$C$125</definedName>
    <definedName name="HRBP" localSheetId="8">#REF!</definedName>
    <definedName name="HRBP">'[2]Assumptions &amp; Variables'!$C$125</definedName>
    <definedName name="hyper" localSheetId="21">#REF!</definedName>
    <definedName name="hyper">#REF!</definedName>
    <definedName name="I" localSheetId="21">#REF!</definedName>
    <definedName name="I">#REF!</definedName>
    <definedName name="IA_Costs" localSheetId="21">#REF!</definedName>
    <definedName name="IA_Costs">#REF!</definedName>
    <definedName name="IA_Periods" localSheetId="21">#REF!</definedName>
    <definedName name="IA_Periods">#REF!</definedName>
    <definedName name="ibm" localSheetId="21">#REF!</definedName>
    <definedName name="ibm">#REF!</definedName>
    <definedName name="IMPL_EXIT_CAP_P" localSheetId="21">#REF!</definedName>
    <definedName name="IMPL_EXIT_CAP_P">#REF!</definedName>
    <definedName name="IMPLIED_EX_CAP" localSheetId="21">#REF!</definedName>
    <definedName name="IMPLIED_EX_CAP">#REF!</definedName>
    <definedName name="IMPLIED_EXIT_CAP" localSheetId="21">#REF!</definedName>
    <definedName name="IMPLIED_EXIT_CAP">#REF!</definedName>
    <definedName name="incstmt" localSheetId="21">#REF!</definedName>
    <definedName name="incstmt">#REF!</definedName>
    <definedName name="INDEXATION" localSheetId="21">#REF!</definedName>
    <definedName name="INDEXATION">#REF!</definedName>
    <definedName name="Indice_actuel" localSheetId="21">#REF!</definedName>
    <definedName name="Indice_actuel">#REF!</definedName>
    <definedName name="Indice_BT" localSheetId="21">#REF!</definedName>
    <definedName name="Indice_BT">#REF!</definedName>
    <definedName name="Indice_BT01" localSheetId="21">#REF!</definedName>
    <definedName name="Indice_BT01">#REF!</definedName>
    <definedName name="indirect">#REF!</definedName>
    <definedName name="Inflation_Rate" localSheetId="4">'[1]Payroll Variables'!$B$9</definedName>
    <definedName name="Inflation_Rate" localSheetId="2">'[1]Payroll Variables'!$B$9</definedName>
    <definedName name="Inflation_Rate" localSheetId="7">'[1]Payroll Variables'!$B$9</definedName>
    <definedName name="Inflation_Rate" localSheetId="5">'[1]Payroll Variables'!$B$9</definedName>
    <definedName name="Inflation_Rate" localSheetId="3">'[1]Payroll Variables'!$B$9</definedName>
    <definedName name="Inflation_Rate" localSheetId="8">#REF!</definedName>
    <definedName name="Inflation_Rate">'[2]Payroll Variables'!$B$9</definedName>
    <definedName name="info" localSheetId="21">#REF!</definedName>
    <definedName name="info">#REF!</definedName>
    <definedName name="INR">#REF!</definedName>
    <definedName name="INST_EXIT_CAP" localSheetId="21">#REF!</definedName>
    <definedName name="INST_EXIT_CAP">#REF!</definedName>
    <definedName name="INT_RATE_P" localSheetId="21">#REF!</definedName>
    <definedName name="INT_RATE_P">#REF!</definedName>
    <definedName name="Internal" localSheetId="21">#REF!</definedName>
    <definedName name="Internal">#REF!</definedName>
    <definedName name="ints" localSheetId="21">#REF!</definedName>
    <definedName name="ints">#REF!</definedName>
    <definedName name="INVEST" localSheetId="21">#REF!</definedName>
    <definedName name="INVEST">#REF!</definedName>
    <definedName name="investdetail" localSheetId="21">#REF!</definedName>
    <definedName name="investdetail">#REF!</definedName>
    <definedName name="Investments">#REF!</definedName>
    <definedName name="INVPORTF" localSheetId="21">#REF!</definedName>
    <definedName name="INVPORTF">#REF!</definedName>
    <definedName name="INVST" localSheetId="21">#REF!</definedName>
    <definedName name="INVST">#REF!</definedName>
    <definedName name="InvTypeA">#REF!</definedName>
    <definedName name="InvTypeB">#REF!</definedName>
    <definedName name="IO_YEARS" localSheetId="21">#REF!</definedName>
    <definedName name="IO_YEARS">#REF!</definedName>
    <definedName name="IO_YEARS_2" localSheetId="21">#REF!</definedName>
    <definedName name="IO_YEARS_2">#REF!</definedName>
    <definedName name="IO_YEARS_3" localSheetId="21">#REF!</definedName>
    <definedName name="IO_YEARS_3">#REF!</definedName>
    <definedName name="ipdmo">#REF!</definedName>
    <definedName name="ippa">#REF!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ACCOUNT_CHANGE">"c1449"</definedName>
    <definedName name="IQ_ACCOUNTS_PAY">"c1343"</definedName>
    <definedName name="IQ_ACCR_INT_PAY">"c1"</definedName>
    <definedName name="IQ_ACCR_INT_PAY_CF">"c2"</definedName>
    <definedName name="IQ_ACCR_INT_RECEIV">"c3"</definedName>
    <definedName name="IQ_ACCR_INT_RECEIV_CF">"c4"</definedName>
    <definedName name="IQ_ACCRUED_EXP">"c1341"</definedName>
    <definedName name="IQ_ACCT_RECV_10YR_ANN_CAGR">"c6159"</definedName>
    <definedName name="IQ_ACCT_RECV_10YR_ANN_GROWTH">"c1924"</definedName>
    <definedName name="IQ_ACCT_RECV_1YR_ANN_GROWTH">"c1919"</definedName>
    <definedName name="IQ_ACCT_RECV_2YR_ANN_CAGR">"c6155"</definedName>
    <definedName name="IQ_ACCT_RECV_2YR_ANN_GROWTH">"c1920"</definedName>
    <definedName name="IQ_ACCT_RECV_3YR_ANN_CAGR">"c6156"</definedName>
    <definedName name="IQ_ACCT_RECV_3YR_ANN_GROWTH">"c1921"</definedName>
    <definedName name="IQ_ACCT_RECV_5YR_ANN_CAGR">"c6157"</definedName>
    <definedName name="IQ_ACCT_RECV_5YR_ANN_GROWTH">"c1922"</definedName>
    <definedName name="IQ_ACCT_RECV_7YR_ANN_CAGR">"c6158"</definedName>
    <definedName name="IQ_ACCT_RECV_7YR_ANN_GROWTH">"c1923"</definedName>
    <definedName name="IQ_ACCUM_DEP">"c1340"</definedName>
    <definedName name="IQ_ACCUMULATED_PENSION_OBLIGATION">"c2244"</definedName>
    <definedName name="IQ_ACCUMULATED_PENSION_OBLIGATION_DOMESTIC">"c2657"</definedName>
    <definedName name="IQ_ACCUMULATED_PENSION_OBLIGATION_FOREIGN">"c2665"</definedName>
    <definedName name="IQ_ACQ_COST_SUB">"c2125"</definedName>
    <definedName name="IQ_ACQ_COSTS_CAPITALIZED">"c5"</definedName>
    <definedName name="IQ_ACQUIRE_REAL_ESTATE_CF">"c6"</definedName>
    <definedName name="IQ_ACQUIRED_BY_REPORTING_BANK_FDIC">"c6535"</definedName>
    <definedName name="IQ_ACQUISITION_RE_ASSETS">"c1628"</definedName>
    <definedName name="IQ_AD">"c7"</definedName>
    <definedName name="IQ_ADD_PAID_IN">"c1344"</definedName>
    <definedName name="IQ_ADDIN">"AUTO"</definedName>
    <definedName name="IQ_ADDITIONAL_NON_INT_INC_FDIC">"c6574"</definedName>
    <definedName name="IQ_ADJ_AVG_BANK_ASSETS">"c2671"</definedName>
    <definedName name="IQ_ADJUSTABLE_RATE_LOANS_FDIC">"c6375"</definedName>
    <definedName name="IQ_ADMIN_RATIO">"c2784"</definedName>
    <definedName name="IQ_ADVERTISING">"c2246"</definedName>
    <definedName name="IQ_ADVERTISING_MARKETING">"c1566"</definedName>
    <definedName name="IQ_AE">"c8"</definedName>
    <definedName name="IQ_AE_BNK">"c9"</definedName>
    <definedName name="IQ_AE_BR">"c10"</definedName>
    <definedName name="IQ_AE_FIN">"c11"</definedName>
    <definedName name="IQ_AE_INS">"c12"</definedName>
    <definedName name="IQ_AE_RE">"c6195"</definedName>
    <definedName name="IQ_AE_REIT">"c13"</definedName>
    <definedName name="IQ_AE_UTI">"c14"</definedName>
    <definedName name="IQ_AFTER_TAX_INCOME_FDIC">"c6583"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H_EARNED">"c2744"</definedName>
    <definedName name="IQ_AH_POLICY_BENEFITS_EXP">"c2789"</definedName>
    <definedName name="IQ_AIR_AIRPLANES_NOT_IN_SERVICE">"c2842"</definedName>
    <definedName name="IQ_AIR_AIRPLANES_SUBLEASED">"c2841"</definedName>
    <definedName name="IQ_AIR_ASK">"c2813"</definedName>
    <definedName name="IQ_AIR_ASK_INCREASE">"c2826"</definedName>
    <definedName name="IQ_AIR_ASM">"c2812"</definedName>
    <definedName name="IQ_AIR_ASM_INCREASE">"c2825"</definedName>
    <definedName name="IQ_AIR_AVG_AGE">"c2843"</definedName>
    <definedName name="IQ_AIR_BREAK_EVEN_FACTOR">"c2822"</definedName>
    <definedName name="IQ_AIR_CAPITAL_LEASE">"c2833"</definedName>
    <definedName name="IQ_AIR_COMPLETION_FACTOR">"c2824"</definedName>
    <definedName name="IQ_AIR_ENPLANED_PSGRS">"c2809"</definedName>
    <definedName name="IQ_AIR_FUEL_CONSUMED">"c2806"</definedName>
    <definedName name="IQ_AIR_FUEL_CONSUMED_L">"c2807"</definedName>
    <definedName name="IQ_AIR_FUEL_COST">"c2803"</definedName>
    <definedName name="IQ_AIR_FUEL_COST_L">"c2804"</definedName>
    <definedName name="IQ_AIR_FUEL_EXP">"c2802"</definedName>
    <definedName name="IQ_AIR_FUEL_EXP_PERCENT">"c2805"</definedName>
    <definedName name="IQ_AIR_LEASED">"c2835"</definedName>
    <definedName name="IQ_AIR_LOAD_FACTOR">"c2823"</definedName>
    <definedName name="IQ_AIR_NEW_AIRPLANES">"c2839"</definedName>
    <definedName name="IQ_AIR_OPER_EXP_ASK">"c2821"</definedName>
    <definedName name="IQ_AIR_OPER_EXP_ASM">"c2820"</definedName>
    <definedName name="IQ_AIR_OPER_LEASE">"c2834"</definedName>
    <definedName name="IQ_AIR_OPER_REV_YIELD_ASK">"c2819"</definedName>
    <definedName name="IQ_AIR_OPER_REV_YIELD_ASM">"c2818"</definedName>
    <definedName name="IQ_AIR_OPTIONS">"c2837"</definedName>
    <definedName name="IQ_AIR_ORDERS">"c2836"</definedName>
    <definedName name="IQ_AIR_OWNED">"c2832"</definedName>
    <definedName name="IQ_AIR_PSGR_REV_YIELD_ASK">"c2817"</definedName>
    <definedName name="IQ_AIR_PSGR_REV_YIELD_ASM">"c2816"</definedName>
    <definedName name="IQ_AIR_PSGR_REV_YIELD_RPK">"c2815"</definedName>
    <definedName name="IQ_AIR_PSGR_REV_YIELD_RPM">"c2814"</definedName>
    <definedName name="IQ_AIR_PURCHASE_RIGHTS">"c2838"</definedName>
    <definedName name="IQ_AIR_RETIRED_AIRPLANES">"c2840"</definedName>
    <definedName name="IQ_AIR_REV_PSGRS_CARRIED">"c2808"</definedName>
    <definedName name="IQ_AIR_REV_SCHEDULED_SERVICE">"c2830"</definedName>
    <definedName name="IQ_AIR_RPK">"c2811"</definedName>
    <definedName name="IQ_AIR_RPM">"c2810"</definedName>
    <definedName name="IQ_AIR_STAGE_LENGTH">"c2828"</definedName>
    <definedName name="IQ_AIR_STAGE_LENGTH_KM">"c2829"</definedName>
    <definedName name="IQ_AIR_TOTAL">"c2831"</definedName>
    <definedName name="IQ_AIR_UTILIZATION">"c2827"</definedName>
    <definedName name="IQ_ALLOW_BORROW_CONST">"c15"</definedName>
    <definedName name="IQ_ALLOW_CONST">"c1342"</definedName>
    <definedName name="IQ_ALLOW_DOUBT_ACCT">"c2092"</definedName>
    <definedName name="IQ_ALLOW_EQUITY_CONST">"c16"</definedName>
    <definedName name="IQ_ALLOW_LL">"c17"</definedName>
    <definedName name="IQ_ALLOWANCE_10YR_ANN_CAGR">"c6035"</definedName>
    <definedName name="IQ_ALLOWANCE_10YR_ANN_GROWTH">"c18"</definedName>
    <definedName name="IQ_ALLOWANCE_1YR_ANN_GROWTH">"c19"</definedName>
    <definedName name="IQ_ALLOWANCE_2YR_ANN_CAGR">"c6036"</definedName>
    <definedName name="IQ_ALLOWANCE_2YR_ANN_GROWTH">"c20"</definedName>
    <definedName name="IQ_ALLOWANCE_3YR_ANN_CAGR">"c6037"</definedName>
    <definedName name="IQ_ALLOWANCE_3YR_ANN_GROWTH">"c21"</definedName>
    <definedName name="IQ_ALLOWANCE_5YR_ANN_CAGR">"c6038"</definedName>
    <definedName name="IQ_ALLOWANCE_5YR_ANN_GROWTH">"c22"</definedName>
    <definedName name="IQ_ALLOWANCE_7YR_ANN_CAGR">"c6039"</definedName>
    <definedName name="IQ_ALLOWANCE_7YR_ANN_GROWTH">"c23"</definedName>
    <definedName name="IQ_ALLOWANCE_CHARGE_OFFS">"c24"</definedName>
    <definedName name="IQ_ALLOWANCE_NON_PERF_LOANS">"c25"</definedName>
    <definedName name="IQ_ALLOWANCE_TOTAL_LOANS">"c26"</definedName>
    <definedName name="IQ_AMENDED_BALANCE_PREVIOUS_YR_FDIC">"c6499"</definedName>
    <definedName name="IQ_AMORT_EXPENSE_FDIC">"c6677"</definedName>
    <definedName name="IQ_AMORTIZATION">"c1591"</definedName>
    <definedName name="IQ_AMORTIZED_COST_FDIC">"c6426"</definedName>
    <definedName name="IQ_AMT_OUT">"c2145"</definedName>
    <definedName name="IQ_ANNU_DISTRIBUTION_UNIT">"c3004"</definedName>
    <definedName name="IQ_ANNUALIZED_DIVIDEND">"c1579"</definedName>
    <definedName name="IQ_ANNUITY_LIAB">"c27"</definedName>
    <definedName name="IQ_ANNUITY_PAY">"c28"</definedName>
    <definedName name="IQ_ANNUITY_POLICY_EXP">"c29"</definedName>
    <definedName name="IQ_ANNUITY_REC">"c30"</definedName>
    <definedName name="IQ_ANNUITY_REV">"c31"</definedName>
    <definedName name="IQ_AP">"c32"</definedName>
    <definedName name="IQ_AP_BNK">"c33"</definedName>
    <definedName name="IQ_AP_BR">"c34"</definedName>
    <definedName name="IQ_AP_FIN">"c35"</definedName>
    <definedName name="IQ_AP_INS">"c36"</definedName>
    <definedName name="IQ_AP_RE">"c6196"</definedName>
    <definedName name="IQ_AP_REIT">"c37"</definedName>
    <definedName name="IQ_AP_UTI">"c38"</definedName>
    <definedName name="IQ_APIC">"c39"</definedName>
    <definedName name="IQ_AR">"c40"</definedName>
    <definedName name="IQ_AR_BR">"c41"</definedName>
    <definedName name="IQ_AR_LT">"c42"</definedName>
    <definedName name="IQ_AR_RE">"c6197"</definedName>
    <definedName name="IQ_AR_REIT">"c43"</definedName>
    <definedName name="IQ_AR_TURNS">"c44"</definedName>
    <definedName name="IQ_AR_UTI">"c45"</definedName>
    <definedName name="IQ_ARPU">"c2126"</definedName>
    <definedName name="IQ_ASSET_BACKED_FDIC">"c6301"</definedName>
    <definedName name="IQ_ASSET_MGMT_FEE">"c46"</definedName>
    <definedName name="IQ_ASSET_TURNS">"c47"</definedName>
    <definedName name="IQ_ASSET_WRITEDOWN">"c48"</definedName>
    <definedName name="IQ_ASSET_WRITEDOWN_BNK">"c49"</definedName>
    <definedName name="IQ_ASSET_WRITEDOWN_BR">"c50"</definedName>
    <definedName name="IQ_ASSET_WRITEDOWN_CF">"c51"</definedName>
    <definedName name="IQ_ASSET_WRITEDOWN_CF_BNK">"c52"</definedName>
    <definedName name="IQ_ASSET_WRITEDOWN_CF_BR">"c53"</definedName>
    <definedName name="IQ_ASSET_WRITEDOWN_CF_FIN">"c54"</definedName>
    <definedName name="IQ_ASSET_WRITEDOWN_CF_INS">"c55"</definedName>
    <definedName name="IQ_ASSET_WRITEDOWN_CF_RE">"c6198"</definedName>
    <definedName name="IQ_ASSET_WRITEDOWN_CF_REIT">"c56"</definedName>
    <definedName name="IQ_ASSET_WRITEDOWN_CF_UTI">"c57"</definedName>
    <definedName name="IQ_ASSET_WRITEDOWN_FIN">"c58"</definedName>
    <definedName name="IQ_ASSET_WRITEDOWN_INS">"c59"</definedName>
    <definedName name="IQ_ASSET_WRITEDOWN_RE">"c6199"</definedName>
    <definedName name="IQ_ASSET_WRITEDOWN_REIT">"c60"</definedName>
    <definedName name="IQ_ASSET_WRITEDOWN_UTI">"c61"</definedName>
    <definedName name="IQ_ASSETS_CAP_LEASE_DEPR">"c2068"</definedName>
    <definedName name="IQ_ASSETS_CAP_LEASE_GROSS">"c2069"</definedName>
    <definedName name="IQ_ASSETS_HELD_FDIC">"c6305"</definedName>
    <definedName name="IQ_ASSETS_OPER_LEASE_DEPR">"c2070"</definedName>
    <definedName name="IQ_ASSETS_OPER_LEASE_GROSS">"c2071"</definedName>
    <definedName name="IQ_ASSETS_PER_EMPLOYEE_FDIC">"c6737"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SSUMED_AH_EARNED">"c2741"</definedName>
    <definedName name="IQ_ASSUMED_EARNED">"c2731"</definedName>
    <definedName name="IQ_ASSUMED_LIFE_EARNED">"c2736"</definedName>
    <definedName name="IQ_ASSUMED_LIFE_IN_FORCE">"c2766"</definedName>
    <definedName name="IQ_ASSUMED_PC_EARNED">"c2746"</definedName>
    <definedName name="IQ_ASSUMED_WRITTEN">"c2725"</definedName>
    <definedName name="IQ_AUDITOR_NAME">"c1539"</definedName>
    <definedName name="IQ_AUDITOR_OPINION">"c1540"</definedName>
    <definedName name="IQ_AUTO_WRITTEN">"c62"</definedName>
    <definedName name="IQ_AVAILABLE_FOR_SALE_FDIC">"c6409"</definedName>
    <definedName name="IQ_AVERAGE_ASSETS_FDIC">"c6362"</definedName>
    <definedName name="IQ_AVERAGE_ASSETS_QUART_FDIC">"c6363"</definedName>
    <definedName name="IQ_AVERAGE_EARNING_ASSETS_FDIC">"c6748"</definedName>
    <definedName name="IQ_AVERAGE_EQUITY_FDIC">"c6749"</definedName>
    <definedName name="IQ_AVERAGE_LOANS_FDIC">"c6750"</definedName>
    <definedName name="IQ_AVG_BANK_ASSETS">"c2072"</definedName>
    <definedName name="IQ_AVG_BANK_LOANS">"c2073"</definedName>
    <definedName name="IQ_AVG_BROKER_REC">"c63"</definedName>
    <definedName name="IQ_AVG_BROKER_REC_NO">"c64"</definedName>
    <definedName name="IQ_AVG_BROKER_REC_NO_REUT">"c5315"</definedName>
    <definedName name="IQ_AVG_BROKER_REC_REUT">"c3630"</definedName>
    <definedName name="IQ_AVG_DAILY_VOL">"c65"</definedName>
    <definedName name="IQ_AVG_EMPLOYEES">"c6019"</definedName>
    <definedName name="IQ_AVG_INDUSTRY_REC">"c4455"</definedName>
    <definedName name="IQ_AVG_INT_BEAR_LIAB">"c66"</definedName>
    <definedName name="IQ_AVG_INT_BEAR_LIAB_10YR_ANN_CAGR">"c6040"</definedName>
    <definedName name="IQ_AVG_INT_BEAR_LIAB_10YR_ANN_GROWTH">"c67"</definedName>
    <definedName name="IQ_AVG_INT_BEAR_LIAB_1YR_ANN_GROWTH">"c68"</definedName>
    <definedName name="IQ_AVG_INT_BEAR_LIAB_2YR_ANN_CAGR">"c6041"</definedName>
    <definedName name="IQ_AVG_INT_BEAR_LIAB_2YR_ANN_GROWTH">"c69"</definedName>
    <definedName name="IQ_AVG_INT_BEAR_LIAB_3YR_ANN_CAGR">"c6042"</definedName>
    <definedName name="IQ_AVG_INT_BEAR_LIAB_3YR_ANN_GROWTH">"c70"</definedName>
    <definedName name="IQ_AVG_INT_BEAR_LIAB_5YR_ANN_CAGR">"c6043"</definedName>
    <definedName name="IQ_AVG_INT_BEAR_LIAB_5YR_ANN_GROWTH">"c71"</definedName>
    <definedName name="IQ_AVG_INT_BEAR_LIAB_7YR_ANN_CAGR">"c6044"</definedName>
    <definedName name="IQ_AVG_INT_BEAR_LIAB_7YR_ANN_GROWTH">"c72"</definedName>
    <definedName name="IQ_AVG_INT_EARN_ASSETS">"c73"</definedName>
    <definedName name="IQ_AVG_INT_EARN_ASSETS_10YR_ANN_CAGR">"c6045"</definedName>
    <definedName name="IQ_AVG_INT_EARN_ASSETS_10YR_ANN_GROWTH">"c74"</definedName>
    <definedName name="IQ_AVG_INT_EARN_ASSETS_1YR_ANN_GROWTH">"c75"</definedName>
    <definedName name="IQ_AVG_INT_EARN_ASSETS_2YR_ANN_CAGR">"c6046"</definedName>
    <definedName name="IQ_AVG_INT_EARN_ASSETS_2YR_ANN_GROWTH">"c76"</definedName>
    <definedName name="IQ_AVG_INT_EARN_ASSETS_3YR_ANN_CAGR">"c6047"</definedName>
    <definedName name="IQ_AVG_INT_EARN_ASSETS_3YR_ANN_GROWTH">"c77"</definedName>
    <definedName name="IQ_AVG_INT_EARN_ASSETS_5YR_ANN_CAGR">"c6048"</definedName>
    <definedName name="IQ_AVG_INT_EARN_ASSETS_5YR_ANN_GROWTH">"c78"</definedName>
    <definedName name="IQ_AVG_INT_EARN_ASSETS_7YR_ANN_CAGR">"c6049"</definedName>
    <definedName name="IQ_AVG_INT_EARN_ASSETS_7YR_ANN_GROWTH">"c79"</definedName>
    <definedName name="IQ_AVG_MKTCAP">"c80"</definedName>
    <definedName name="IQ_AVG_PRICE">"c81"</definedName>
    <definedName name="IQ_AVG_SHAREOUTSTANDING">"c83"</definedName>
    <definedName name="IQ_AVG_TEMP_EMPLOYEES">"c6020"</definedName>
    <definedName name="IQ_AVG_TEV">"c84"</definedName>
    <definedName name="IQ_AVG_VOLUME">"c1346"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DEBT">"c2544"</definedName>
    <definedName name="IQ_BANK_DEBT_PCT">"c2545"</definedName>
    <definedName name="IQ_BANK_GUARANTOR_FDIC">"c6506"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S_FOREIGN_COUNTRIES_TOTAL_DEPOSITS_FDIC">"c6475"</definedName>
    <definedName name="IQ_BASIC_EPS_EXCL">"c85"</definedName>
    <definedName name="IQ_BASIC_EPS_INCL">"c86"</definedName>
    <definedName name="IQ_BASIC_NORMAL_EPS">"c1592"</definedName>
    <definedName name="IQ_BASIC_WEIGHT">"c87"</definedName>
    <definedName name="IQ_BENCHMARK_SECURITY">"c2154"</definedName>
    <definedName name="IQ_BENCHMARK_SPRD">"c2153"</definedName>
    <definedName name="IQ_BETA">"c2133"</definedName>
    <definedName name="IQ_BETA_1YR">"c1966"</definedName>
    <definedName name="IQ_BETA_1YR_RSQ">"c2132"</definedName>
    <definedName name="IQ_BETA_2YR">"c1965"</definedName>
    <definedName name="IQ_BETA_2YR_RSQ">"c2131"</definedName>
    <definedName name="IQ_BETA_5YR">"c88"</definedName>
    <definedName name="IQ_BETA_5YR_RSQ">"c2130"</definedName>
    <definedName name="IQ_BIG_INT_BEAR_CD">"c89"</definedName>
    <definedName name="IQ_BOARD_MEMBER">"c96"</definedName>
    <definedName name="IQ_BOARD_MEMBER_BACKGROUND">"c2101"</definedName>
    <definedName name="IQ_BOARD_MEMBER_TITLE">"c97"</definedName>
    <definedName name="IQ_BOND_COUPON">"c2183"</definedName>
    <definedName name="IQ_BOND_COUPON_TYPE">"c2184"</definedName>
    <definedName name="IQ_BOND_PRICE">"c2162"</definedName>
    <definedName name="IQ_BROK_COMISSION">"c98"</definedName>
    <definedName name="IQ_BROK_COMMISSION">"c3514"</definedName>
    <definedName name="IQ_BROKERED_DEPOSITS_FDIC">"c6486"</definedName>
    <definedName name="IQ_BUILDINGS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REV">"c4068"</definedName>
    <definedName name="IQ_BUS_SEG_REV_ABS">"c4090"</definedName>
    <definedName name="IQ_BUS_SEG_REV_TOTAL">"c4106"</definedName>
    <definedName name="IQ_BUSINESS_DESCRIPTION">"c322"</definedName>
    <definedName name="IQ_BV_OVER_SHARES">"c1349"</definedName>
    <definedName name="IQ_BV_SHARE">"c100"</definedName>
    <definedName name="IQ_CABLE_ARPU">"c2869"</definedName>
    <definedName name="IQ_CABLE_ARPU_ANALOG">"c2864"</definedName>
    <definedName name="IQ_CABLE_ARPU_BASIC">"c2866"</definedName>
    <definedName name="IQ_CABLE_ARPU_BBAND">"c2867"</definedName>
    <definedName name="IQ_CABLE_ARPU_DIG">"c2865"</definedName>
    <definedName name="IQ_CABLE_ARPU_PHONE">"c2868"</definedName>
    <definedName name="IQ_CABLE_BASIC_PENETRATION">"c2850"</definedName>
    <definedName name="IQ_CABLE_BBAND_PENETRATION">"c2852"</definedName>
    <definedName name="IQ_CABLE_BBAND_PENETRATION_THP">"c2851"</definedName>
    <definedName name="IQ_CABLE_CHURN">"c2874"</definedName>
    <definedName name="IQ_CABLE_CHURN_BASIC">"c2871"</definedName>
    <definedName name="IQ_CABLE_CHURN_BBAND">"c2872"</definedName>
    <definedName name="IQ_CABLE_CHURN_DIG">"c2870"</definedName>
    <definedName name="IQ_CABLE_CHURN_PHONE">"c2873"</definedName>
    <definedName name="IQ_CABLE_HOMES_PER_MILE">"c2849"</definedName>
    <definedName name="IQ_CABLE_HP_BBAND">"c2845"</definedName>
    <definedName name="IQ_CABLE_HP_DIG">"c2844"</definedName>
    <definedName name="IQ_CABLE_HP_PHONE">"c2846"</definedName>
    <definedName name="IQ_CABLE_MILES_PASSED">"c2848"</definedName>
    <definedName name="IQ_CABLE_OTHER_REV">"c2882"</definedName>
    <definedName name="IQ_CABLE_PHONE_PENETRATION">"c2853"</definedName>
    <definedName name="IQ_CABLE_PROGRAMMING_COSTS">"c2884"</definedName>
    <definedName name="IQ_CABLE_REV_ADVERT">"c2880"</definedName>
    <definedName name="IQ_CABLE_REV_ANALOG">"c2875"</definedName>
    <definedName name="IQ_CABLE_REV_BASIC">"c2877"</definedName>
    <definedName name="IQ_CABLE_REV_BBAND">"c2878"</definedName>
    <definedName name="IQ_CABLE_REV_COMMERCIAL">"c2881"</definedName>
    <definedName name="IQ_CABLE_REV_DIG">"c2876"</definedName>
    <definedName name="IQ_CABLE_REV_PHONE">"c2879"</definedName>
    <definedName name="IQ_CABLE_RGU">"c2863"</definedName>
    <definedName name="IQ_CABLE_SUBS_ANALOG">"c2855"</definedName>
    <definedName name="IQ_CABLE_SUBS_BASIC">"c2857"</definedName>
    <definedName name="IQ_CABLE_SUBS_BBAND">"c2858"</definedName>
    <definedName name="IQ_CABLE_SUBS_BUNDLED">"c2861"</definedName>
    <definedName name="IQ_CABLE_SUBS_DIG">"c2856"</definedName>
    <definedName name="IQ_CABLE_SUBS_NON_VIDEO">"c2860"</definedName>
    <definedName name="IQ_CABLE_SUBS_PHONE">"c2859"</definedName>
    <definedName name="IQ_CABLE_SUBS_TOTAL">"c2862"</definedName>
    <definedName name="IQ_CABLE_THP">"c2847"</definedName>
    <definedName name="IQ_CABLE_TOTAL_PENETRATION">"c2854"</definedName>
    <definedName name="IQ_CABLE_TOTAL_REV">"c2883"</definedName>
    <definedName name="IQ_CAL_Q">"c101"</definedName>
    <definedName name="IQ_CAL_Q_EST">"c6796"</definedName>
    <definedName name="IQ_CAL_Q_EST_REUT">"c6800"</definedName>
    <definedName name="IQ_CAL_Y">"c102"</definedName>
    <definedName name="IQ_CAL_Y_EST">"c6797"</definedName>
    <definedName name="IQ_CAL_Y_EST_REUT">"c6801"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EX">"c103"</definedName>
    <definedName name="IQ_CAPEX_10YR_ANN_CAGR">"c6050"</definedName>
    <definedName name="IQ_CAPEX_10YR_ANN_GROWTH">"c104"</definedName>
    <definedName name="IQ_CAPEX_1YR_ANN_GROWTH">"c105"</definedName>
    <definedName name="IQ_CAPEX_2YR_ANN_CAGR">"c6051"</definedName>
    <definedName name="IQ_CAPEX_2YR_ANN_GROWTH">"c106"</definedName>
    <definedName name="IQ_CAPEX_3YR_ANN_CAGR">"c6052"</definedName>
    <definedName name="IQ_CAPEX_3YR_ANN_GROWTH">"c107"</definedName>
    <definedName name="IQ_CAPEX_5YR_ANN_CAGR">"c6053"</definedName>
    <definedName name="IQ_CAPEX_5YR_ANN_GROWTH">"c108"</definedName>
    <definedName name="IQ_CAPEX_7YR_ANN_CAGR">"c6054"</definedName>
    <definedName name="IQ_CAPEX_7YR_ANN_GROWTH">"c109"</definedName>
    <definedName name="IQ_CAPEX_BNK">"c110"</definedName>
    <definedName name="IQ_CAPEX_BR">"c111"</definedName>
    <definedName name="IQ_CAPEX_FIN">"c112"</definedName>
    <definedName name="IQ_CAPEX_INS">"c113"</definedName>
    <definedName name="IQ_CAPEX_UTI">"c114"</definedName>
    <definedName name="IQ_CAPITAL_LEASE">"c1350"</definedName>
    <definedName name="IQ_CAPITAL_LEASES">"c115"</definedName>
    <definedName name="IQ_CAPITAL_LEASES_TOTAL">"c3031"</definedName>
    <definedName name="IQ_CAPITAL_LEASES_TOTAL_PCT">"c2506"</definedName>
    <definedName name="IQ_CAPITALIZED_INTEREST">"c3460"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SH">"c1458"</definedName>
    <definedName name="IQ_CASH_ACQUIRE_CF">"c116"</definedName>
    <definedName name="IQ_CASH_CONVERSION">"c117"</definedName>
    <definedName name="IQ_CASH_DIVIDENDS_NET_INCOME_FDIC">"c6738"</definedName>
    <definedName name="IQ_CASH_DUE_BANKS">"c1351"</definedName>
    <definedName name="IQ_CASH_EQUIV">"c118"</definedName>
    <definedName name="IQ_CASH_FINAN">"c119"</definedName>
    <definedName name="IQ_CASH_FLOW_ACT_OR_EST">"c4154"</definedName>
    <definedName name="IQ_CASH_IN_PROCESS_FDIC">"c6386"</definedName>
    <definedName name="IQ_CASH_INTEREST">"c120"</definedName>
    <definedName name="IQ_CASH_INTEREST_FINAN">"c6295"</definedName>
    <definedName name="IQ_CASH_INTEREST_INVEST">"c6294"</definedName>
    <definedName name="IQ_CASH_INTEREST_OPER">"c6293"</definedName>
    <definedName name="IQ_CASH_INVEST">"c121"</definedName>
    <definedName name="IQ_CASH_OPER">"c122"</definedName>
    <definedName name="IQ_CASH_OPER_ACT_OR_EST">"c4164"</definedName>
    <definedName name="IQ_CASH_SEGREG">"c123"</definedName>
    <definedName name="IQ_CASH_SHARE">"c1911"</definedName>
    <definedName name="IQ_CASH_ST">"c1355"</definedName>
    <definedName name="IQ_CASH_ST_INVEST">"c124"</definedName>
    <definedName name="IQ_CASH_TAXES">"c125"</definedName>
    <definedName name="IQ_CASH_TAXES_FINAN">"c6292"</definedName>
    <definedName name="IQ_CASH_TAXES_INVEST">"c6291"</definedName>
    <definedName name="IQ_CASH_TAXES_OPER">"c6290"</definedName>
    <definedName name="IQ_CCE_FDIC">"c6296"</definedName>
    <definedName name="IQ_CEDED_AH_EARNED">"c2743"</definedName>
    <definedName name="IQ_CEDED_CLAIM_EXP_INCUR">"c2756"</definedName>
    <definedName name="IQ_CEDED_CLAIM_EXP_PAID">"c2759"</definedName>
    <definedName name="IQ_CEDED_CLAIM_EXP_RES">"c2753"</definedName>
    <definedName name="IQ_CEDED_EARNED">"c2733"</definedName>
    <definedName name="IQ_CEDED_LIFE_EARNED">"c2738"</definedName>
    <definedName name="IQ_CEDED_LIFE_IN_FORCE">"c2768"</definedName>
    <definedName name="IQ_CEDED_PC_EARNED">"c2748"</definedName>
    <definedName name="IQ_CEDED_WRITTEN">"c2727"</definedName>
    <definedName name="IQ_CFO_10YR_ANN_CAGR">"c6055"</definedName>
    <definedName name="IQ_CFO_10YR_ANN_GROWTH">"c126"</definedName>
    <definedName name="IQ_CFO_1YR_ANN_GROWTH">"c127"</definedName>
    <definedName name="IQ_CFO_2YR_ANN_CAGR">"c6056"</definedName>
    <definedName name="IQ_CFO_2YR_ANN_GROWTH">"c128"</definedName>
    <definedName name="IQ_CFO_3YR_ANN_CAGR">"c6057"</definedName>
    <definedName name="IQ_CFO_3YR_ANN_GROWTH">"c129"</definedName>
    <definedName name="IQ_CFO_5YR_ANN_CAGR">"c6058"</definedName>
    <definedName name="IQ_CFO_5YR_ANN_GROWTH">"c130"</definedName>
    <definedName name="IQ_CFO_7YR_ANN_CAGR">"c6059"</definedName>
    <definedName name="IQ_CFO_7YR_ANN_GROWTH">"c131"</definedName>
    <definedName name="IQ_CFO_CURRENT_LIAB">"c132"</definedName>
    <definedName name="IQ_CHANGE_AP">"c133"</definedName>
    <definedName name="IQ_CHANGE_AP_BNK">"c134"</definedName>
    <definedName name="IQ_CHANGE_AP_BR">"c135"</definedName>
    <definedName name="IQ_CHANGE_AP_FIN">"c136"</definedName>
    <definedName name="IQ_CHANGE_AP_INS">"c137"</definedName>
    <definedName name="IQ_CHANGE_AP_RE">"c6200"</definedName>
    <definedName name="IQ_CHANGE_AP_REIT">"c138"</definedName>
    <definedName name="IQ_CHANGE_AP_UTI">"c139"</definedName>
    <definedName name="IQ_CHANGE_AR">"c140"</definedName>
    <definedName name="IQ_CHANGE_AR_BNK">"c141"</definedName>
    <definedName name="IQ_CHANGE_AR_BR">"c142"</definedName>
    <definedName name="IQ_CHANGE_AR_FIN">"c143"</definedName>
    <definedName name="IQ_CHANGE_AR_INS">"c144"</definedName>
    <definedName name="IQ_CHANGE_AR_RE">"c6201"</definedName>
    <definedName name="IQ_CHANGE_AR_REIT">"c145"</definedName>
    <definedName name="IQ_CHANGE_AR_UTI">"c146"</definedName>
    <definedName name="IQ_CHANGE_DEF_TAX">"c147"</definedName>
    <definedName name="IQ_CHANGE_DEPOSIT_ACCT">"c148"</definedName>
    <definedName name="IQ_CHANGE_INC_TAX">"c149"</definedName>
    <definedName name="IQ_CHANGE_INS_RES_LIAB">"c150"</definedName>
    <definedName name="IQ_CHANGE_INVENTORY">"c151"</definedName>
    <definedName name="IQ_CHANGE_NET_OPER_ASSETS">"c3592"</definedName>
    <definedName name="IQ_CHANGE_NET_WORKING_CAPITAL">"c1909"</definedName>
    <definedName name="IQ_CHANGE_OTHER_NET_OPER_ASSETS">"c3593"</definedName>
    <definedName name="IQ_CHANGE_OTHER_NET_OPER_ASSETS_BNK">"c3594"</definedName>
    <definedName name="IQ_CHANGE_OTHER_NET_OPER_ASSETS_BR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>"c152"</definedName>
    <definedName name="IQ_CHANGE_OTHER_WORK_CAP_BNK">"c153"</definedName>
    <definedName name="IQ_CHANGE_OTHER_WORK_CAP_BR">"c154"</definedName>
    <definedName name="IQ_CHANGE_OTHER_WORK_CAP_FIN">"c155"</definedName>
    <definedName name="IQ_CHANGE_OTHER_WORK_CAP_INS">"c156"</definedName>
    <definedName name="IQ_CHANGE_OTHER_WORK_CAP_REIT">"c157"</definedName>
    <definedName name="IQ_CHANGE_OTHER_WORK_CAP_UTI">"c158"</definedName>
    <definedName name="IQ_CHANGE_TRADING_ASSETS">"c159"</definedName>
    <definedName name="IQ_CHANGE_UNEARN_REV">"c160"</definedName>
    <definedName name="IQ_CHANGE_WORK_CAP">"c161"</definedName>
    <definedName name="IQ_CHANGES_WORK_CAP">"c1357"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GROSS">"c162"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NET">"c163"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HARGE_OFFS_RECOVERED">"c164"</definedName>
    <definedName name="IQ_CHARGE_OFFS_TOTAL_AVG_LOANS">"c165"</definedName>
    <definedName name="IQ_CITY">"c166"</definedName>
    <definedName name="IQ_CL_DUE_AFTER_FIVE">"c167"</definedName>
    <definedName name="IQ_CL_DUE_CY">"c168"</definedName>
    <definedName name="IQ_CL_DUE_CY1">"c169"</definedName>
    <definedName name="IQ_CL_DUE_CY2">"c170"</definedName>
    <definedName name="IQ_CL_DUE_CY3">"c171"</definedName>
    <definedName name="IQ_CL_DUE_CY4">"c172"</definedName>
    <definedName name="IQ_CL_DUE_NEXT_FIVE">"c173"</definedName>
    <definedName name="IQ_CL_OBLIGATION_IMMEDIATE">"c2253"</definedName>
    <definedName name="IQ_CLASSA_OPTIONS_BEG_OS">"c2679"</definedName>
    <definedName name="IQ_CLASSA_OPTIONS_CANCELLED">"c2682"</definedName>
    <definedName name="IQ_CLASSA_OPTIONS_END_OS">"c2683"</definedName>
    <definedName name="IQ_CLASSA_OPTIONS_EXERCISABLE_END_OS">"c5809"</definedName>
    <definedName name="IQ_CLASSA_OPTIONS_EXERCISED">"c2681"</definedName>
    <definedName name="IQ_CLASSA_OPTIONS_GRANTED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>"c2684"</definedName>
    <definedName name="IQ_CLASSA_OUTSTANDING_BS_DATE">"c1971"</definedName>
    <definedName name="IQ_CLASSA_OUTSTANDING_FILING_DATE">"c1973"</definedName>
    <definedName name="IQ_CLASSA_STRIKE_PRICE_GRANTED">"c2685"</definedName>
    <definedName name="IQ_CLASSA_WARRANTS_BEG_OS">"c2705"</definedName>
    <definedName name="IQ_CLASSA_WARRANTS_CANCELLED">"c2708"</definedName>
    <definedName name="IQ_CLASSA_WARRANTS_END_OS">"c2709"</definedName>
    <definedName name="IQ_CLASSA_WARRANTS_EXERCISED">"c2707"</definedName>
    <definedName name="IQ_CLASSA_WARRANTS_ISSUED">"c2706"</definedName>
    <definedName name="IQ_CLASSA_WARRANTS_STRIKE_PRICE_ISSUED">"c2711"</definedName>
    <definedName name="IQ_CLASSA_WARRANTS_STRIKE_PRICE_OS">"c2710"</definedName>
    <definedName name="IQ_CLOSEPRICE">"c174"</definedName>
    <definedName name="IQ_CLOSEPRICE_ADJ">"c2115"</definedName>
    <definedName name="IQ_CMO_FDIC">"c6406"</definedName>
    <definedName name="IQ_COGS">"c175"</definedName>
    <definedName name="IQ_COLLECTION_DOMESTIC_FDIC">"c6387"</definedName>
    <definedName name="IQ_COMBINED_RATIO">"c176"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FIRE_WRITTEN">"c178"</definedName>
    <definedName name="IQ_COMMERCIAL_INDUSTRIAL_CHARGE_OFFS_FDIC">"c6598"</definedName>
    <definedName name="IQ_COMMERCIAL_INDUSTRIAL_LOANS_NET_FDIC">"c6317"</definedName>
    <definedName name="IQ_COMMERCIAL_INDUSTRIAL_NET_CHARGE_OFFS_FDIC">"c6636"</definedName>
    <definedName name="IQ_COMMERCIAL_INDUSTRIAL_RECOVERIES_FDIC">"c6617"</definedName>
    <definedName name="IQ_COMMERCIAL_INDUSTRIAL_TOTAL_LOANS_FOREIGN_FDIC">"c6451"</definedName>
    <definedName name="IQ_COMMERCIAL_MORT">"c179"</definedName>
    <definedName name="IQ_COMMERCIAL_RE_CONSTRUCTION_LAND_DEV_FDIC">"c6526"</definedName>
    <definedName name="IQ_COMMERCIAL_RE_LOANS_FDIC">"c6312"</definedName>
    <definedName name="IQ_COMMISS_FEES">"c180"</definedName>
    <definedName name="IQ_COMMISSION_DEF">"c181"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ODITY_EXPOSURES_FDIC">"c6665"</definedName>
    <definedName name="IQ_COMMON">"c182"</definedName>
    <definedName name="IQ_COMMON_APIC">"c183"</definedName>
    <definedName name="IQ_COMMON_APIC_BNK">"c184"</definedName>
    <definedName name="IQ_COMMON_APIC_BR">"c185"</definedName>
    <definedName name="IQ_COMMON_APIC_FIN">"c186"</definedName>
    <definedName name="IQ_COMMON_APIC_INS">"c187"</definedName>
    <definedName name="IQ_COMMON_APIC_RE">"c6202"</definedName>
    <definedName name="IQ_COMMON_APIC_REIT">"c188"</definedName>
    <definedName name="IQ_COMMON_APIC_UTI">"c189"</definedName>
    <definedName name="IQ_COMMON_DIV">"c3006"</definedName>
    <definedName name="IQ_COMMON_DIV_CF">"c190"</definedName>
    <definedName name="IQ_COMMON_EQUITY_10YR_ANN_CAGR">"c6060"</definedName>
    <definedName name="IQ_COMMON_EQUITY_10YR_ANN_GROWTH">"c191"</definedName>
    <definedName name="IQ_COMMON_EQUITY_1YR_ANN_GROWTH">"c192"</definedName>
    <definedName name="IQ_COMMON_EQUITY_2YR_ANN_CAGR">"c6061"</definedName>
    <definedName name="IQ_COMMON_EQUITY_2YR_ANN_GROWTH">"c193"</definedName>
    <definedName name="IQ_COMMON_EQUITY_3YR_ANN_CAGR">"c6062"</definedName>
    <definedName name="IQ_COMMON_EQUITY_3YR_ANN_GROWTH">"c194"</definedName>
    <definedName name="IQ_COMMON_EQUITY_5YR_ANN_CAGR">"c6063"</definedName>
    <definedName name="IQ_COMMON_EQUITY_5YR_ANN_GROWTH">"c195"</definedName>
    <definedName name="IQ_COMMON_EQUITY_7YR_ANN_CAGR">"c6064"</definedName>
    <definedName name="IQ_COMMON_EQUITY_7YR_ANN_GROWTH">"c196"</definedName>
    <definedName name="IQ_COMMON_FDIC">"c6350"</definedName>
    <definedName name="IQ_COMMON_ISSUED">"c197"</definedName>
    <definedName name="IQ_COMMON_ISSUED_BNK">"c198"</definedName>
    <definedName name="IQ_COMMON_ISSUED_BR">"c199"</definedName>
    <definedName name="IQ_COMMON_ISSUED_FIN">"c200"</definedName>
    <definedName name="IQ_COMMON_ISSUED_INS">"c201"</definedName>
    <definedName name="IQ_COMMON_ISSUED_RE">"c6203"</definedName>
    <definedName name="IQ_COMMON_ISSUED_REIT">"c202"</definedName>
    <definedName name="IQ_COMMON_ISSUED_UTI">"c203"</definedName>
    <definedName name="IQ_COMMON_PER_ADR">"c204"</definedName>
    <definedName name="IQ_COMMON_PREF_DIV_CF">"c205"</definedName>
    <definedName name="IQ_COMMON_REP">"c206"</definedName>
    <definedName name="IQ_COMMON_REP_BNK">"c207"</definedName>
    <definedName name="IQ_COMMON_REP_BR">"c208"</definedName>
    <definedName name="IQ_COMMON_REP_FIN">"c209"</definedName>
    <definedName name="IQ_COMMON_REP_INS">"c210"</definedName>
    <definedName name="IQ_COMMON_REP_RE">"c6204"</definedName>
    <definedName name="IQ_COMMON_REP_REIT">"c211"</definedName>
    <definedName name="IQ_COMMON_REP_UTI">"c212"</definedName>
    <definedName name="IQ_COMMON_STOCK">"c1358"</definedName>
    <definedName name="IQ_COMP_BENEFITS">"c213"</definedName>
    <definedName name="IQ_COMPANY_ADDRESS">"c214"</definedName>
    <definedName name="IQ_COMPANY_ID">"c3513"</definedName>
    <definedName name="IQ_COMPANY_NAME">"c215"</definedName>
    <definedName name="IQ_COMPANY_NAME_LONG">"c1585"</definedName>
    <definedName name="IQ_COMPANY_NOTE">"c6792"</definedName>
    <definedName name="IQ_COMPANY_PHONE">"c216"</definedName>
    <definedName name="IQ_COMPANY_STATUS">"c2097"</definedName>
    <definedName name="IQ_COMPANY_STREET1">"c217"</definedName>
    <definedName name="IQ_COMPANY_STREET2">"c218"</definedName>
    <definedName name="IQ_COMPANY_TICKER">"c219"</definedName>
    <definedName name="IQ_COMPANY_TYPE">"c2096"</definedName>
    <definedName name="IQ_COMPANY_WEBSITE">"c220"</definedName>
    <definedName name="IQ_COMPANY_ZIP">"c221"</definedName>
    <definedName name="IQ_CONSTRUCTION_DEV_LOANS_FDIC">"c6313"</definedName>
    <definedName name="IQ_CONSTRUCTION_LAND_DEVELOPMENT_CHARGE_OFFS_FDIC">"c6594"</definedName>
    <definedName name="IQ_CONSTRUCTION_LAND_DEVELOPMENT_NET_CHARGE_OFFS_FDIC">"c6632"</definedName>
    <definedName name="IQ_CONSTRUCTION_LAND_DEVELOPMENT_RECOVERIES_FDIC">"c6613"</definedName>
    <definedName name="IQ_CONSTRUCTION_LOANS">"c222"</definedName>
    <definedName name="IQ_CONSUMER_LOANS">"c223"</definedName>
    <definedName name="IQ_CONTRACTS_OTHER_COMMODITIES_EQUITIES._FDIC">"c6522"</definedName>
    <definedName name="IQ_CONV_DATE">"c2191"</definedName>
    <definedName name="IQ_CONV_EXP_DATE">"c3043"</definedName>
    <definedName name="IQ_CONV_PREMIUM">"c2195"</definedName>
    <definedName name="IQ_CONV_PRICE">"c2193"</definedName>
    <definedName name="IQ_CONV_RATE">"c2192"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T">"c2536"</definedName>
    <definedName name="IQ_CONVERT_PCT">"c2537"</definedName>
    <definedName name="IQ_CONVEXITY">"c2182"</definedName>
    <definedName name="IQ_CONVEYED_TO_OTHERS_FDIC">"c6534"</definedName>
    <definedName name="IQ_CORE_CAPITAL_RATIO_FDIC">"c6745"</definedName>
    <definedName name="IQ_COST_BORROWING">"c2936"</definedName>
    <definedName name="IQ_COST_BORROWINGS">"c225"</definedName>
    <definedName name="IQ_COST_OF_FUNDING_ASSETS_FDIC">"c6725"</definedName>
    <definedName name="IQ_COST_REV">"c226"</definedName>
    <definedName name="IQ_COST_REVENUE">"c1359"</definedName>
    <definedName name="IQ_COST_SAVINGS">"c227"</definedName>
    <definedName name="IQ_COST_SERVICE">"c228"</definedName>
    <definedName name="IQ_COST_TOTAL_BORROWINGS">"c229"</definedName>
    <definedName name="IQ_COUNTRY_NAME">"c230"</definedName>
    <definedName name="IQ_COVERED_POPS">"c2124"</definedName>
    <definedName name="IQ_CP">"c2495"</definedName>
    <definedName name="IQ_CP_PCT">"c2496"</definedName>
    <definedName name="IQ_CQ">5000</definedName>
    <definedName name="IQ_CREDIT_CARD_CHARGE_OFFS_FDIC">"c6652"</definedName>
    <definedName name="IQ_CREDIT_CARD_FEE_BNK">"c231"</definedName>
    <definedName name="IQ_CREDIT_CARD_FEE_FIN">"c1583"</definedName>
    <definedName name="IQ_CREDIT_CARD_LINES_FDIC">"c6525"</definedName>
    <definedName name="IQ_CREDIT_CARD_LOANS_FDIC">"c6319"</definedName>
    <definedName name="IQ_CREDIT_CARD_NET_CHARGE_OFFS_FDIC">"c6654"</definedName>
    <definedName name="IQ_CREDIT_CARD_RECOVERIES_FDIC">"c6653"</definedName>
    <definedName name="IQ_CREDIT_LOSS_CF">"c232"</definedName>
    <definedName name="IQ_CREDIT_LOSS_PROVISION_NET_CHARGE_OFFS_FDIC">"c6734"</definedName>
    <definedName name="IQ_CUMULATIVE_SPLIT_FACTOR">"c2094"</definedName>
    <definedName name="IQ_CURR_DOMESTIC_TAXES">"c2074"</definedName>
    <definedName name="IQ_CURR_FOREIGN_TAXES">"c2075"</definedName>
    <definedName name="IQ_CURRENCY_COIN_DOMESTIC_FDIC">"c6388"</definedName>
    <definedName name="IQ_CURRENCY_FACTOR_BS">"c233"</definedName>
    <definedName name="IQ_CURRENCY_FACTOR_IS">"c234"</definedName>
    <definedName name="IQ_CURRENCY_GAIN">"c235"</definedName>
    <definedName name="IQ_CURRENCY_GAIN_BR">"c236"</definedName>
    <definedName name="IQ_CURRENCY_GAIN_FIN">"c237"</definedName>
    <definedName name="IQ_CURRENCY_GAIN_INS">"c238"</definedName>
    <definedName name="IQ_CURRENCY_GAIN_RE">"c6205"</definedName>
    <definedName name="IQ_CURRENCY_GAIN_REIT">"c239"</definedName>
    <definedName name="IQ_CURRENCY_GAIN_UTI">"c240"</definedName>
    <definedName name="IQ_CURRENT_PORT">"c241"</definedName>
    <definedName name="IQ_CURRENT_PORT_BNK">"c242"</definedName>
    <definedName name="IQ_CURRENT_PORT_DEBT">"c243"</definedName>
    <definedName name="IQ_CURRENT_PORT_DEBT_BNK">"c244"</definedName>
    <definedName name="IQ_CURRENT_PORT_DEBT_BR">"c1567"</definedName>
    <definedName name="IQ_CURRENT_PORT_DEBT_FIN">"c1568"</definedName>
    <definedName name="IQ_CURRENT_PORT_DEBT_INS">"c1569"</definedName>
    <definedName name="IQ_CURRENT_PORT_DEBT_RE">"c6283"</definedName>
    <definedName name="IQ_CURRENT_PORT_DEBT_REIT">"c1570"</definedName>
    <definedName name="IQ_CURRENT_PORT_DEBT_UTI">"c1571"</definedName>
    <definedName name="IQ_CURRENT_PORT_FHLB_DEBT">"c5657"</definedName>
    <definedName name="IQ_CURRENT_PORT_LEASES">"c245"</definedName>
    <definedName name="IQ_CURRENT_PORT_PCT">"c2541"</definedName>
    <definedName name="IQ_CURRENT_RATIO">"c246"</definedName>
    <definedName name="IQ_CUSIP">"c2245"</definedName>
    <definedName name="IQ_CY">10000</definedName>
    <definedName name="IQ_DA">"c247"</definedName>
    <definedName name="IQ_DA_BR">"c248"</definedName>
    <definedName name="IQ_DA_CF">"c249"</definedName>
    <definedName name="IQ_DA_CF_BNK">"c250"</definedName>
    <definedName name="IQ_DA_CF_BR">"c251"</definedName>
    <definedName name="IQ_DA_CF_FIN">"c252"</definedName>
    <definedName name="IQ_DA_CF_INS">"c253"</definedName>
    <definedName name="IQ_DA_CF_RE">"c6206"</definedName>
    <definedName name="IQ_DA_CF_REIT">"c254"</definedName>
    <definedName name="IQ_DA_CF_UTI">"c255"</definedName>
    <definedName name="IQ_DA_EBITDA">"c5528"</definedName>
    <definedName name="IQ_DA_FIN">"c256"</definedName>
    <definedName name="IQ_DA_INS">"c257"</definedName>
    <definedName name="IQ_DA_RE">"c6207"</definedName>
    <definedName name="IQ_DA_REIT">"c258"</definedName>
    <definedName name="IQ_DA_SUPPL">"c259"</definedName>
    <definedName name="IQ_DA_SUPPL_BR">"c260"</definedName>
    <definedName name="IQ_DA_SUPPL_CF">"c261"</definedName>
    <definedName name="IQ_DA_SUPPL_CF_BNK">"c262"</definedName>
    <definedName name="IQ_DA_SUPPL_CF_BR">"c263"</definedName>
    <definedName name="IQ_DA_SUPPL_CF_FIN">"c264"</definedName>
    <definedName name="IQ_DA_SUPPL_CF_INS">"c265"</definedName>
    <definedName name="IQ_DA_SUPPL_CF_RE">"c6208"</definedName>
    <definedName name="IQ_DA_SUPPL_CF_REIT">"c266"</definedName>
    <definedName name="IQ_DA_SUPPL_CF_UTI">"c267"</definedName>
    <definedName name="IQ_DA_SUPPL_FIN">"c268"</definedName>
    <definedName name="IQ_DA_SUPPL_INS">"c269"</definedName>
    <definedName name="IQ_DA_SUPPL_RE">"c6209"</definedName>
    <definedName name="IQ_DA_SUPPL_REIT">"c270"</definedName>
    <definedName name="IQ_DA_SUPPL_UTI">"c271"</definedName>
    <definedName name="IQ_DA_UTI">"c272"</definedName>
    <definedName name="IQ_DATED_DATE">"c2185"</definedName>
    <definedName name="IQ_DAY_COUNT">"c2161"</definedName>
    <definedName name="IQ_DAYS_COVER_SHORT">"c1578"</definedName>
    <definedName name="IQ_DAYS_INVENTORY_OUT">"c273"</definedName>
    <definedName name="IQ_DAYS_PAY_OUTST">"c1362"</definedName>
    <definedName name="IQ_DAYS_PAYABLE_OUT">"c274"</definedName>
    <definedName name="IQ_DAYS_SALES_OUT">"c275"</definedName>
    <definedName name="IQ_DAYS_SALES_OUTST">"c1363"</definedName>
    <definedName name="IQ_DEBT_ADJ">"c2515"</definedName>
    <definedName name="IQ_DEBT_ADJ_PCT">"c2516"</definedName>
    <definedName name="IQ_DEBT_EQUIV_NET_PBO">"c2938"</definedName>
    <definedName name="IQ_DEBT_EQUIV_OPER_LEASE">"c2935"</definedName>
    <definedName name="IQ_DEF_ACQ_CST">"c1364"</definedName>
    <definedName name="IQ_DEF_AMORT">"c276"</definedName>
    <definedName name="IQ_DEF_AMORT_BNK">"c277"</definedName>
    <definedName name="IQ_DEF_AMORT_BR">"c278"</definedName>
    <definedName name="IQ_DEF_AMORT_FIN">"c279"</definedName>
    <definedName name="IQ_DEF_AMORT_INS">"c280"</definedName>
    <definedName name="IQ_DEF_AMORT_REIT">"c281"</definedName>
    <definedName name="IQ_DEF_AMORT_UTI">"c282"</definedName>
    <definedName name="IQ_DEF_BENEFIT_INTEREST_COST">"c283"</definedName>
    <definedName name="IQ_DEF_BENEFIT_INTEREST_COST_DOMESTIC">"c2652"</definedName>
    <definedName name="IQ_DEF_BENEFIT_INTEREST_COST_FOREIGN">"c2660"</definedName>
    <definedName name="IQ_DEF_BENEFIT_OTHER_COST">"c284"</definedName>
    <definedName name="IQ_DEF_BENEFIT_OTHER_COST_DOMESTIC">"c2654"</definedName>
    <definedName name="IQ_DEF_BENEFIT_OTHER_COST_FOREIGN">"c2662"</definedName>
    <definedName name="IQ_DEF_BENEFIT_ROA">"c285"</definedName>
    <definedName name="IQ_DEF_BENEFIT_ROA_DOMESTIC">"c2653"</definedName>
    <definedName name="IQ_DEF_BENEFIT_ROA_FOREIGN">"c2661"</definedName>
    <definedName name="IQ_DEF_BENEFIT_SERVICE_COST">"c286"</definedName>
    <definedName name="IQ_DEF_BENEFIT_SERVICE_COST_DOMESTIC">"c2651"</definedName>
    <definedName name="IQ_DEF_BENEFIT_SERVICE_COST_FOREIGN">"c2659"</definedName>
    <definedName name="IQ_DEF_BENEFIT_TOTAL_COST">"c287"</definedName>
    <definedName name="IQ_DEF_BENEFIT_TOTAL_COST_DOMESTIC">"c2655"</definedName>
    <definedName name="IQ_DEF_BENEFIT_TOTAL_COST_FOREIGN">"c2663"</definedName>
    <definedName name="IQ_DEF_CHARGES_BR">"c288"</definedName>
    <definedName name="IQ_DEF_CHARGES_CF">"c289"</definedName>
    <definedName name="IQ_DEF_CHARGES_FIN">"c290"</definedName>
    <definedName name="IQ_DEF_CHARGES_INS">"c291"</definedName>
    <definedName name="IQ_DEF_CHARGES_LT">"c292"</definedName>
    <definedName name="IQ_DEF_CHARGES_LT_BNK">"c293"</definedName>
    <definedName name="IQ_DEF_CHARGES_LT_BR">"c294"</definedName>
    <definedName name="IQ_DEF_CHARGES_LT_FIN">"c295"</definedName>
    <definedName name="IQ_DEF_CHARGES_LT_INS">"c296"</definedName>
    <definedName name="IQ_DEF_CHARGES_LT_RE">"c6210"</definedName>
    <definedName name="IQ_DEF_CHARGES_LT_REIT">"c297"</definedName>
    <definedName name="IQ_DEF_CHARGES_LT_UTI">"c298"</definedName>
    <definedName name="IQ_DEF_CHARGES_RE">"c6211"</definedName>
    <definedName name="IQ_DEF_CHARGES_REIT">"c299"</definedName>
    <definedName name="IQ_DEF_CONTRIBUTION_TOTAL_COST">"c300"</definedName>
    <definedName name="IQ_DEF_INC_TAX">"c1365"</definedName>
    <definedName name="IQ_DEF_POLICY_ACQ_COSTS">"c301"</definedName>
    <definedName name="IQ_DEF_POLICY_ACQ_COSTS_CF">"c302"</definedName>
    <definedName name="IQ_DEF_POLICY_AMORT">"c303"</definedName>
    <definedName name="IQ_DEF_TAX_ASSET_LT_BR">"c304"</definedName>
    <definedName name="IQ_DEF_TAX_ASSET_LT_FIN">"c305"</definedName>
    <definedName name="IQ_DEF_TAX_ASSET_LT_INS">"c306"</definedName>
    <definedName name="IQ_DEF_TAX_ASSET_LT_RE">"c6212"</definedName>
    <definedName name="IQ_DEF_TAX_ASSET_LT_REIT">"c307"</definedName>
    <definedName name="IQ_DEF_TAX_ASSET_LT_UTI">"c308"</definedName>
    <definedName name="IQ_DEF_TAX_ASSETS_CURRENT">"c309"</definedName>
    <definedName name="IQ_DEF_TAX_ASSETS_LT">"c310"</definedName>
    <definedName name="IQ_DEF_TAX_ASSETS_LT_BNK">"c311"</definedName>
    <definedName name="IQ_DEF_TAX_LIAB_CURRENT">"c312"</definedName>
    <definedName name="IQ_DEF_TAX_LIAB_LT">"c313"</definedName>
    <definedName name="IQ_DEF_TAX_LIAB_LT_BNK">"c314"</definedName>
    <definedName name="IQ_DEF_TAX_LIAB_LT_BR">"c315"</definedName>
    <definedName name="IQ_DEF_TAX_LIAB_LT_FIN">"c316"</definedName>
    <definedName name="IQ_DEF_TAX_LIAB_LT_INS">"c317"</definedName>
    <definedName name="IQ_DEF_TAX_LIAB_LT_RE">"c6213"</definedName>
    <definedName name="IQ_DEF_TAX_LIAB_LT_REIT">"c318"</definedName>
    <definedName name="IQ_DEF_TAX_LIAB_LT_UTI">"c319"</definedName>
    <definedName name="IQ_DEFERRED_DOMESTIC_TAXES">"c2077"</definedName>
    <definedName name="IQ_DEFERRED_FOREIGN_TAXES">"c2078"</definedName>
    <definedName name="IQ_DEFERRED_INC_TAX">"c1447"</definedName>
    <definedName name="IQ_DEFERRED_TAXES">"c1356"</definedName>
    <definedName name="IQ_DEMAND_DEP">"c320"</definedName>
    <definedName name="IQ_DEMAND_DEPOSITS_FDIC">"c6489"</definedName>
    <definedName name="IQ_DEPOSIT_ACCOUNTS_LESS_THAN_100K_FDIC">"c6494"</definedName>
    <definedName name="IQ_DEPOSIT_ACCOUNTS_MORE_THAN_100K_FDIC">"c6492"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FIN">"c321"</definedName>
    <definedName name="IQ_DEPOSITS_HELD_DOMESTIC_FDIC">"c6340"</definedName>
    <definedName name="IQ_DEPOSITS_HELD_FOREIGN_FDIC">"c6341"</definedName>
    <definedName name="IQ_DEPOSITS_INTEREST_SECURITIES">"c5509"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PRE_AMORT">"c1360"</definedName>
    <definedName name="IQ_DEPRE_AMORT_SUPPL">"c1593"</definedName>
    <definedName name="IQ_DEPRE_DEPLE">"c1361"</definedName>
    <definedName name="IQ_DEPRE_SUPP">"c1443"</definedName>
    <definedName name="IQ_DERIVATIVES_FDIC">"c6523"</definedName>
    <definedName name="IQ_DESCRIPTION_LONG">"c1520"</definedName>
    <definedName name="IQ_DEVELOP_LAND">"c323"</definedName>
    <definedName name="IQ_DIFF_LASTCLOSE_TARGET_PRICE">"c1854"</definedName>
    <definedName name="IQ_DILUT_ADJUST">"c1621"</definedName>
    <definedName name="IQ_DILUT_EPS_EXCL">"c324"</definedName>
    <definedName name="IQ_DILUT_EPS_INCL">"c325"</definedName>
    <definedName name="IQ_DILUT_EPS_NORM">"c1903"</definedName>
    <definedName name="IQ_DILUT_NI">"c2079"</definedName>
    <definedName name="IQ_DILUT_NORMAL_EPS">"c1594"</definedName>
    <definedName name="IQ_DILUT_WEIGHT">"c326"</definedName>
    <definedName name="IQ_DIRECT_AH_EARNED">"c2740"</definedName>
    <definedName name="IQ_DIRECT_EARNED">"c2730"</definedName>
    <definedName name="IQ_DIRECT_LIFE_EARNED">"c2735"</definedName>
    <definedName name="IQ_DIRECT_LIFE_IN_FORCE">"c2765"</definedName>
    <definedName name="IQ_DIRECT_PC_EARNED">"c2745"</definedName>
    <definedName name="IQ_DIRECT_WRITTEN">"c2724"</definedName>
    <definedName name="IQ_DISCONT_OPER">"c1367"</definedName>
    <definedName name="IQ_DISCOUNT_RATE_PENSION_DOMESTIC">"c327"</definedName>
    <definedName name="IQ_DISCOUNT_RATE_PENSION_FOREIGN">"c328"</definedName>
    <definedName name="IQ_DISTR_EXCESS_EARN">"c329"</definedName>
    <definedName name="IQ_DISTRIBUTABLE_CASH">"c3002"</definedName>
    <definedName name="IQ_DISTRIBUTABLE_CASH_ACT_OR_EST">"c4278"</definedName>
    <definedName name="IQ_DISTRIBUTABLE_CASH_PAYOUT">"c3005"</definedName>
    <definedName name="IQ_DISTRIBUTABLE_CASH_SHARE">"c3003"</definedName>
    <definedName name="IQ_DISTRIBUTABLE_CASH_SHARE_ACT_OR_EST">"c4286"</definedName>
    <definedName name="IQ_DIV_AMOUNT">"c3041"</definedName>
    <definedName name="IQ_DIV_PAYMENT_DATE">"c2205"</definedName>
    <definedName name="IQ_DIV_RECORD_DATE">"c2204"</definedName>
    <definedName name="IQ_DIV_SHARE">"c330"</definedName>
    <definedName name="IQ_DIVEST_CF">"c331"</definedName>
    <definedName name="IQ_DIVID_SHARE">"c1366"</definedName>
    <definedName name="IQ_DIVIDEND_YIELD">"c332"</definedName>
    <definedName name="IQ_DIVIDENDS_DECLARED_COMMON_FDIC">"c6659"</definedName>
    <definedName name="IQ_DIVIDENDS_DECLARED_PREFERRED_FDIC">"c6658"</definedName>
    <definedName name="IQ_DIVIDENDS_FDIC">"c6660"</definedName>
    <definedName name="IQ_DNB_OTHER_EXP_INC_TAX_US">"c6787"</definedName>
    <definedName name="IQ_DO">"c333"</definedName>
    <definedName name="IQ_DO_ASSETS_CURRENT">"c334"</definedName>
    <definedName name="IQ_DO_ASSETS_LT">"c335"</definedName>
    <definedName name="IQ_DO_CF">"c336"</definedName>
    <definedName name="IQ_DPAC_ACC">"c2799"</definedName>
    <definedName name="IQ_DPAC_AMORT">"c2795"</definedName>
    <definedName name="IQ_DPAC_BEG">"c2791"</definedName>
    <definedName name="IQ_DPAC_COMMISSIONS">"c2792"</definedName>
    <definedName name="IQ_DPAC_END">"c2801"</definedName>
    <definedName name="IQ_DPAC_FX">"c2798"</definedName>
    <definedName name="IQ_DPAC_OTHER_ADJ">"c2800"</definedName>
    <definedName name="IQ_DPAC_OTHERS">"c2793"</definedName>
    <definedName name="IQ_DPAC_PERIOD">"c2794"</definedName>
    <definedName name="IQ_DPAC_REAL_GAIN">"c2797"</definedName>
    <definedName name="IQ_DPAC_UNREAL_GAIN">"c2796"</definedName>
    <definedName name="IQ_DPS_10YR_ANN_CAGR">"c6065"</definedName>
    <definedName name="IQ_DPS_10YR_ANN_GROWTH">"c337"</definedName>
    <definedName name="IQ_DPS_1YR_ANN_GROWTH">"c338"</definedName>
    <definedName name="IQ_DPS_2YR_ANN_CAGR">"c6066"</definedName>
    <definedName name="IQ_DPS_2YR_ANN_GROWTH">"c339"</definedName>
    <definedName name="IQ_DPS_3YR_ANN_CAGR">"c6067"</definedName>
    <definedName name="IQ_DPS_3YR_ANN_GROWTH">"c340"</definedName>
    <definedName name="IQ_DPS_5YR_ANN_CAGR">"c6068"</definedName>
    <definedName name="IQ_DPS_5YR_ANN_GROWTH">"c341"</definedName>
    <definedName name="IQ_DPS_7YR_ANN_CAGR">"c6069"</definedName>
    <definedName name="IQ_DPS_7YR_ANN_GROWTH">"c342"</definedName>
    <definedName name="IQ_DURATION">"c2181"</definedName>
    <definedName name="IQ_EARNING_ASSET_YIELD">"c343"</definedName>
    <definedName name="IQ_EARNING_ASSETS_FDIC">"c6360"</definedName>
    <definedName name="IQ_EARNING_ASSETS_YIELD_FDIC">"c6724"</definedName>
    <definedName name="IQ_EARNING_CO">"c344"</definedName>
    <definedName name="IQ_EARNING_CO_10YR_ANN_CAGR">"c6070"</definedName>
    <definedName name="IQ_EARNING_CO_10YR_ANN_GROWTH">"c345"</definedName>
    <definedName name="IQ_EARNING_CO_1YR_ANN_GROWTH">"c346"</definedName>
    <definedName name="IQ_EARNING_CO_2YR_ANN_CAGR">"c6071"</definedName>
    <definedName name="IQ_EARNING_CO_2YR_ANN_GROWTH">"c347"</definedName>
    <definedName name="IQ_EARNING_CO_3YR_ANN_CAGR">"c6072"</definedName>
    <definedName name="IQ_EARNING_CO_3YR_ANN_GROWTH">"c348"</definedName>
    <definedName name="IQ_EARNING_CO_5YR_ANN_CAGR">"c6073"</definedName>
    <definedName name="IQ_EARNING_CO_5YR_ANN_GROWTH">"c349"</definedName>
    <definedName name="IQ_EARNING_CO_7YR_ANN_CAGR">"c6074"</definedName>
    <definedName name="IQ_EARNING_CO_7YR_ANN_GROWTH">"c350"</definedName>
    <definedName name="IQ_EARNING_CO_MARGIN">"c351"</definedName>
    <definedName name="IQ_EARNINGS_ANNOUNCE_DATE">"c1649"</definedName>
    <definedName name="IQ_EARNINGS_ANNOUNCE_DATE_REUT">"c5314"</definedName>
    <definedName name="IQ_EARNINGS_COVERAGE_NET_CHARGE_OFFS_FDIC">"c6735"</definedName>
    <definedName name="IQ_EBIT">"c352"</definedName>
    <definedName name="IQ_EBIT_10YR_ANN_CAGR">"c6075"</definedName>
    <definedName name="IQ_EBIT_10YR_ANN_GROWTH">"c353"</definedName>
    <definedName name="IQ_EBIT_1YR_ANN_GROWTH">"c354"</definedName>
    <definedName name="IQ_EBIT_2YR_ANN_CAGR">"c6076"</definedName>
    <definedName name="IQ_EBIT_2YR_ANN_GROWTH">"c355"</definedName>
    <definedName name="IQ_EBIT_3YR_ANN_CAGR">"c6077"</definedName>
    <definedName name="IQ_EBIT_3YR_ANN_GROWTH">"c356"</definedName>
    <definedName name="IQ_EBIT_5YR_ANN_CAGR">"c6078"</definedName>
    <definedName name="IQ_EBIT_5YR_ANN_GROWTH">"c357"</definedName>
    <definedName name="IQ_EBIT_7YR_ANN_CAGR">"c6079"</definedName>
    <definedName name="IQ_EBIT_7YR_ANN_GROWTH">"c358"</definedName>
    <definedName name="IQ_EBIT_EQ_INC">"c3498"</definedName>
    <definedName name="IQ_EBIT_EQ_INC_EXCL_SBC">"c3502"</definedName>
    <definedName name="IQ_EBIT_EXCL_SBC">"c3082"</definedName>
    <definedName name="IQ_EBIT_GW_ACT_OR_EST">"c4306"</definedName>
    <definedName name="IQ_EBIT_INT">"c360"</definedName>
    <definedName name="IQ_EBIT_MARGIN">"c359"</definedName>
    <definedName name="IQ_EBIT_OVER_IE">"c1369"</definedName>
    <definedName name="IQ_EBIT_SBC_ACT_OR_EST">"c4316"</definedName>
    <definedName name="IQ_EBIT_SBC_GW_ACT_OR_EST">"c4320"</definedName>
    <definedName name="IQ_EBITA">"c1910"</definedName>
    <definedName name="IQ_EBITA_10YR_ANN_CAGR">"c6184"</definedName>
    <definedName name="IQ_EBITA_10YR_ANN_GROWTH">"c1954"</definedName>
    <definedName name="IQ_EBITA_1YR_ANN_GROWTH">"c1949"</definedName>
    <definedName name="IQ_EBITA_2YR_ANN_CAGR">"c6180"</definedName>
    <definedName name="IQ_EBITA_2YR_ANN_GROWTH">"c1950"</definedName>
    <definedName name="IQ_EBITA_3YR_ANN_CAGR">"c6181"</definedName>
    <definedName name="IQ_EBITA_3YR_ANN_GROWTH">"c1951"</definedName>
    <definedName name="IQ_EBITA_5YR_ANN_CAGR">"c6182"</definedName>
    <definedName name="IQ_EBITA_5YR_ANN_GROWTH">"c1952"</definedName>
    <definedName name="IQ_EBITA_7YR_ANN_CAGR">"c6183"</definedName>
    <definedName name="IQ_EBITA_7YR_ANN_GROWTH">"c1953"</definedName>
    <definedName name="IQ_EBITA_EQ_INC">"c3497"</definedName>
    <definedName name="IQ_EBITA_EQ_INC_EXCL_SBC">"c3501"</definedName>
    <definedName name="IQ_EBITA_EXCL_SBC">"c3080"</definedName>
    <definedName name="IQ_EBITA_MARGIN">"c1963"</definedName>
    <definedName name="IQ_EBITDA">"c361"</definedName>
    <definedName name="IQ_EBITDA_10YR_ANN_CAGR">"c6080"</definedName>
    <definedName name="IQ_EBITDA_10YR_ANN_GROWTH">"c362"</definedName>
    <definedName name="IQ_EBITDA_1YR_ANN_GROWTH">"c363"</definedName>
    <definedName name="IQ_EBITDA_2YR_ANN_CAGR">"c6081"</definedName>
    <definedName name="IQ_EBITDA_2YR_ANN_GROWTH">"c364"</definedName>
    <definedName name="IQ_EBITDA_3YR_ANN_CAGR">"c6082"</definedName>
    <definedName name="IQ_EBITDA_3YR_ANN_GROWTH">"c365"</definedName>
    <definedName name="IQ_EBITDA_5YR_ANN_CAGR">"c6083"</definedName>
    <definedName name="IQ_EBITDA_5YR_ANN_GROWTH">"c366"</definedName>
    <definedName name="IQ_EBITDA_7YR_ANN_CAGR">"c6084"</definedName>
    <definedName name="IQ_EBITDA_7YR_ANN_GROWTH">"c367"</definedName>
    <definedName name="IQ_EBITDA_ACT_OR_EST">"c2215"</definedName>
    <definedName name="IQ_EBITDA_CAPEX_INT">"c368"</definedName>
    <definedName name="IQ_EBITDA_CAPEX_OVER_TOTAL_IE">"c1370"</definedName>
    <definedName name="IQ_EBITDA_EQ_INC">"c3496"</definedName>
    <definedName name="IQ_EBITDA_EQ_INC_EXCL_SBC">"c3500"</definedName>
    <definedName name="IQ_EBITDA_EST">"c369"</definedName>
    <definedName name="IQ_EBITDA_EST_REUT">"c3640"</definedName>
    <definedName name="IQ_EBITDA_EXCL_SBC">"c3081"</definedName>
    <definedName name="IQ_EBITDA_HIGH_EST">"c370"</definedName>
    <definedName name="IQ_EBITDA_HIGH_EST_REUT">"c3642"</definedName>
    <definedName name="IQ_EBITDA_INT">"c373"</definedName>
    <definedName name="IQ_EBITDA_LOW_EST">"c371"</definedName>
    <definedName name="IQ_EBITDA_LOW_EST_REUT">"c3643"</definedName>
    <definedName name="IQ_EBITDA_MARGIN">"c372"</definedName>
    <definedName name="IQ_EBITDA_MEDIAN_EST">"c1663"</definedName>
    <definedName name="IQ_EBITDA_MEDIAN_EST_REUT">"c3641"</definedName>
    <definedName name="IQ_EBITDA_NUM_EST">"c374"</definedName>
    <definedName name="IQ_EBITDA_NUM_EST_REUT">"c3644"</definedName>
    <definedName name="IQ_EBITDA_OVER_TOTAL_IE">"c1371"</definedName>
    <definedName name="IQ_EBITDA_SBC_ACT_OR_EST">"c4337"</definedName>
    <definedName name="IQ_EBITDA_STDDEV_EST">"c375"</definedName>
    <definedName name="IQ_EBITDA_STDDEV_EST_REUT">"c3645"</definedName>
    <definedName name="IQ_EBITDAR">"c2989"</definedName>
    <definedName name="IQ_EBITDAR_EQ_INC">"c3499"</definedName>
    <definedName name="IQ_EBITDAR_EQ_INC_EXCL_SBC">"c3503"</definedName>
    <definedName name="IQ_EBITDAR_EXCL_SBC">"c3083"</definedName>
    <definedName name="IQ_EBT">"c376"</definedName>
    <definedName name="IQ_EBT_BNK">"c377"</definedName>
    <definedName name="IQ_EBT_BR">"c378"</definedName>
    <definedName name="IQ_EBT_EXCL">"c379"</definedName>
    <definedName name="IQ_EBT_EXCL_BNK">"c380"</definedName>
    <definedName name="IQ_EBT_EXCL_BR">"c381"</definedName>
    <definedName name="IQ_EBT_EXCL_FIN">"c382"</definedName>
    <definedName name="IQ_EBT_EXCL_INS">"c383"</definedName>
    <definedName name="IQ_EBT_EXCL_MARGIN">"c1462"</definedName>
    <definedName name="IQ_EBT_EXCL_RE">"c6214"</definedName>
    <definedName name="IQ_EBT_EXCL_REIT">"c384"</definedName>
    <definedName name="IQ_EBT_EXCL_UTI">"c385"</definedName>
    <definedName name="IQ_EBT_FIN">"c386"</definedName>
    <definedName name="IQ_EBT_INCL_MARGIN">"c387"</definedName>
    <definedName name="IQ_EBT_INS">"c388"</definedName>
    <definedName name="IQ_EBT_RE">"c6215"</definedName>
    <definedName name="IQ_EBT_REIT">"c389"</definedName>
    <definedName name="IQ_EBT_SBC_ACT_OR_EST">"c4350"</definedName>
    <definedName name="IQ_EBT_SBC_GW_ACT_OR_EST">"c4354"</definedName>
    <definedName name="IQ_EBT_UTI">"c390"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ABS">"c5598"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>"c1595"</definedName>
    <definedName name="IQ_EFFECT_TAX_RATE">"c1899"</definedName>
    <definedName name="IQ_EFFICIENCY_RATIO">"c391"</definedName>
    <definedName name="IQ_EFFICIENCY_RATIO_FDIC">"c6736"</definedName>
    <definedName name="IQ_EMPLOYEES">"c392"</definedName>
    <definedName name="IQ_ENTERPRISE_VALUE">"c1348"</definedName>
    <definedName name="IQ_EPS_10YR_ANN_CAGR">"c6085"</definedName>
    <definedName name="IQ_EPS_10YR_ANN_GROWTH">"c393"</definedName>
    <definedName name="IQ_EPS_1YR_ANN_GROWTH">"c394"</definedName>
    <definedName name="IQ_EPS_2YR_ANN_CAGR">"c6086"</definedName>
    <definedName name="IQ_EPS_2YR_ANN_GROWTH">"c395"</definedName>
    <definedName name="IQ_EPS_3YR_ANN_CAGR">"c6087"</definedName>
    <definedName name="IQ_EPS_3YR_ANN_GROWTH">"c396"</definedName>
    <definedName name="IQ_EPS_5YR_ANN_CAGR">"c6088"</definedName>
    <definedName name="IQ_EPS_5YR_ANN_GROWTH">"c397"</definedName>
    <definedName name="IQ_EPS_7YR_ANN_CAGR">"c6089"</definedName>
    <definedName name="IQ_EPS_7YR_ANN_GROWTH">"c398"</definedName>
    <definedName name="IQ_EPS_ACT_OR_EST">"c2213"</definedName>
    <definedName name="IQ_EPS_EST">"c399"</definedName>
    <definedName name="IQ_EPS_EST_REUT">"c5453"</definedName>
    <definedName name="IQ_EPS_GW_EST">"c1737"</definedName>
    <definedName name="IQ_EPS_GW_EST_REUT">"c5389"</definedName>
    <definedName name="IQ_EPS_GW_HIGH_EST">"c1739"</definedName>
    <definedName name="IQ_EPS_GW_HIGH_EST_REUT">"c5391"</definedName>
    <definedName name="IQ_EPS_GW_LOW_EST">"c1740"</definedName>
    <definedName name="IQ_EPS_GW_LOW_EST_REUT">"c5392"</definedName>
    <definedName name="IQ_EPS_GW_MEDIAN_EST">"c1738"</definedName>
    <definedName name="IQ_EPS_GW_MEDIAN_EST_REUT">"c5390"</definedName>
    <definedName name="IQ_EPS_GW_NUM_EST">"c1741"</definedName>
    <definedName name="IQ_EPS_GW_NUM_EST_REUT">"c5393"</definedName>
    <definedName name="IQ_EPS_GW_STDDEV_EST">"c1742"</definedName>
    <definedName name="IQ_EPS_GW_STDDEV_EST_REUT">"c5394"</definedName>
    <definedName name="IQ_EPS_HIGH_EST">"c400"</definedName>
    <definedName name="IQ_EPS_HIGH_EST_REUT">"c5454"</definedName>
    <definedName name="IQ_EPS_LOW_EST">"c401"</definedName>
    <definedName name="IQ_EPS_LOW_EST_REUT">"c5455"</definedName>
    <definedName name="IQ_EPS_MEDIAN_EST">"c1661"</definedName>
    <definedName name="IQ_EPS_MEDIAN_EST_REUT">"c5456"</definedName>
    <definedName name="IQ_EPS_NORM">"c1902"</definedName>
    <definedName name="IQ_EPS_NORM_EST">"c2226"</definedName>
    <definedName name="IQ_EPS_NORM_EST_REUT">"c5326"</definedName>
    <definedName name="IQ_EPS_NORM_HIGH_EST">"c2228"</definedName>
    <definedName name="IQ_EPS_NORM_HIGH_EST_REUT">"c5328"</definedName>
    <definedName name="IQ_EPS_NORM_LOW_EST">"c2229"</definedName>
    <definedName name="IQ_EPS_NORM_LOW_EST_REUT">"c5329"</definedName>
    <definedName name="IQ_EPS_NORM_MEDIAN_EST">"c2227"</definedName>
    <definedName name="IQ_EPS_NORM_MEDIAN_EST_REUT">"c5327"</definedName>
    <definedName name="IQ_EPS_NORM_NUM_EST">"c2230"</definedName>
    <definedName name="IQ_EPS_NORM_NUM_EST_REUT">"c5330"</definedName>
    <definedName name="IQ_EPS_NORM_STDDEV_EST">"c2231"</definedName>
    <definedName name="IQ_EPS_NORM_STDDEV_EST_REUT">"c5331"</definedName>
    <definedName name="IQ_EPS_NUM_EST">"c402"</definedName>
    <definedName name="IQ_EPS_NUM_EST_REUT">"c5451"</definedName>
    <definedName name="IQ_EPS_REPORTED_EST">"c1744"</definedName>
    <definedName name="IQ_EPS_REPORTED_EST_REUT">"c5396"</definedName>
    <definedName name="IQ_EPS_REPORTED_HIGH_EST">"c1746"</definedName>
    <definedName name="IQ_EPS_REPORTED_HIGH_EST_REUT">"c5398"</definedName>
    <definedName name="IQ_EPS_REPORTED_LOW_EST">"c1747"</definedName>
    <definedName name="IQ_EPS_REPORTED_LOW_EST_REUT">"c5399"</definedName>
    <definedName name="IQ_EPS_REPORTED_MEDIAN_EST">"c1745"</definedName>
    <definedName name="IQ_EPS_REPORTED_MEDIAN_EST_REUT">"c5397"</definedName>
    <definedName name="IQ_EPS_REPORTED_NUM_EST">"c1748"</definedName>
    <definedName name="IQ_EPS_REPORTED_NUM_EST_REUT">"c5400"</definedName>
    <definedName name="IQ_EPS_REPORTED_STDDEV_EST">"c1749"</definedName>
    <definedName name="IQ_EPS_REPORTED_STDDEV_EST_REUT">"c5401"</definedName>
    <definedName name="IQ_EPS_SBC_ACT_OR_EST">"c4376"</definedName>
    <definedName name="IQ_EPS_SBC_GW_ACT_OR_EST">"c4380"</definedName>
    <definedName name="IQ_EPS_STDDEV_EST">"c403"</definedName>
    <definedName name="IQ_EPS_STDDEV_EST_REUT">"c5452"</definedName>
    <definedName name="IQ_EQUITY_AFFIL">"c1451"</definedName>
    <definedName name="IQ_EQUITY_CAPITAL_ASSETS_FDIC">"c6744"</definedName>
    <definedName name="IQ_EQUITY_FDIC">"c6353"</definedName>
    <definedName name="IQ_EQUITY_METHOD">"c404"</definedName>
    <definedName name="IQ_EQUITY_SECURITIES_FDIC">"c6304"</definedName>
    <definedName name="IQ_EQUITY_SECURITY_EXPOSURES_FDIC">"c6664"</definedName>
    <definedName name="IQ_EQV_OVER_BV">"c1596"</definedName>
    <definedName name="IQ_EQV_OVER_LTM_PRETAX_INC">"c1390"</definedName>
    <definedName name="IQ_ESOP_DEBT">"c1597"</definedName>
    <definedName name="IQ_EST_ACT_EPS">"c1648"</definedName>
    <definedName name="IQ_EST_ACT_EPS_GW">"c1743"</definedName>
    <definedName name="IQ_EST_ACT_EPS_GW_REUT">"c5395"</definedName>
    <definedName name="IQ_EST_ACT_EPS_NORM">"c2232"</definedName>
    <definedName name="IQ_EST_ACT_EPS_NORM_REUT">"c5332"</definedName>
    <definedName name="IQ_EST_ACT_EPS_REPORTED">"c1750"</definedName>
    <definedName name="IQ_EST_ACT_EPS_REPORTED_REUT">"c5402"</definedName>
    <definedName name="IQ_EST_CURRENCY">"c2140"</definedName>
    <definedName name="IQ_EST_CURRENCY_REUT">"c5437"</definedName>
    <definedName name="IQ_EST_DATE">"c1634"</definedName>
    <definedName name="IQ_EST_DATE_REUT">"c5438"</definedName>
    <definedName name="IQ_EST_EPS_DIFF">"c1864"</definedName>
    <definedName name="IQ_EST_EPS_GROWTH_1YR">"c1636"</definedName>
    <definedName name="IQ_EST_EPS_GROWTH_1YR_REUT">"c3646"</definedName>
    <definedName name="IQ_EST_EPS_GROWTH_5YR">"c1655"</definedName>
    <definedName name="IQ_EST_EPS_GROWTH_5YR_REUT">"c3633"</definedName>
    <definedName name="IQ_EST_EPS_GROWTH_Q_1YR">"c1641"</definedName>
    <definedName name="IQ_EST_EPS_GROWTH_Q_1YR_REUT">"c5410"</definedName>
    <definedName name="IQ_EST_EPS_GW_DIFF">"c1891"</definedName>
    <definedName name="IQ_EST_EPS_GW_DIFF_REUT">"c5429"</definedName>
    <definedName name="IQ_EST_EPS_GW_SURPRISE_PERCENT">"c1892"</definedName>
    <definedName name="IQ_EST_EPS_GW_SURPRISE_PERCENT_REUT">"c5430"</definedName>
    <definedName name="IQ_EST_EPS_NORM_DIFF">"c2247"</definedName>
    <definedName name="IQ_EST_EPS_NORM_DIFF_REUT">"c5411"</definedName>
    <definedName name="IQ_EST_EPS_NORM_SURPRISE_PERCENT">"c2248"</definedName>
    <definedName name="IQ_EST_EPS_NORM_SURPRISE_PERCENT_REUT">"c5412"</definedName>
    <definedName name="IQ_EST_EPS_REPORT_DIFF">"c1893"</definedName>
    <definedName name="IQ_EST_EPS_REPORT_DIFF_REUT">"c5431"</definedName>
    <definedName name="IQ_EST_EPS_REPORT_SURPRISE_PERCENT">"c1894"</definedName>
    <definedName name="IQ_EST_EPS_REPORT_SURPRISE_PERCENT_REUT">"c5432"</definedName>
    <definedName name="IQ_EST_VENDOR">"c5564"</definedName>
    <definedName name="IQ_ESTIMATED_ASSESSABLE_DEPOSITS_FDIC">"c6490"</definedName>
    <definedName name="IQ_ESTIMATED_INSURED_DEPOSITS_FDIC">"c6491"</definedName>
    <definedName name="IQ_EV_OVER_EMPLOYEE">"c1428"</definedName>
    <definedName name="IQ_EV_OVER_LTM_EBIT">"c1426"</definedName>
    <definedName name="IQ_EV_OVER_LTM_EBITDA">"c1427"</definedName>
    <definedName name="IQ_EV_OVER_LTM_REVENUE">"c1429"</definedName>
    <definedName name="IQ_EVAL_DATE">"c2180"</definedName>
    <definedName name="IQ_EXCHANGE">"c405"</definedName>
    <definedName name="IQ_EXCISE_TAXES_EXCL_SALES">"c5515"</definedName>
    <definedName name="IQ_EXCISE_TAXES_INCL_SALES">"c5514"</definedName>
    <definedName name="IQ_EXERCISE_PRICE">"c1897"</definedName>
    <definedName name="IQ_EXERCISED">"c406"</definedName>
    <definedName name="IQ_EXP_RETURN_PENSION_DOMESTIC">"c407"</definedName>
    <definedName name="IQ_EXP_RETURN_PENSION_FOREIGN">"c408"</definedName>
    <definedName name="IQ_EXPLORE_DRILL">"c409"</definedName>
    <definedName name="IQ_EXTRA_ACC_ITEMS">"c410"</definedName>
    <definedName name="IQ_EXTRA_ACC_ITEMS_BNK">"c411"</definedName>
    <definedName name="IQ_EXTRA_ACC_ITEMS_BR">"c412"</definedName>
    <definedName name="IQ_EXTRA_ACC_ITEMS_FIN">"c413"</definedName>
    <definedName name="IQ_EXTRA_ACC_ITEMS_INS">"c414"</definedName>
    <definedName name="IQ_EXTRA_ACC_ITEMS_RE">"c6216"</definedName>
    <definedName name="IQ_EXTRA_ACC_ITEMS_REIT">"c415"</definedName>
    <definedName name="IQ_EXTRA_ACC_ITEMS_UTI">"c416"</definedName>
    <definedName name="IQ_EXTRA_ITEMS">"c1459"</definedName>
    <definedName name="IQ_EXTRAORDINARY_GAINS_FDIC">"c6586"</definedName>
    <definedName name="IQ_FAIR_VALUE_FDIC">"c6427"</definedName>
    <definedName name="IQ_FARM_LOANS_NET_FDIC">"c6316"</definedName>
    <definedName name="IQ_FARM_LOANS_TOTAL_LOANS_FOREIGN_FDIC">"c6450"</definedName>
    <definedName name="IQ_FARMLAND_LOANS_FDIC">"c6314"</definedName>
    <definedName name="IQ_FDIC">"c417"</definedName>
    <definedName name="IQ_FED_FUNDS_PURCHASED_FDIC">"c6343"</definedName>
    <definedName name="IQ_FED_FUNDS_SOLD_FDIC">"c6307"</definedName>
    <definedName name="IQ_FEDFUNDS_SOLD">"c2256"</definedName>
    <definedName name="IQ_FFO">"c1574"</definedName>
    <definedName name="IQ_FFO_ADJ_ACT_OR_EST">"c4435"</definedName>
    <definedName name="IQ_FFO_PAYOUT_RATIO">"c3492"</definedName>
    <definedName name="IQ_FFO_SHARE_ACT_OR_EST">"c4446"</definedName>
    <definedName name="IQ_FHLB_ADVANCES_FDIC">"c6366"</definedName>
    <definedName name="IQ_FHLB_DEBT">"c423"</definedName>
    <definedName name="IQ_FHLB_DUE_CY">"c2080"</definedName>
    <definedName name="IQ_FHLB_DUE_CY1">"c2081"</definedName>
    <definedName name="IQ_FHLB_DUE_CY2">"c2082"</definedName>
    <definedName name="IQ_FHLB_DUE_CY3">"c2083"</definedName>
    <definedName name="IQ_FHLB_DUE_CY4">"c2084"</definedName>
    <definedName name="IQ_FHLB_DUE_NEXT_FIVE">"c2085"</definedName>
    <definedName name="IQ_FIDUCIARY_ACTIVITIES_FDIC">"c6571"</definedName>
    <definedName name="IQ_FIFETEEN_YEAR_FIXED_AND_FLOATING_RATE_FDIC">"c6423"</definedName>
    <definedName name="IQ_FIFETEEN_YEAR_MORTGAGE_PASS_THROUGHS_FDIC">"c6415"</definedName>
    <definedName name="IQ_FILING_CURRENCY">"c2129"</definedName>
    <definedName name="IQ_FILINGDATE_BS">"c424"</definedName>
    <definedName name="IQ_FILINGDATE_CF">"c425"</definedName>
    <definedName name="IQ_FILINGDATE_IS">"c426"</definedName>
    <definedName name="IQ_FILM_RIGHTS">"c2254"</definedName>
    <definedName name="IQ_FIN_DATA_SOURCE">"c6788"</definedName>
    <definedName name="IQ_FIN_DIV_ASSETS_CURRENT">"c427"</definedName>
    <definedName name="IQ_FIN_DIV_ASSETS_LT">"c428"</definedName>
    <definedName name="IQ_FIN_DIV_CASH_EQUIV">"c6289"</definedName>
    <definedName name="IQ_FIN_DIV_CURRENT_PORT_DEBT_TOTAL">"c5524"</definedName>
    <definedName name="IQ_FIN_DIV_CURRENT_PORT_LEASES_TOTAL">"c5523"</definedName>
    <definedName name="IQ_FIN_DIV_DEBT_CURRENT">"c429"</definedName>
    <definedName name="IQ_FIN_DIV_DEBT_LT">"c430"</definedName>
    <definedName name="IQ_FIN_DIV_DEBT_LT_TOTAL">"c5526"</definedName>
    <definedName name="IQ_FIN_DIV_DEBT_TOTAL">"c5656"</definedName>
    <definedName name="IQ_FIN_DIV_EXP">"c431"</definedName>
    <definedName name="IQ_FIN_DIV_INT_EXP">"c432"</definedName>
    <definedName name="IQ_FIN_DIV_LEASES_LT_TOTAL">"c5525"</definedName>
    <definedName name="IQ_FIN_DIV_LIAB_CURRENT">"c433"</definedName>
    <definedName name="IQ_FIN_DIV_LIAB_LT">"c434"</definedName>
    <definedName name="IQ_FIN_DIV_LOANS_CURRENT">"c435"</definedName>
    <definedName name="IQ_FIN_DIV_LOANS_LT">"c436"</definedName>
    <definedName name="IQ_FIN_DIV_LT_DEBT_TOTAL">"c5655"</definedName>
    <definedName name="IQ_FIN_DIV_NOTES_PAY_TOTAL">"c5522"</definedName>
    <definedName name="IQ_FIN_DIV_REV">"c437"</definedName>
    <definedName name="IQ_FIN_DIV_ST_DEBT_TOTAL">"c5527"</definedName>
    <definedName name="IQ_FIN_DIV_ST_INVEST">"c6288"</definedName>
    <definedName name="IQ_FINANCING_CASH">"c1405"</definedName>
    <definedName name="IQ_FINANCING_CASH_SUPPL">"c1406"</definedName>
    <definedName name="IQ_FINANCING_OBLIG_CURRENT">"c6190"</definedName>
    <definedName name="IQ_FINANCING_OBLIG_NON_CURRENT">"c6191"</definedName>
    <definedName name="IQ_FINISHED_INV">"c438"</definedName>
    <definedName name="IQ_FIRST_INT_DATE">"c2186"</definedName>
    <definedName name="IQ_FIRST_YEAR_LIFE">"c439"</definedName>
    <definedName name="IQ_FIRST_YEAR_LIFE_PREM">"c2787"</definedName>
    <definedName name="IQ_FIRST_YEAR_PREM">"c2786"</definedName>
    <definedName name="IQ_FIRSTPRICINGDATE">"c3050"</definedName>
    <definedName name="IQ_FISCAL_Q">"c440"</definedName>
    <definedName name="IQ_FISCAL_Q_EST">"c6794"</definedName>
    <definedName name="IQ_FISCAL_Q_EST_REUT">"c6798"</definedName>
    <definedName name="IQ_FISCAL_Y">"c441"</definedName>
    <definedName name="IQ_FISCAL_Y_EST">"c6795"</definedName>
    <definedName name="IQ_FISCAL_Y_EST_REUT">"c6799"</definedName>
    <definedName name="IQ_FIVE_PERCENT_OWNER">"c442"</definedName>
    <definedName name="IQ_FIVE_YEAR_FIXED_AND_FLOATING_RATE_FDIC">"c6422"</definedName>
    <definedName name="IQ_FIVE_YEAR_MORTGAGE_PASS_THROUGHS_FDIC">"c6414"</definedName>
    <definedName name="IQ_FIVEPERCENT_PERCENT">"c443"</definedName>
    <definedName name="IQ_FIVEPERCENT_SHARES">"c444"</definedName>
    <definedName name="IQ_FIXED_ASSET_TURNS">"c445"</definedName>
    <definedName name="IQ_FLOAT_PERCENT">"c1575"</definedName>
    <definedName name="IQ_FNMA_FHLMC_FDIC">"c6397"</definedName>
    <definedName name="IQ_FNMA_FHLMC_GNMA_FDIC">"c6399"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LOAN_CHARG_OFFS_FDIC">"c6645"</definedName>
    <definedName name="IQ_FOREIGN_BANKS_NET_CHARGE_OFFS_FDIC">"c6647"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>"c6438"</definedName>
    <definedName name="IQ_FOREIGN_BRANCHES_US_BANKS_FDIC">"c6392"</definedName>
    <definedName name="IQ_FOREIGN_COUNTRIES_BANKS_TOTAL_LOANS_FOREIGN_FDIC">"c6445"</definedName>
    <definedName name="IQ_FOREIGN_DEBT_SECURITIES_FDIC">"c6303"</definedName>
    <definedName name="IQ_FOREIGN_DEP_IB">"c446"</definedName>
    <definedName name="IQ_FOREIGN_DEP_NON_IB">"c447"</definedName>
    <definedName name="IQ_FOREIGN_DEPOSITS_NONTRANSACTION_ACCOUNTS_FDIC">"c6549"</definedName>
    <definedName name="IQ_FOREIGN_DEPOSITS_TRANSACTION_ACCOUNTS_FDIC">"c6541"</definedName>
    <definedName name="IQ_FOREIGN_EXCHANGE">"c1376"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OREIGN_LOANS">"c448"</definedName>
    <definedName name="IQ_FQ">500</definedName>
    <definedName name="IQ_FUEL">"c449"</definedName>
    <definedName name="IQ_FULL_TIME">"c450"</definedName>
    <definedName name="IQ_FULLY_INSURED_DEPOSITS_FDIC">"c6487"</definedName>
    <definedName name="IQ_FUTURES_FORWARD_CONTRACTS_NOTIONAL_AMOUNT_FDIC">"c6518"</definedName>
    <definedName name="IQ_FUTURES_FORWARD_CONTRACTS_RATE_RISK_FDIC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>"c451"</definedName>
    <definedName name="IQ_FX_CONTRACTS_FDIC">"c6517"</definedName>
    <definedName name="IQ_FX_CONTRACTS_SPOT_FDIC">"c6356"</definedName>
    <definedName name="IQ_FY">1000</definedName>
    <definedName name="IQ_GA_EXP">"c2241"</definedName>
    <definedName name="IQ_GAAP_BS">"c6789"</definedName>
    <definedName name="IQ_GAAP_CF">"c6790"</definedName>
    <definedName name="IQ_GAAP_IS">"c6194"</definedName>
    <definedName name="IQ_GAIN_ASSETS">"c452"</definedName>
    <definedName name="IQ_GAIN_ASSETS_BNK">"c453"</definedName>
    <definedName name="IQ_GAIN_ASSETS_BR">"c454"</definedName>
    <definedName name="IQ_GAIN_ASSETS_CF">"c455"</definedName>
    <definedName name="IQ_GAIN_ASSETS_CF_BNK">"c456"</definedName>
    <definedName name="IQ_GAIN_ASSETS_CF_BR">"c457"</definedName>
    <definedName name="IQ_GAIN_ASSETS_CF_FIN">"c458"</definedName>
    <definedName name="IQ_GAIN_ASSETS_CF_INS">"c459"</definedName>
    <definedName name="IQ_GAIN_ASSETS_CF_RE">"c6217"</definedName>
    <definedName name="IQ_GAIN_ASSETS_CF_REIT">"c460"</definedName>
    <definedName name="IQ_GAIN_ASSETS_CF_UTI">"c461"</definedName>
    <definedName name="IQ_GAIN_ASSETS_FIN">"c462"</definedName>
    <definedName name="IQ_GAIN_ASSETS_INS">"c463"</definedName>
    <definedName name="IQ_GAIN_ASSETS_RE">"c6218"</definedName>
    <definedName name="IQ_GAIN_ASSETS_REIT">"c471"</definedName>
    <definedName name="IQ_GAIN_ASSETS_REV">"c472"</definedName>
    <definedName name="IQ_GAIN_ASSETS_REV_BNK">"c473"</definedName>
    <definedName name="IQ_GAIN_ASSETS_REV_BR">"c474"</definedName>
    <definedName name="IQ_GAIN_ASSETS_REV_FIN">"c475"</definedName>
    <definedName name="IQ_GAIN_ASSETS_REV_INS">"c476"</definedName>
    <definedName name="IQ_GAIN_ASSETS_REV_RE">"c6219"</definedName>
    <definedName name="IQ_GAIN_ASSETS_REV_REIT">"c477"</definedName>
    <definedName name="IQ_GAIN_ASSETS_REV_UTI">"c478"</definedName>
    <definedName name="IQ_GAIN_ASSETS_UTI">"c479"</definedName>
    <definedName name="IQ_GAIN_INVEST">"c1463"</definedName>
    <definedName name="IQ_GAIN_INVEST_BNK">"c1582"</definedName>
    <definedName name="IQ_GAIN_INVEST_BR">"c1464"</definedName>
    <definedName name="IQ_GAIN_INVEST_CF">"c480"</definedName>
    <definedName name="IQ_GAIN_INVEST_CF_BNK">"c481"</definedName>
    <definedName name="IQ_GAIN_INVEST_CF_BR">"c482"</definedName>
    <definedName name="IQ_GAIN_INVEST_CF_FIN">"c483"</definedName>
    <definedName name="IQ_GAIN_INVEST_CF_INS">"c484"</definedName>
    <definedName name="IQ_GAIN_INVEST_CF_RE">"c6220"</definedName>
    <definedName name="IQ_GAIN_INVEST_CF_REIT">"c485"</definedName>
    <definedName name="IQ_GAIN_INVEST_CF_UTI">"c486"</definedName>
    <definedName name="IQ_GAIN_INVEST_FIN">"c1465"</definedName>
    <definedName name="IQ_GAIN_INVEST_INS">"c1466"</definedName>
    <definedName name="IQ_GAIN_INVEST_RE">"c6278"</definedName>
    <definedName name="IQ_GAIN_INVEST_REIT">"c1467"</definedName>
    <definedName name="IQ_GAIN_INVEST_REV">"c494"</definedName>
    <definedName name="IQ_GAIN_INVEST_REV_BNK">"c495"</definedName>
    <definedName name="IQ_GAIN_INVEST_REV_BR">"c496"</definedName>
    <definedName name="IQ_GAIN_INVEST_REV_FIN">"c497"</definedName>
    <definedName name="IQ_GAIN_INVEST_REV_INS">"c498"</definedName>
    <definedName name="IQ_GAIN_INVEST_REV_RE">"c6221"</definedName>
    <definedName name="IQ_GAIN_INVEST_REV_REIT">"c499"</definedName>
    <definedName name="IQ_GAIN_INVEST_REV_UTI">"c500"</definedName>
    <definedName name="IQ_GAIN_INVEST_UTI">"c1468"</definedName>
    <definedName name="IQ_GAIN_LOANS_REC">"c501"</definedName>
    <definedName name="IQ_GAIN_LOANS_RECEIV">"c502"</definedName>
    <definedName name="IQ_GAIN_LOANS_RECEIV_REV_FIN">"c503"</definedName>
    <definedName name="IQ_GAIN_LOANS_REV">"c504"</definedName>
    <definedName name="IQ_GAIN_SALE_ASSETS">"c1377"</definedName>
    <definedName name="IQ_GAIN_SALE_LOANS_FDIC">"c6673"</definedName>
    <definedName name="IQ_GAIN_SALE_RE_FDIC">"c6674"</definedName>
    <definedName name="IQ_GAINS_SALE_ASSETS_FDIC">"c6675"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NMA_FDIC">"c6398"</definedName>
    <definedName name="IQ_GOODWILL_FDIC">"c6334"</definedName>
    <definedName name="IQ_GOODWILL_IMPAIRMENT_FDIC">"c6678"</definedName>
    <definedName name="IQ_GOODWILL_INTAN_FDIC">"c6333"</definedName>
    <definedName name="IQ_GOODWILL_NET">"c1380"</definedName>
    <definedName name="IQ_GP">"c511"</definedName>
    <definedName name="IQ_GP_10YR_ANN_CAGR">"c6090"</definedName>
    <definedName name="IQ_GP_10YR_ANN_GROWTH">"c512"</definedName>
    <definedName name="IQ_GP_1YR_ANN_GROWTH">"c513"</definedName>
    <definedName name="IQ_GP_2YR_ANN_CAGR">"c6091"</definedName>
    <definedName name="IQ_GP_2YR_ANN_GROWTH">"c514"</definedName>
    <definedName name="IQ_GP_3YR_ANN_CAGR">"c6092"</definedName>
    <definedName name="IQ_GP_3YR_ANN_GROWTH">"c515"</definedName>
    <definedName name="IQ_GP_5YR_ANN_CAGR">"c6093"</definedName>
    <definedName name="IQ_GP_5YR_ANN_GROWTH">"c516"</definedName>
    <definedName name="IQ_GP_7YR_ANN_CAGR">"c6094"</definedName>
    <definedName name="IQ_GP_7YR_ANN_GROWTH">"c517"</definedName>
    <definedName name="IQ_GPPE">"c518"</definedName>
    <definedName name="IQ_GROSS_AH_EARNED">"c2742"</definedName>
    <definedName name="IQ_GROSS_CLAIM_EXP_INCUR">"c2755"</definedName>
    <definedName name="IQ_GROSS_CLAIM_EXP_PAID">"c2758"</definedName>
    <definedName name="IQ_GROSS_CLAIM_EXP_RES">"c2752"</definedName>
    <definedName name="IQ_GROSS_DIVID">"c1446"</definedName>
    <definedName name="IQ_GROSS_EARNED">"c2732"</definedName>
    <definedName name="IQ_GROSS_LIFE_EARNED">"c2737"</definedName>
    <definedName name="IQ_GROSS_LIFE_IN_FORCE">"c2767"</definedName>
    <definedName name="IQ_GROSS_LOANS">"c521"</definedName>
    <definedName name="IQ_GROSS_LOANS_10YR_ANN_CAGR">"c6095"</definedName>
    <definedName name="IQ_GROSS_LOANS_10YR_ANN_GROWTH">"c522"</definedName>
    <definedName name="IQ_GROSS_LOANS_1YR_ANN_GROWTH">"c523"</definedName>
    <definedName name="IQ_GROSS_LOANS_2YR_ANN_CAGR">"c6096"</definedName>
    <definedName name="IQ_GROSS_LOANS_2YR_ANN_GROWTH">"c524"</definedName>
    <definedName name="IQ_GROSS_LOANS_3YR_ANN_CAGR">"c6097"</definedName>
    <definedName name="IQ_GROSS_LOANS_3YR_ANN_GROWTH">"c525"</definedName>
    <definedName name="IQ_GROSS_LOANS_5YR_ANN_CAGR">"c6098"</definedName>
    <definedName name="IQ_GROSS_LOANS_5YR_ANN_GROWTH">"c526"</definedName>
    <definedName name="IQ_GROSS_LOANS_7YR_ANN_CAGR">"c6099"</definedName>
    <definedName name="IQ_GROSS_LOANS_7YR_ANN_GROWTH">"c527"</definedName>
    <definedName name="IQ_GROSS_LOANS_TOTAL_DEPOSITS">"c528"</definedName>
    <definedName name="IQ_GROSS_MARGIN">"c529"</definedName>
    <definedName name="IQ_GROSS_PC_EARNED">"c2747"</definedName>
    <definedName name="IQ_GROSS_PROFIT">"c1378"</definedName>
    <definedName name="IQ_GROSS_SPRD">"c2155"</definedName>
    <definedName name="IQ_GROSS_WRITTEN">"c2726"</definedName>
    <definedName name="IQ_GW">"c530"</definedName>
    <definedName name="IQ_GW_AMORT_BR">"c532"</definedName>
    <definedName name="IQ_GW_AMORT_FIN">"c540"</definedName>
    <definedName name="IQ_GW_AMORT_INS">"c541"</definedName>
    <definedName name="IQ_GW_AMORT_REIT">"c542"</definedName>
    <definedName name="IQ_GW_AMORT_UTI">"c543"</definedName>
    <definedName name="IQ_GW_INTAN_AMORT">"c1469"</definedName>
    <definedName name="IQ_GW_INTAN_AMORT_BNK">"c544"</definedName>
    <definedName name="IQ_GW_INTAN_AMORT_BR">"c1470"</definedName>
    <definedName name="IQ_GW_INTAN_AMORT_CF">"c1471"</definedName>
    <definedName name="IQ_GW_INTAN_AMORT_CF_BNK">"c1472"</definedName>
    <definedName name="IQ_GW_INTAN_AMORT_CF_BR">"c1473"</definedName>
    <definedName name="IQ_GW_INTAN_AMORT_CF_FIN">"c1474"</definedName>
    <definedName name="IQ_GW_INTAN_AMORT_CF_INS">"c1475"</definedName>
    <definedName name="IQ_GW_INTAN_AMORT_CF_RE">"c6279"</definedName>
    <definedName name="IQ_GW_INTAN_AMORT_CF_REIT">"c1476"</definedName>
    <definedName name="IQ_GW_INTAN_AMORT_CF_UTI">"c1477"</definedName>
    <definedName name="IQ_GW_INTAN_AMORT_FIN">"c1478"</definedName>
    <definedName name="IQ_GW_INTAN_AMORT_INS">"c1479"</definedName>
    <definedName name="IQ_GW_INTAN_AMORT_RE">"c6280"</definedName>
    <definedName name="IQ_GW_INTAN_AMORT_REIT">"c1480"</definedName>
    <definedName name="IQ_GW_INTAN_AMORT_UTI">"c1481"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DAYS_REV_OUT">"c5993"</definedName>
    <definedName name="IQ_HC_EQUIV_ADMISSIONS_GROWTH">"c5998"</definedName>
    <definedName name="IQ_HC_EQUIVALENT_ADMISSIONS">"c5958"</definedName>
    <definedName name="IQ_HC_EQUIVALENT_ADMISSIONS_SF">"c6007"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CC_ᙒATE_LICENSED_BEDS">"c5968"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SALARIES_PCT_REV">"c5970"</definedName>
    <definedName name="IQ_HC_SUPPLIES_PCT_REV">"c5971"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>"c6408"</definedName>
    <definedName name="IQ_HIGH_TARGET_PRICE">"c1651"</definedName>
    <definedName name="IQ_HIGH_TARGET_PRICE_REUT">"c5317"</definedName>
    <definedName name="IQ_HIGHPRICE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>"c546"</definedName>
    <definedName name="IQ_IMPAIR_OIL">"c547"</definedName>
    <definedName name="IQ_IMPAIRMENT_GW">"c548"</definedName>
    <definedName name="IQ_IMPUT_OPER_LEASE_DEPR">"c2987"</definedName>
    <definedName name="IQ_IMPUT_OPER_LEASE_INT_EXP">"c2986"</definedName>
    <definedName name="IQ_INC_AFTER_TAX">"c1598"</definedName>
    <definedName name="IQ_INC_AVAIL_EXCL">"c1395"</definedName>
    <definedName name="IQ_INC_AVAIL_INCL">"c1396"</definedName>
    <definedName name="IQ_INC_BEFORE_TAX">"c1375"</definedName>
    <definedName name="IQ_INC_EQUITY">"c549"</definedName>
    <definedName name="IQ_INC_EQUITY_BR">"c550"</definedName>
    <definedName name="IQ_INC_EQUITY_CF">"c551"</definedName>
    <definedName name="IQ_INC_EQUITY_FIN">"c552"</definedName>
    <definedName name="IQ_INC_EQUITY_INS">"c553"</definedName>
    <definedName name="IQ_INC_EQUITY_RE">"c6222"</definedName>
    <definedName name="IQ_INC_EQUITY_REC_BNK">"c554"</definedName>
    <definedName name="IQ_INC_EQUITY_REIT">"c555"</definedName>
    <definedName name="IQ_INC_EQUITY_REV_BNK">"c556"</definedName>
    <definedName name="IQ_INC_EQUITY_UTI">"c557"</definedName>
    <definedName name="IQ_INC_REAL_ESTATE_REC">"c558"</definedName>
    <definedName name="IQ_INC_REAL_ESTATE_REV">"c559"</definedName>
    <definedName name="IQ_INC_TAX">"c560"</definedName>
    <definedName name="IQ_INC_TAX_EXCL">"c1599"</definedName>
    <definedName name="IQ_INC_TAX_PAY_CURRENT">"c561"</definedName>
    <definedName name="IQ_INC_TRADE_ACT">"c562"</definedName>
    <definedName name="IQ_INCIDENTAL_CHANGES_BUSINESS_COMBINATIONS_FDIC">"c6502"</definedName>
    <definedName name="IQ_INCOME_BEFORE_EXTRA_FDIC">"c6585"</definedName>
    <definedName name="IQ_INCOME_EARNED_FDIC">"c6359"</definedName>
    <definedName name="IQ_INCOME_TAXES_FDIC">"c6582"</definedName>
    <definedName name="IQ_INDIVIDUALS_CHARGE_OFFS_FDIC">"c6599"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DUSTRY">"c3601"</definedName>
    <definedName name="IQ_INDUSTRY_GROUP">"c3602"</definedName>
    <definedName name="IQ_INDUSTRY_SECTOR">"c3603"</definedName>
    <definedName name="IQ_INS_ANNUITY_LIAB">"c563"</definedName>
    <definedName name="IQ_INS_ANNUITY_REV">"c2788"</definedName>
    <definedName name="IQ_INS_DIV_EXP">"c564"</definedName>
    <definedName name="IQ_INS_DIV_REV">"c565"</definedName>
    <definedName name="IQ_INS_IN_FORCE">"c566"</definedName>
    <definedName name="IQ_INS_LIAB">"c567"</definedName>
    <definedName name="IQ_INS_POLICY_EXP">"c568"</definedName>
    <definedName name="IQ_INS_REV">"c569"</definedName>
    <definedName name="IQ_INS_SETTLE">"c570"</definedName>
    <definedName name="IQ_INS_SETTLE_BNK">"c571"</definedName>
    <definedName name="IQ_INS_SETTLE_BR">"c572"</definedName>
    <definedName name="IQ_INS_SETTLE_FIN">"c573"</definedName>
    <definedName name="IQ_INS_SETTLE_INS">"c574"</definedName>
    <definedName name="IQ_INS_SETTLE_RE">"c6223"</definedName>
    <definedName name="IQ_INS_SETTLE_REIT">"c575"</definedName>
    <definedName name="IQ_INS_SETTLE_UTI">"c576"</definedName>
    <definedName name="IQ_INSIDER_3MTH_BOUGHT_PCT">"c1534"</definedName>
    <definedName name="IQ_INSIDER_3MTH_NET_PCT">"c1535"</definedName>
    <definedName name="IQ_INSIDER_3MTH_SOLD_PCT">"c1533"</definedName>
    <definedName name="IQ_INSIDER_6MTH_BOUGHT_PCT">"c1537"</definedName>
    <definedName name="IQ_INSIDER_6MTH_NET_PCT">"c1538"</definedName>
    <definedName name="IQ_INSIDER_6MTH_SOLD_PCT">"c1536"</definedName>
    <definedName name="IQ_INSIDER_LOANS_FDIC">"c6365"</definedName>
    <definedName name="IQ_INSIDER_OVER_TOTAL">"c1581"</definedName>
    <definedName name="IQ_INSIDER_OWNER">"c577"</definedName>
    <definedName name="IQ_INSIDER_PERCENT">"c578"</definedName>
    <definedName name="IQ_INSIDER_SHARES">"c579"</definedName>
    <definedName name="IQ_INSTITUTIONAL_OVER_TOTAL">"c1580"</definedName>
    <definedName name="IQ_INSTITUTIONAL_OWNER">"c580"</definedName>
    <definedName name="IQ_INSTITUTIONAL_PERCENT">"c581"</definedName>
    <definedName name="IQ_INSTITUTIONAL_SHARES">"c582"</definedName>
    <definedName name="IQ_INSTITUTIONS_EARNINGS_GAINS_FDIC">"c6723"</definedName>
    <definedName name="IQ_INSUR_RECEIV">"c1600"</definedName>
    <definedName name="IQ_INSURANCE_COMMISSION_FEES_FDIC">"c6670"</definedName>
    <definedName name="IQ_INSURANCE_UNDERWRITING_INCOME_FDIC">"c6671"</definedName>
    <definedName name="IQ_INT_BORROW">"c583"</definedName>
    <definedName name="IQ_INT_DEMAND_NOTES_FDIC">"c6567"</definedName>
    <definedName name="IQ_INT_DEPOSITS">"c584"</definedName>
    <definedName name="IQ_INT_DIV_INC">"c585"</definedName>
    <definedName name="IQ_INT_DOMESTIC_DEPOSITS_FDIC">"c6564"</definedName>
    <definedName name="IQ_INT_EXP_BR">"c586"</definedName>
    <definedName name="IQ_INT_EXP_COVERAGE">"c587"</definedName>
    <definedName name="IQ_INT_EXP_FIN">"c588"</definedName>
    <definedName name="IQ_INT_EXP_INCL_CAP">"c2988"</definedName>
    <definedName name="IQ_INT_EXP_INS">"c589"</definedName>
    <definedName name="IQ_INT_EXP_LTD">"c2086"</definedName>
    <definedName name="IQ_INT_EXP_RE">"c6224"</definedName>
    <definedName name="IQ_INT_EXP_REIT">"c590"</definedName>
    <definedName name="IQ_INT_EXP_TOTAL">"c591"</definedName>
    <definedName name="IQ_INT_EXP_TOTAL_FDIC">"c6569"</definedName>
    <definedName name="IQ_INT_EXP_UTI">"c592"</definedName>
    <definedName name="IQ_INT_FED_FUNDS_FDIC">"c6566"</definedName>
    <definedName name="IQ_INT_FOREIGN_DEPOSITS_FDIC">"c6565"</definedName>
    <definedName name="IQ_INT_INC_BR">"c593"</definedName>
    <definedName name="IQ_INT_INC_DEPOSITORY_INST_FDIC">"c6558"</definedName>
    <definedName name="IQ_INT_INC_DOM_LOANS_FDIC">"c6555"</definedName>
    <definedName name="IQ_INT_INC_FED_FUNDS_FDIC">"c6561"</definedName>
    <definedName name="IQ_INT_INC_FIN">"c594"</definedName>
    <definedName name="IQ_INT_INC_FOREIGN_LOANS_FDIC">"c6556"</definedName>
    <definedName name="IQ_INT_INC_INVEST">"c595"</definedName>
    <definedName name="IQ_INT_INC_LEASE_RECEIVABLES_FDIC">"c6557"</definedName>
    <definedName name="IQ_INT_INC_LOANS">"c596"</definedName>
    <definedName name="IQ_INT_INC_OTHER_FDIC">"c6562"</definedName>
    <definedName name="IQ_INT_INC_RE">"c6225"</definedName>
    <definedName name="IQ_INT_INC_REIT">"c597"</definedName>
    <definedName name="IQ_INT_INC_SECURITIES_FDIC">"c6559"</definedName>
    <definedName name="IQ_INT_INC_TOTAL">"c598"</definedName>
    <definedName name="IQ_INT_INC_TOTAL_FDIC">"c6563"</definedName>
    <definedName name="IQ_INT_INC_TRADING_ACCOUNTS_FDIC">"c6560"</definedName>
    <definedName name="IQ_INT_INC_UTI">"c599"</definedName>
    <definedName name="IQ_INT_INV_INC">"c600"</definedName>
    <definedName name="IQ_INT_INV_INC_RE">"c6226"</definedName>
    <definedName name="IQ_INT_INV_INC_REIT">"c601"</definedName>
    <definedName name="IQ_INT_INV_INC_UTI">"c602"</definedName>
    <definedName name="IQ_INT_ON_BORROWING_COVERAGE">"c603"</definedName>
    <definedName name="IQ_INT_RATE_SPREAD">"c604"</definedName>
    <definedName name="IQ_INT_SUB_NOTES_FDIC">"c6568"</definedName>
    <definedName name="IQ_INTANGIBLES_NET">"c1407"</definedName>
    <definedName name="IQ_INTEREST_BEARING_BALANCES_FDIC">"c6371"</definedName>
    <definedName name="IQ_INTEREST_BEARING_DEPOSITS_DOMESTIC_FDIC">"c6478"</definedName>
    <definedName name="IQ_INTEREST_BEARING_DEPOSITS_FDIC">"c6373"</definedName>
    <definedName name="IQ_INTEREST_BEARING_DEPOSITS_FOREIGN_FDIC">"c6485"</definedName>
    <definedName name="IQ_INTEREST_CASH_DEPOSITS">"c2255"</definedName>
    <definedName name="IQ_INTEREST_EXP">"c618"</definedName>
    <definedName name="IQ_INTEREST_EXP_NET">"c1450"</definedName>
    <definedName name="IQ_INTEREST_EXP_NON">"c1383"</definedName>
    <definedName name="IQ_INTEREST_EXP_SUPPL">"c1460"</definedName>
    <definedName name="IQ_INTEREST_INC">"c1393"</definedName>
    <definedName name="IQ_INTEREST_INC_NON">"c1384"</definedName>
    <definedName name="IQ_INTEREST_INVEST_INC">"c619"</definedName>
    <definedName name="IQ_INTEREST_RATE_CONTRACTS_FDIC">"c6512"</definedName>
    <definedName name="IQ_INTEREST_RATE_EXPOSURES_FDIC">"c6662"</definedName>
    <definedName name="IQ_INV_10YR_ANN_CAGR">"c6164"</definedName>
    <definedName name="IQ_INV_10YR_ANN_GROWTH">"c1930"</definedName>
    <definedName name="IQ_INV_1YR_ANN_GROWTH">"c1925"</definedName>
    <definedName name="IQ_INV_2YR_ANN_CAGR">"c6160"</definedName>
    <definedName name="IQ_INV_2YR_ANN_GROWTH">"c1926"</definedName>
    <definedName name="IQ_INV_3YR_ANN_CAGR">"c6161"</definedName>
    <definedName name="IQ_INV_3YR_ANN_GROWTH">"c1927"</definedName>
    <definedName name="IQ_INV_5YR_ANN_CAGR">"c6162"</definedName>
    <definedName name="IQ_INV_5YR_ANN_GROWTH">"c1928"</definedName>
    <definedName name="IQ_INV_7YR_ANN_CAGR">"c6163"</definedName>
    <definedName name="IQ_INV_7YR_ANN_GROWTH">"c1929"</definedName>
    <definedName name="IQ_INV_BANKING_FEE">"c620"</definedName>
    <definedName name="IQ_INV_METHOD">"c621"</definedName>
    <definedName name="IQ_INVENTORY">"c622"</definedName>
    <definedName name="IQ_INVENTORY_TURNS">"c623"</definedName>
    <definedName name="IQ_INVENTORY_UTI">"c624"</definedName>
    <definedName name="IQ_INVEST_DEBT">"c625"</definedName>
    <definedName name="IQ_INVEST_EQUITY_PREF">"c626"</definedName>
    <definedName name="IQ_INVEST_FHLB">"c627"</definedName>
    <definedName name="IQ_INVEST_GOV_SECURITY">"c5510"</definedName>
    <definedName name="IQ_INVEST_LOANS_CF">"c628"</definedName>
    <definedName name="IQ_INVEST_LOANS_CF_BNK">"c629"</definedName>
    <definedName name="IQ_INVEST_LOANS_CF_BR">"c630"</definedName>
    <definedName name="IQ_INVEST_LOANS_CF_FIN">"c631"</definedName>
    <definedName name="IQ_INVEST_LOANS_CF_INS">"c632"</definedName>
    <definedName name="IQ_INVEST_LOANS_CF_RE">"c6227"</definedName>
    <definedName name="IQ_INVEST_LOANS_CF_REIT">"c633"</definedName>
    <definedName name="IQ_INVEST_LOANS_CF_UTI">"c634"</definedName>
    <definedName name="IQ_INVEST_MUNI_SECURITY">"c5512"</definedName>
    <definedName name="IQ_INVEST_REAL_ESTATE">"c635"</definedName>
    <definedName name="IQ_INVEST_SECURITY">"c636"</definedName>
    <definedName name="IQ_INVEST_SECURITY_CF">"c637"</definedName>
    <definedName name="IQ_INVEST_SECURITY_CF_BNK">"c638"</definedName>
    <definedName name="IQ_INVEST_SECURITY_CF_BR">"c639"</definedName>
    <definedName name="IQ_INVEST_SECURITY_CF_FIN">"c640"</definedName>
    <definedName name="IQ_INVEST_SECURITY_CF_INS">"c641"</definedName>
    <definedName name="IQ_INVEST_SECURITY_CF_RE">"c6228"</definedName>
    <definedName name="IQ_INVEST_SECURITY_CF_REIT">"c642"</definedName>
    <definedName name="IQ_INVEST_SECURITY_CF_UTI">"c643"</definedName>
    <definedName name="IQ_INVEST_SECURITY_SUPPL">"c5511"</definedName>
    <definedName name="IQ_INVESTMENT_BANKING_OTHER_FEES_FDIC">"c6666"</definedName>
    <definedName name="IQ_IPRD">"c644"</definedName>
    <definedName name="IQ_IRA_KEOGH_ACCOUNTS_FDIC">"c6496"</definedName>
    <definedName name="IQ_ISS_DEBT_NET">"c1391"</definedName>
    <definedName name="IQ_ISS_STOCK_NET">"c1601"</definedName>
    <definedName name="IQ_ISSUE_CURRENCY">"c2156"</definedName>
    <definedName name="IQ_ISSUE_NAME">"c2142"</definedName>
    <definedName name="IQ_ISSUED_GUARANTEED_US_FDIC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JR_SUB_DEBT">"c2534"</definedName>
    <definedName name="IQ_JR_SUB_DEBT_EBITDA">"c2560"</definedName>
    <definedName name="IQ_JR_SUB_DEBT_EBITDA_CAPEX">"c2561"</definedName>
    <definedName name="IQ_JR_SUB_DEBT_PCT">"c2535"</definedName>
    <definedName name="IQ_LAND">"c645"</definedName>
    <definedName name="IQ_LAST_PMT_DATE">"c2188"</definedName>
    <definedName name="IQ_LAST_SPLIT_DATE">"c2095"</definedName>
    <definedName name="IQ_LAST_SPLIT_FACTOR">"c2093"</definedName>
    <definedName name="IQ_LASTPRICINGDATE">"c3051"</definedName>
    <definedName name="IQ_LASTSALEPRICE">"c646"</definedName>
    <definedName name="IQ_LASTSALEPRICE_DATE">"c2109"</definedName>
    <definedName name="IQ_LATESTK">1000</definedName>
    <definedName name="IQ_LATESTQ">500</definedName>
    <definedName name="IQ_LEASE_FINANCING_RECEIVABLES_CHARGE_OFFS_FDIC">"c6602"</definedName>
    <definedName name="IQ_LEASE_FINANCING_RECEIVABLES_FDIC">"c6433"</definedName>
    <definedName name="IQ_LEASE_FINANCING_RECEIVABLES_NET_CHARGE_OFFS_FDIC">"c6640"</definedName>
    <definedName name="IQ_LEASE_FINANCING_RECEIVABLES_RECOVERIES_FDIC">"c6621"</definedName>
    <definedName name="IQ_LEASE_FINANCING_RECEIVABLES_TOTAL_LOANS_FOREIGN_FDIC">"c6449"</definedName>
    <definedName name="IQ_LEGAL_SETTLE">"c647"</definedName>
    <definedName name="IQ_LEGAL_SETTLE_BNK">"c648"</definedName>
    <definedName name="IQ_LEGAL_SETTLE_BR">"c649"</definedName>
    <definedName name="IQ_LEGAL_SETTLE_FIN">"c650"</definedName>
    <definedName name="IQ_LEGAL_SETTLE_INS">"c651"</definedName>
    <definedName name="IQ_LEGAL_SETTLE_RE">"c6229"</definedName>
    <definedName name="IQ_LEGAL_SETTLE_REIT">"c652"</definedName>
    <definedName name="IQ_LEGAL_SETTLE_UTI">"c653"</definedName>
    <definedName name="IQ_LEVERAGE_RATIO">"c654"</definedName>
    <definedName name="IQ_LEVERED_FCF">"c1907"</definedName>
    <definedName name="IQ_LFCF_10YR_ANN_CAGR">"c6174"</definedName>
    <definedName name="IQ_LFCF_10YR_ANN_GROWTH">"c1942"</definedName>
    <definedName name="IQ_LFCF_1YR_ANN_GROWTH">"c1937"</definedName>
    <definedName name="IQ_LFCF_2YR_ANN_CAGR">"c6170"</definedName>
    <definedName name="IQ_LFCF_2YR_ANN_GROWTH">"c1938"</definedName>
    <definedName name="IQ_LFCF_3YR_ANN_CAGR">"c6171"</definedName>
    <definedName name="IQ_LFCF_3YR_ANN_GROWTH">"c1939"</definedName>
    <definedName name="IQ_LFCF_5YR_ANN_CAGR">"c6172"</definedName>
    <definedName name="IQ_LFCF_5YR_ANN_GROWTH">"c1940"</definedName>
    <definedName name="IQ_LFCF_7YR_ANN_CAGR">"c6173"</definedName>
    <definedName name="IQ_LFCF_7YR_ANN_GROWTH">"c1941"</definedName>
    <definedName name="IQ_LFCF_MARGIN">"c1961"</definedName>
    <definedName name="IQ_LH_STATUTORY_SURPLUS">"c2771"</definedName>
    <definedName name="IQ_LICENSED_POPS">"c2123"</definedName>
    <definedName name="IQ_LIFE_EARNED">"c2739"</definedName>
    <definedName name="IQ_LIFE_INSURANCE_ASSETS_FDIC">"c6372"</definedName>
    <definedName name="IQ_LIFOR">"c655"</definedName>
    <definedName name="IQ_LL">"c656"</definedName>
    <definedName name="IQ_LOAN_COMMITMENTS_REVOLVING_FDIC">"c6524"</definedName>
    <definedName name="IQ_LOAN_LEASE_RECEIV">"c657"</definedName>
    <definedName name="IQ_LOAN_LOSS">"c1386"</definedName>
    <definedName name="IQ_LOAN_LOSS_ALLOW_FDIC">"c6326"</definedName>
    <definedName name="IQ_LOAN_LOSS_ALLOWANCE_NONCURRENT_LOANS_FDIC">"c6740"</definedName>
    <definedName name="IQ_LOAN_LOSSES_FDIC">"c6580"</definedName>
    <definedName name="IQ_LOAN_SERVICE_REV">"c658"</definedName>
    <definedName name="IQ_LOANS_AND_LEASES_HELD_FDIC">"c6367"</definedName>
    <definedName name="IQ_LOANS_CF">"c659"</definedName>
    <definedName name="IQ_LOANS_CF_BNK">"c660"</definedName>
    <definedName name="IQ_LOANS_CF_BR">"c661"</definedName>
    <definedName name="IQ_LOANS_CF_FIN">"c662"</definedName>
    <definedName name="IQ_LOANS_CF_INS">"c663"</definedName>
    <definedName name="IQ_LOANS_CF_RE">"c6230"</definedName>
    <definedName name="IQ_LOANS_CF_REIT">"c664"</definedName>
    <definedName name="IQ_LOANS_CF_UTI">"c665"</definedName>
    <definedName name="IQ_LOANS_DEPOSITORY_INSTITUTIONS_FDIC">"c6382"</definedName>
    <definedName name="IQ_LOANS_FOR_SALE">"c666"</definedName>
    <definedName name="IQ_LOANS_HELD_FOREIGN_FDIC">"c6315"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NET_FDIC">"c6327"</definedName>
    <definedName name="IQ_LOANS_LEASES_NET_UNEARNED_FDIC">"c6325"</definedName>
    <definedName name="IQ_LOANS_NOT_SECURED_RE_FDIC">"c6381"</definedName>
    <definedName name="IQ_LOANS_PAST_DUE">"c667"</definedName>
    <definedName name="IQ_LOANS_RECEIV_CURRENT">"c668"</definedName>
    <definedName name="IQ_LOANS_RECEIV_LT">"c669"</definedName>
    <definedName name="IQ_LOANS_RECEIV_LT_UTI">"c670"</definedName>
    <definedName name="IQ_LOANS_SECURED_BY_RE_CHARGE_OFFS_FDIC">"c6588"</definedName>
    <definedName name="IQ_LOANS_SECURED_BY_RE_RECOVERIES_FDIC">"c6607"</definedName>
    <definedName name="IQ_LOANS_SECURED_NON_US_FDIC">"c6380"</definedName>
    <definedName name="IQ_LOANS_SECURED_RE_NET_CHARGE_OFFS_FDIC">"c6626"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NG_TERM_ASSETS_FDIC">"c6361"</definedName>
    <definedName name="IQ_LONG_TERM_DEBT">"c1387"</definedName>
    <definedName name="IQ_LONG_TERM_DEBT_OVER_TOTAL_CAP">"c1388"</definedName>
    <definedName name="IQ_LONG_TERM_GROWTH">"c671"</definedName>
    <definedName name="IQ_LONG_TERM_INV">"c1389"</definedName>
    <definedName name="IQ_LOSS_ALLOWANCE_LOANS_FDIC">"c6739"</definedName>
    <definedName name="IQ_LOSS_LOSS_EXP">"c672"</definedName>
    <definedName name="IQ_LOSS_TO_NET_EARNED">"c2751"</definedName>
    <definedName name="IQ_LOW_TARGET_PRICE">"c1652"</definedName>
    <definedName name="IQ_LOW_TARGET_PRICE_REUT">"c5318"</definedName>
    <definedName name="IQ_LOWPRICE">"c673"</definedName>
    <definedName name="IQ_LT_DEBT">"c674"</definedName>
    <definedName name="IQ_LT_DEBT_BNK">"c675"</definedName>
    <definedName name="IQ_LT_DEBT_BR">"c676"</definedName>
    <definedName name="IQ_LT_DEBT_CAPITAL">"c677"</definedName>
    <definedName name="IQ_LT_DEBT_CAPITAL_LEASES">"c2542"</definedName>
    <definedName name="IQ_LT_DEBT_CAPITAL_LEASES_PCT">"c2543"</definedName>
    <definedName name="IQ_LT_DEBT_EQUITY">"c678"</definedName>
    <definedName name="IQ_LT_DEBT_FIN">"c679"</definedName>
    <definedName name="IQ_LT_DEBT_INS">"c680"</definedName>
    <definedName name="IQ_LT_DEBT_ISSUED">"c681"</definedName>
    <definedName name="IQ_LT_DEBT_ISSUED_BNK">"c682"</definedName>
    <definedName name="IQ_LT_DEBT_ISSUED_BR">"c683"</definedName>
    <definedName name="IQ_LT_DEBT_ISSUED_FIN">"c684"</definedName>
    <definedName name="IQ_LT_DEBT_ISSUED_INS">"c685"</definedName>
    <definedName name="IQ_LT_DEBT_ISSUED_RE">"c6231"</definedName>
    <definedName name="IQ_LT_DEBT_ISSUED_REIT">"c686"</definedName>
    <definedName name="IQ_LT_DEBT_ISSUED_UTI">"c687"</definedName>
    <definedName name="IQ_LT_DEBT_RE">"c6232"</definedName>
    <definedName name="IQ_LT_DEBT_REIT">"c688"</definedName>
    <definedName name="IQ_LT_DEBT_REPAID">"c689"</definedName>
    <definedName name="IQ_LT_DEBT_REPAID_BNK">"c690"</definedName>
    <definedName name="IQ_LT_DEBT_REPAID_BR">"c691"</definedName>
    <definedName name="IQ_LT_DEBT_REPAID_FIN">"c692"</definedName>
    <definedName name="IQ_LT_DEBT_REPAID_INS">"c693"</definedName>
    <definedName name="IQ_LT_DEBT_REPAID_RE">"c6233"</definedName>
    <definedName name="IQ_LT_DEBT_REPAID_REIT">"c694"</definedName>
    <definedName name="IQ_LT_DEBT_REPAID_UTI">"c695"</definedName>
    <definedName name="IQ_LT_DEBT_UTI">"c696"</definedName>
    <definedName name="IQ_LT_INVEST">"c697"</definedName>
    <definedName name="IQ_LT_INVEST_BR">"c698"</definedName>
    <definedName name="IQ_LT_INVEST_FIN">"c699"</definedName>
    <definedName name="IQ_LT_INVEST_RE">"c6234"</definedName>
    <definedName name="IQ_LT_INVEST_REIT">"c700"</definedName>
    <definedName name="IQ_LT_INVEST_UTI">"c701"</definedName>
    <definedName name="IQ_LT_NOTE_RECEIV">"c1602"</definedName>
    <definedName name="IQ_LTD_DUE_AFTER_FIVE">"c704"</definedName>
    <definedName name="IQ_LTD_DUE_CY">"c705"</definedName>
    <definedName name="IQ_LTD_DUE_CY1">"c706"</definedName>
    <definedName name="IQ_LTD_DUE_CY2">"c707"</definedName>
    <definedName name="IQ_LTD_DUE_CY3">"c708"</definedName>
    <definedName name="IQ_LTD_DUE_CY4">"c709"</definedName>
    <definedName name="IQ_LTD_DUE_NEXT_FIVE">"c710"</definedName>
    <definedName name="IQ_LTM">2000</definedName>
    <definedName name="IQ_LTM_REVENUE_OVER_EMPLOYEES">"c1437"</definedName>
    <definedName name="IQ_MACHINERY">"c711"</definedName>
    <definedName name="IQ_MAINT_CAPEX">"c2947"</definedName>
    <definedName name="IQ_MAINT_CAPEX_ACT_OR_EST">"c4458"</definedName>
    <definedName name="IQ_MAINT_REPAIR">"c2087"</definedName>
    <definedName name="IQ_MAKE_WHOLE_END_DATE">"c2493"</definedName>
    <definedName name="IQ_MAKE_WHOLE_SPREAD">"c2494"</definedName>
    <definedName name="IQ_MAKE_WHOLE_START_DATE">"c2492"</definedName>
    <definedName name="IQ_MARKET_CAP_LFCF">"c2209"</definedName>
    <definedName name="IQ_MARKETCAP">"c712"</definedName>
    <definedName name="IQ_MARKETING">"c2239"</definedName>
    <definedName name="IQ_MATURITY_DATE">"c2146"</definedName>
    <definedName name="IQ_MATURITY_ONE_YEAR_LESS_FDIC">"c6425"</definedName>
    <definedName name="IQ_MC_RATIO">"c2783"</definedName>
    <definedName name="IQ_MC_STATUTORY_SURPLUS">"c2772"</definedName>
    <definedName name="IQ_MEDIAN_TARGET_PRICE">"c1650"</definedName>
    <definedName name="IQ_MEDIAN_TARGET_PRICE_REUT">"c5316"</definedName>
    <definedName name="IQ_MERGER">"c713"</definedName>
    <definedName name="IQ_MERGER_BNK">"c714"</definedName>
    <definedName name="IQ_MERGER_BR">"c715"</definedName>
    <definedName name="IQ_MERGER_FIN">"c716"</definedName>
    <definedName name="IQ_MERGER_INS">"c717"</definedName>
    <definedName name="IQ_MERGER_RE">"c6235"</definedName>
    <definedName name="IQ_MERGER_REIT">"c718"</definedName>
    <definedName name="IQ_MERGER_RESTRUCTURE">"c719"</definedName>
    <definedName name="IQ_MERGER_RESTRUCTURE_BNK">"c720"</definedName>
    <definedName name="IQ_MERGER_RESTRUCTURE_BR">"c721"</definedName>
    <definedName name="IQ_MERGER_RESTRUCTURE_FIN">"c722"</definedName>
    <definedName name="IQ_MERGER_RESTRUCTURE_INS">"c723"</definedName>
    <definedName name="IQ_MERGER_RESTRUCTURE_RE">"c6236"</definedName>
    <definedName name="IQ_MERGER_RESTRUCTURE_REIT">"c724"</definedName>
    <definedName name="IQ_MERGER_RESTRUCTURE_UTI">"c725"</definedName>
    <definedName name="IQ_MERGER_UTI">"c726"</definedName>
    <definedName name="IQ_MINORITY_INTEREST">"c727"</definedName>
    <definedName name="IQ_MINORITY_INTEREST_BNK">"c728"</definedName>
    <definedName name="IQ_MINORITY_INTEREST_BR">"c729"</definedName>
    <definedName name="IQ_MINORITY_INTEREST_CF">"c730"</definedName>
    <definedName name="IQ_MINORITY_INTEREST_FIN">"c731"</definedName>
    <definedName name="IQ_MINORITY_INTEREST_INS">"c732"</definedName>
    <definedName name="IQ_MINORITY_INTEREST_IS">"c733"</definedName>
    <definedName name="IQ_MINORITY_INTEREST_RE">"c6237"</definedName>
    <definedName name="IQ_MINORITY_INTEREST_REIT">"c734"</definedName>
    <definedName name="IQ_MINORITY_INTEREST_TOTAL">"c1905"</definedName>
    <definedName name="IQ_MINORITY_INTEREST_UTI">"c735"</definedName>
    <definedName name="IQ_MISC_ADJUST_CF">"c736"</definedName>
    <definedName name="IQ_MISC_EARN_ADJ">"c1603"</definedName>
    <definedName name="IQ_MKTCAP_EBT_EXCL">"c737"</definedName>
    <definedName name="IQ_MKTCAP_EBT_EXCL_AVG">"c738"</definedName>
    <definedName name="IQ_MKTCAP_EBT_INCL_AVG">"c739"</definedName>
    <definedName name="IQ_MKTCAP_TOTAL_REV">"c740"</definedName>
    <definedName name="IQ_MKTCAP_TOTAL_REV_AVG">"c741"</definedName>
    <definedName name="IQ_MKTCAP_TOTAL_REV_FWD">"c742"</definedName>
    <definedName name="IQ_MKTCAP_TOTAL_REV_FWD_REUT">"c4048"</definedName>
    <definedName name="IQ_MM_ACCOUNT">"c743"</definedName>
    <definedName name="IQ_MONEY_MARKET_DEPOSIT_ACCOUNTS_FDIC">"c6553"</definedName>
    <definedName name="IQ_MORT_BANK_ACT">"c744"</definedName>
    <definedName name="IQ_MORT_BANKING_FEE">"c745"</definedName>
    <definedName name="IQ_MORT_INT_INC">"c746"</definedName>
    <definedName name="IQ_MORT_LOANS">"c747"</definedName>
    <definedName name="IQ_MORT_SECURITY">"c748"</definedName>
    <definedName name="IQ_MORTGAGE_BACKED_SECURITIES_FDIC">"c6402"</definedName>
    <definedName name="IQ_MORTGAGE_SERV_RIGHTS">"c2242"</definedName>
    <definedName name="IQ_MORTGAGE_SERVICING_FDIC">"c6335"</definedName>
    <definedName name="IQ_MULTIFAMILY_RESIDENTIAL_LOANS_FDIC">"c6311"</definedName>
    <definedName name="IQ_NET_CHANGE">"c749"</definedName>
    <definedName name="IQ_NET_CHARGE_OFFS_FDIC">"c6641"</definedName>
    <definedName name="IQ_NET_CHARGE_OFFS_LOANS_FDIC">"c6751"</definedName>
    <definedName name="IQ_NET_CLAIM_EXP_INCUR">"c2757"</definedName>
    <definedName name="IQ_NET_CLAIM_EXP_INCUR_CY">"c2761"</definedName>
    <definedName name="IQ_NET_CLAIM_EXP_INCUR_PY">"c2762"</definedName>
    <definedName name="IQ_NET_CLAIM_EXP_PAID">"c2760"</definedName>
    <definedName name="IQ_NET_CLAIM_EXP_PAID_CY">"c2763"</definedName>
    <definedName name="IQ_NET_CLAIM_EXP_PAID_PY">"c2764"</definedName>
    <definedName name="IQ_NET_CLAIM_EXP_RES">"c2754"</definedName>
    <definedName name="IQ_NET_DEBT">"c1584"</definedName>
    <definedName name="IQ_NET_DEBT_EBITDA">"c750"</definedName>
    <definedName name="IQ_NET_DEBT_EBITDA_CAPEX">"c2949"</definedName>
    <definedName name="IQ_NET_DEBT_ISSUED">"c751"</definedName>
    <definedName name="IQ_NET_DEBT_ISSUED_BNK">"c752"</definedName>
    <definedName name="IQ_NET_DEBT_ISSUED_BR">"c753"</definedName>
    <definedName name="IQ_NET_DEBT_ISSUED_FIN">"c754"</definedName>
    <definedName name="IQ_NET_DEBT_ISSUED_INS">"c755"</definedName>
    <definedName name="IQ_NET_DEBT_ISSUED_RE">"c6238"</definedName>
    <definedName name="IQ_NET_DEBT_ISSUED_REIT">"c756"</definedName>
    <definedName name="IQ_NET_DEBT_ISSUED_UTI">"c757"</definedName>
    <definedName name="IQ_NET_EARNED">"c2734"</definedName>
    <definedName name="IQ_NET_INC">"c1394"</definedName>
    <definedName name="IQ_NET_INC_BEFORE">"c1368"</definedName>
    <definedName name="IQ_NET_INC_CF">"c1397"</definedName>
    <definedName name="IQ_NET_INC_MARGIN">"c1398"</definedName>
    <definedName name="IQ_NET_INCOME_FDIC">"c6587"</definedName>
    <definedName name="IQ_NET_INT_INC_10YR_ANN_CAGR">"c6100"</definedName>
    <definedName name="IQ_NET_INT_INC_10YR_ANN_GROWTH">"c758"</definedName>
    <definedName name="IQ_NET_INT_INC_1YR_ANN_GROWTH">"c759"</definedName>
    <definedName name="IQ_NET_INT_INC_2YR_ANN_CAGR">"c6101"</definedName>
    <definedName name="IQ_NET_INT_INC_2YR_ANN_GROWTH">"c760"</definedName>
    <definedName name="IQ_NET_INT_INC_3YR_ANN_CAGR">"c6102"</definedName>
    <definedName name="IQ_NET_INT_INC_3YR_ANN_GROWTH">"c761"</definedName>
    <definedName name="IQ_NET_INT_INC_5YR_ANN_CAGR">"c6103"</definedName>
    <definedName name="IQ_NET_INT_INC_5YR_ANN_GROWTH">"c762"</definedName>
    <definedName name="IQ_NET_INT_INC_7YR_ANN_CAGR">"c6104"</definedName>
    <definedName name="IQ_NET_INT_INC_7YR_ANN_GROWTH">"c763"</definedName>
    <definedName name="IQ_NET_INT_INC_BNK">"c764"</definedName>
    <definedName name="IQ_NET_INT_INC_BNK_FDIC">"c6570"</definedName>
    <definedName name="IQ_NET_INT_INC_BR">"c765"</definedName>
    <definedName name="IQ_NET_INT_INC_FIN">"c766"</definedName>
    <definedName name="IQ_NET_INT_INC_TOTAL_REV">"c767"</definedName>
    <definedName name="IQ_NET_INT_MARGIN">"c768"</definedName>
    <definedName name="IQ_NET_INTEREST_EXP">"c769"</definedName>
    <definedName name="IQ_NET_INTEREST_EXP_RE">"c6239"</definedName>
    <definedName name="IQ_NET_INTEREST_EXP_REIT">"c770"</definedName>
    <definedName name="IQ_NET_INTEREST_EXP_UTI">"c771"</definedName>
    <definedName name="IQ_NET_INTEREST_INC">"c1392"</definedName>
    <definedName name="IQ_NET_INTEREST_INC_AFTER_LL">"c1604"</definedName>
    <definedName name="IQ_NET_INTEREST_MARGIN_FDIC">"c6726"</definedName>
    <definedName name="IQ_NET_LIFE_INS_IN_FORCE">"c2769"</definedName>
    <definedName name="IQ_NET_LOANS">"c772"</definedName>
    <definedName name="IQ_NET_LOANS_10YR_ANN_CAGR">"c6105"</definedName>
    <definedName name="IQ_NET_LOANS_10YR_ANN_GROWTH">"c773"</definedName>
    <definedName name="IQ_NET_LOANS_1YR_ANN_GROWTH">"c774"</definedName>
    <definedName name="IQ_NET_LOANS_2YR_ANN_CAGR">"c6106"</definedName>
    <definedName name="IQ_NET_LOANS_2YR_ANN_GROWTH">"c775"</definedName>
    <definedName name="IQ_NET_LOANS_3YR_ANN_CAGR">"c6107"</definedName>
    <definedName name="IQ_NET_LOANS_3YR_ANN_GROWTH">"c776"</definedName>
    <definedName name="IQ_NET_LOANS_5YR_ANN_CAGR">"c6108"</definedName>
    <definedName name="IQ_NET_LOANS_5YR_ANN_GROWTH">"c777"</definedName>
    <definedName name="IQ_NET_LOANS_7YR_ANN_CAGR">"c6109"</definedName>
    <definedName name="IQ_NET_LOANS_7YR_ANN_GROWTH">"c778"</definedName>
    <definedName name="IQ_NET_LOANS_LEASES_CORE_DEPOSITS_FDIC">"c6743"</definedName>
    <definedName name="IQ_NET_LOANS_LEASES_DEPOSITS_FDIC">"c6742"</definedName>
    <definedName name="IQ_NET_LOANS_TOTAL_DEPOSITS">"c779"</definedName>
    <definedName name="IQ_NET_OPERATING_INCOME_ASSETS_FDIC">"c6729"</definedName>
    <definedName name="IQ_NET_RENTAL_EXP_FN">"c780"</definedName>
    <definedName name="IQ_NET_SECURITIZATION_INCOME_FDIC">"c6669"</definedName>
    <definedName name="IQ_NET_SERVICING_FEES_FDIC">"c6668"</definedName>
    <definedName name="IQ_NET_TO_GROSS_EARNED">"c2750"</definedName>
    <definedName name="IQ_NET_TO_GROSS_WRITTEN">"c2729"</definedName>
    <definedName name="IQ_NET_WORKING_CAP">"c3493"</definedName>
    <definedName name="IQ_NET_WRITTEN">"c2728"</definedName>
    <definedName name="IQ_NEW_PREM">"c2785"</definedName>
    <definedName name="IQ_NEXT_CALL_DATE">"c2198"</definedName>
    <definedName name="IQ_NEXT_CALL_PRICE">"c2199"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I">"c781"</definedName>
    <definedName name="IQ_NI_10YR_ANN_CAGR">"c6110"</definedName>
    <definedName name="IQ_NI_10YR_ANN_GROWTH">"c782"</definedName>
    <definedName name="IQ_NI_1YR_ANN_GROWTH">"c783"</definedName>
    <definedName name="IQ_NI_2YR_ANN_CAGR">"c6111"</definedName>
    <definedName name="IQ_NI_2YR_ANN_GROWTH">"c784"</definedName>
    <definedName name="IQ_NI_3YR_ANN_CAGR">"c6112"</definedName>
    <definedName name="IQ_NI_3YR_ANN_GROWTH">"c785"</definedName>
    <definedName name="IQ_NI_5YR_ANN_CAGR">"c6113"</definedName>
    <definedName name="IQ_NI_5YR_ANN_GROWTH">"c786"</definedName>
    <definedName name="IQ_NI_7YR_ANN_CAGR">"c6114"</definedName>
    <definedName name="IQ_NI_7YR_ANN_GROWTH">"c787"</definedName>
    <definedName name="IQ_NI_AFTER_CAPITALIZED">"c788"</definedName>
    <definedName name="IQ_NI_AVAIL_EXCL">"c789"</definedName>
    <definedName name="IQ_NI_AVAIL_EXCL_MARGIN">"c790"</definedName>
    <definedName name="IQ_NI_AVAIL_INCL">"c791"</definedName>
    <definedName name="IQ_NI_BEFORE_CAPITALIZED">"c792"</definedName>
    <definedName name="IQ_NI_CF">"c793"</definedName>
    <definedName name="IQ_NI_MARGIN">"c794"</definedName>
    <definedName name="IQ_NI_NORM">"c1901"</definedName>
    <definedName name="IQ_NI_NORM_10YR_ANN_CAGR">"c6189"</definedName>
    <definedName name="IQ_NI_NORM_10YR_ANN_GROWTH">"c1960"</definedName>
    <definedName name="IQ_NI_NORM_1YR_ANN_GROWTH">"c1955"</definedName>
    <definedName name="IQ_NI_NORM_2YR_ANN_CAGR">"c6185"</definedName>
    <definedName name="IQ_NI_NORM_2YR_ANN_GROWTH">"c1956"</definedName>
    <definedName name="IQ_NI_NORM_3YR_ANN_CAGR">"c6186"</definedName>
    <definedName name="IQ_NI_NORM_3YR_ANN_GROWTH">"c1957"</definedName>
    <definedName name="IQ_NI_NORM_5YR_ANN_CAGR">"c6187"</definedName>
    <definedName name="IQ_NI_NORM_5YR_ANN_GROWTH">"c1958"</definedName>
    <definedName name="IQ_NI_NORM_7YR_ANN_CAGR">"c6188"</definedName>
    <definedName name="IQ_NI_NORM_7YR_ANN_GROWTH">"c1959"</definedName>
    <definedName name="IQ_NI_NORM_MARGIN">"c1964"</definedName>
    <definedName name="IQ_NI_SBC_ACT_OR_EST">"c4474"</definedName>
    <definedName name="IQ_NI_SBC_GW_ACT_OR_EST">"c4478"</definedName>
    <definedName name="IQ_NI_SFAS">"c795"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N_ACCRUAL_LOANS">"c796"</definedName>
    <definedName name="IQ_NON_CASH">"c1399"</definedName>
    <definedName name="IQ_NON_CASH_ITEMS">"c797"</definedName>
    <definedName name="IQ_NON_INS_EXP">"c798"</definedName>
    <definedName name="IQ_NON_INS_REV">"c799"</definedName>
    <definedName name="IQ_NON_INT_BEAR_CD">"c800"</definedName>
    <definedName name="IQ_NON_INT_EXP">"c801"</definedName>
    <definedName name="IQ_NON_INT_EXP_FDIC">"c6579"</definedName>
    <definedName name="IQ_NON_INT_INC">"c802"</definedName>
    <definedName name="IQ_NON_INT_INC_10YR_ANN_CAGR">"c6115"</definedName>
    <definedName name="IQ_NON_INT_INC_10YR_ANN_GROWTH">"c803"</definedName>
    <definedName name="IQ_NON_INT_INC_1YR_ANN_GROWTH">"c804"</definedName>
    <definedName name="IQ_NON_INT_INC_2YR_ANN_CAGR">"c6116"</definedName>
    <definedName name="IQ_NON_INT_INC_2YR_ANN_GROWTH">"c805"</definedName>
    <definedName name="IQ_NON_INT_INC_3YR_ANN_CAGR">"c6117"</definedName>
    <definedName name="IQ_NON_INT_INC_3YR_ANN_GROWTH">"c806"</definedName>
    <definedName name="IQ_NON_INT_INC_5YR_ANN_CAGR">"c6118"</definedName>
    <definedName name="IQ_NON_INT_INC_5YR_ANN_GROWTH">"c807"</definedName>
    <definedName name="IQ_NON_INT_INC_7YR_ANN_CAGR">"c6119"</definedName>
    <definedName name="IQ_NON_INT_INC_7YR_ANN_GROWTH">"c808"</definedName>
    <definedName name="IQ_NON_INT_INC_FDIC">"c6575"</definedName>
    <definedName name="IQ_NON_INTEREST_EXP">"c1400"</definedName>
    <definedName name="IQ_NON_INTEREST_INC">"c1401"</definedName>
    <definedName name="IQ_NON_OPER_EXP">"c809"</definedName>
    <definedName name="IQ_NON_OPER_INC">"c810"</definedName>
    <definedName name="IQ_NON_PERF_ASSETS_10YR_ANN_CAGR">"c6120"</definedName>
    <definedName name="IQ_NON_PERF_ASSETS_10YR_ANN_GROWTH">"c811"</definedName>
    <definedName name="IQ_NON_PERF_ASSETS_1YR_ANN_GROWTH">"c812"</definedName>
    <definedName name="IQ_NON_PERF_ASSETS_2YR_ANN_CAGR">"c6121"</definedName>
    <definedName name="IQ_NON_PERF_ASSETS_2YR_ANN_GROWTH">"c813"</definedName>
    <definedName name="IQ_NON_PERF_ASSETS_3YR_ANN_CAGR">"c6122"</definedName>
    <definedName name="IQ_NON_PERF_ASSETS_3YR_ANN_GROWTH">"c814"</definedName>
    <definedName name="IQ_NON_PERF_ASSETS_5YR_ANN_CAGR">"c6123"</definedName>
    <definedName name="IQ_NON_PERF_ASSETS_5YR_ANN_GROWTH">"c815"</definedName>
    <definedName name="IQ_NON_PERF_ASSETS_7YR_ANN_CAGR">"c6124"</definedName>
    <definedName name="IQ_NON_PERF_ASSETS_7YR_ANN_GROWTH">"c816"</definedName>
    <definedName name="IQ_NON_PERF_ASSETS_TOTAL_ASSETS">"c817"</definedName>
    <definedName name="IQ_NON_PERF_LOANS_10YR_ANN_CAGR">"c6125"</definedName>
    <definedName name="IQ_NON_PERF_LOANS_10YR_ANN_GROWTH">"c818"</definedName>
    <definedName name="IQ_NON_PERF_LOANS_1YR_ANN_GROWTH">"c819"</definedName>
    <definedName name="IQ_NON_PERF_LOANS_2YR_ANN_CAGR">"c6126"</definedName>
    <definedName name="IQ_NON_PERF_LOANS_2YR_ANN_GROWTH">"c820"</definedName>
    <definedName name="IQ_NON_PERF_LOANS_3YR_ANN_CAGR">"c6127"</definedName>
    <definedName name="IQ_NON_PERF_LOANS_3YR_ANN_GROWTH">"c821"</definedName>
    <definedName name="IQ_NON_PERF_LOANS_5YR_ANN_CAGR">"c6128"</definedName>
    <definedName name="IQ_NON_PERF_LOANS_5YR_ANN_GROWTH">"c822"</definedName>
    <definedName name="IQ_NON_PERF_LOANS_7YR_ANN_CAGR">"c6129"</definedName>
    <definedName name="IQ_NON_PERF_LOANS_7YR_ANN_GROWTH">"c823"</definedName>
    <definedName name="IQ_NON_PERF_LOANS_TOTAL_ASSETS">"c824"</definedName>
    <definedName name="IQ_NON_PERF_LOANS_TOTAL_LOANS">"c825"</definedName>
    <definedName name="IQ_NON_PERFORMING_ASSETS">"c826"</definedName>
    <definedName name="IQ_NON_PERFORMING_LOANS">"c827"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ASH_PENSION_EXP">"c3000"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INTEREST_BEARING_BALANCES_FDIC">"c6394"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OME_EARNING_ASSETS_FDIC">"c6727"</definedName>
    <definedName name="IQ_NONMORTGAGE_SERVICING_FDIC">"c6336"</definedName>
    <definedName name="IQ_NONRECOURSE_DEBT">"c2550"</definedName>
    <definedName name="IQ_NONRECOURSE_DEBT_PCT">"c2551"</definedName>
    <definedName name="IQ_NONTRANSACTION_ACCOUNTS_FDIC">"c6552"</definedName>
    <definedName name="IQ_NONUTIL_REV">"c2089"</definedName>
    <definedName name="IQ_NORMAL_INC_AFTER">"c1605"</definedName>
    <definedName name="IQ_NORMAL_INC_AVAIL">"c1606"</definedName>
    <definedName name="IQ_NORMAL_INC_BEFORE">"c1607"</definedName>
    <definedName name="IQ_NOTES_PAY">"c1423"</definedName>
    <definedName name="IQ_NOTIONAL_AMOUNT_CREDIT_DERIVATIVES_FDIC">"c6507"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OW_ACCOUNT">"c828"</definedName>
    <definedName name="IQ_NPPE">"c829"</definedName>
    <definedName name="IQ_NPPE_10YR_ANN_CAGR">"c6130"</definedName>
    <definedName name="IQ_NPPE_10YR_ANN_GROWTH">"c830"</definedName>
    <definedName name="IQ_NPPE_1YR_ANN_GROWTH">"c831"</definedName>
    <definedName name="IQ_NPPE_2YR_ANN_CAGR">"c6131"</definedName>
    <definedName name="IQ_NPPE_2YR_ANN_GROWTH">"c832"</definedName>
    <definedName name="IQ_NPPE_3YR_ANN_CAGR">"c6132"</definedName>
    <definedName name="IQ_NPPE_3YR_ANN_GROWTH">"c833"</definedName>
    <definedName name="IQ_NPPE_5YR_ANN_CAGR">"c6133"</definedName>
    <definedName name="IQ_NPPE_5YR_ANN_GROWTH">"c834"</definedName>
    <definedName name="IQ_NPPE_7YR_ANN_CAGR">"c6134"</definedName>
    <definedName name="IQ_NPPE_7YR_ANN_GROWTH">"c835"</definedName>
    <definedName name="IQ_NTM">6000</definedName>
    <definedName name="IQ_NUKE">"c836"</definedName>
    <definedName name="IQ_NUKE_CF">"c837"</definedName>
    <definedName name="IQ_NUKE_CONTR">"c838"</definedName>
    <definedName name="IQ_NUM_BRANCHES">"c2088"</definedName>
    <definedName name="IQ_NUMBER_ADRHOLDERS">"c1970"</definedName>
    <definedName name="IQ_NUMBER_DAYS">"c1904"</definedName>
    <definedName name="IQ_NUMBER_DEPOSITS_LESS_THAN_100K_FDIC">"c6495"</definedName>
    <definedName name="IQ_NUMBER_DEPOSITS_MORE_THAN_100K_FDIC">"c6493"</definedName>
    <definedName name="IQ_NUMBER_SHAREHOLDERS">"c1967"</definedName>
    <definedName name="IQ_NUMBER_SHAREHOLDERS_CLASSA">"c1968"</definedName>
    <definedName name="IQ_NUMBER_SHAREHOLDERS_OTHER">"c1969"</definedName>
    <definedName name="IQ_OBLIGATIONS_OF_STATES_TOTAL_LOANS_FOREIGN_FDIC">"c6447"</definedName>
    <definedName name="IQ_OBLIGATIONS_STATES_FDIC">"c6431"</definedName>
    <definedName name="IQ_OCCUPY_EXP">"c839"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G_10DISC">"c1998"</definedName>
    <definedName name="IQ_OG_10DISC_GAS">"c2018"</definedName>
    <definedName name="IQ_OG_10DISC_OIL">"c2008"</definedName>
    <definedName name="IQ_OG_ACQ_COST_PROVED">"c1975"</definedName>
    <definedName name="IQ_OG_ACQ_COST_PROVED_GAS">"c1987"</definedName>
    <definedName name="IQ_OG_ACQ_COST_PROVED_OIL">"c1981"</definedName>
    <definedName name="IQ_OG_ACQ_COST_UNPROVED">"c1976"</definedName>
    <definedName name="IQ_OG_ACQ_COST_UNPROVED_GAS">"c1988"</definedName>
    <definedName name="IQ_OG_ACQ_COST_UNPROVED_OIL">"c1982"</definedName>
    <definedName name="IQ_OG_AVG_DAILY_PROD_GAS">"c2910"</definedName>
    <definedName name="IQ_OG_AVG_DAILY_PROD_NGL">"c2911"</definedName>
    <definedName name="IQ_OG_AVG_DAILY_PROD_OIL">"c2909"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CLOSE_BALANCE_GAS">"c2049"</definedName>
    <definedName name="IQ_OG_CLOSE_BALANCE_NGL">"c2920"</definedName>
    <definedName name="IQ_OG_CLOSE_BALANCE_OIL">"c2037"</definedName>
    <definedName name="IQ_OG_DCF_BEFORE_TAXES">"c2023"</definedName>
    <definedName name="IQ_OG_DCF_BEFORE_TAXES_GAS">"c2025"</definedName>
    <definedName name="IQ_OG_DCF_BEFORE_TAXES_OIL">"c2024"</definedName>
    <definedName name="IQ_OG_DEVELOPED_ACRE_GROSS_EQ_INC">"c5802"</definedName>
    <definedName name="IQ_OG_DEVELOPED_ACRE_NET_EQ_INC">"c5803"</definedName>
    <definedName name="IQ_OG_DEVELOPED_RESERVES_GAS">"c2053"</definedName>
    <definedName name="IQ_OG_DEVELOPED_RESERVES_NGL">"c2922"</definedName>
    <definedName name="IQ_OG_DEVELOPED_RESERVES_OIL">"c2054"</definedName>
    <definedName name="IQ_OG_DEVELOPMENT_COSTS">"c1978"</definedName>
    <definedName name="IQ_OG_DEVELOPMENT_COSTS_GAS">"c1990"</definedName>
    <definedName name="IQ_OG_DEVELOPMENT_COSTS_OIL">"c1984"</definedName>
    <definedName name="IQ_OG_EQUITY_DCF">"c2002"</definedName>
    <definedName name="IQ_OG_EQUITY_DCF_GAS">"c2022"</definedName>
    <definedName name="IQ_OG_EQUITY_DCF_OIL">"c2012"</definedName>
    <definedName name="IQ_OG_EQUTY_RESERVES_GAS">"c2050"</definedName>
    <definedName name="IQ_OG_EQUTY_RESERVES_NGL">"c2921"</definedName>
    <definedName name="IQ_OG_EQUTY_RESERVES_OIL">"c2038"</definedName>
    <definedName name="IQ_OG_EXPLORATION_COSTS">"c1977"</definedName>
    <definedName name="IQ_OG_EXPLORATION_COSTS_GAS">"c1989"</definedName>
    <definedName name="IQ_OG_EXPLORATION_COSTS_OIL">"c1983"</definedName>
    <definedName name="IQ_OG_EXT_DISC_GAS">"c2043"</definedName>
    <definedName name="IQ_OG_EXT_DISC_NGL">"c2914"</definedName>
    <definedName name="IQ_OG_EXT_DISC_OIL">"c2031"</definedName>
    <definedName name="IQ_OG_FUTURE_CASH_INFLOWS">"c1993"</definedName>
    <definedName name="IQ_OG_FUTURE_CASH_INFLOWS_GAS">"c2013"</definedName>
    <definedName name="IQ_OG_FUTURE_CASH_INFLOWS_OIL">"c2003"</definedName>
    <definedName name="IQ_OG_FUTURE_DEVELOPMENT_COSTS">"c1995"</definedName>
    <definedName name="IQ_OG_FUTURE_DEVELOPMENT_COSTS_GAS">"c2015"</definedName>
    <definedName name="IQ_OG_FUTURE_DEVELOPMENT_COSTS_OIL">"c2005"</definedName>
    <definedName name="IQ_OG_FUTURE_INC_TAXES">"c1997"</definedName>
    <definedName name="IQ_OG_FUTURE_INC_TAXES_GAS">"c2017"</definedName>
    <definedName name="IQ_OG_FUTURE_INC_TAXES_OIL">"c2007"</definedName>
    <definedName name="IQ_OG_FUTURE_PRODUCTION_COSTS">"c1994"</definedName>
    <definedName name="IQ_OG_FUTURE_PRODUCTION_COSTS_GAS">"c2014"</definedName>
    <definedName name="IQ_OG_FUTURE_PRODUCTION_COSTS_OIL">"c2004"</definedName>
    <definedName name="IQ_OG_GAS_PRICE_HEDGED">"c2056"</definedName>
    <definedName name="IQ_OG_GAS_PRICE_UNHEDGED">"c2058"</definedName>
    <definedName name="IQ_OG_IMPROVED_RECOVERY_GAS">"c2044"</definedName>
    <definedName name="IQ_OG_IMPROVED_RECOVERY_NGL">"c2915"</definedName>
    <definedName name="IQ_OG_IMPROVED_RECOVERY_OIL">"c2032"</definedName>
    <definedName name="IQ_OG_LIQUID_GAS_PRICE_HEDGED">"c2233"</definedName>
    <definedName name="IQ_OG_LIQUID_GAS_PRICE_UNHEDGED">"c2234"</definedName>
    <definedName name="IQ_OG_NET_FUTURE_CASH_FLOWS">"c1996"</definedName>
    <definedName name="IQ_OG_NET_FUTURE_CASH_FLOWS_GAS">"c2016"</definedName>
    <definedName name="IQ_OG_NET_FUTURE_CASH_FLOWS_OIL">"c2006"</definedName>
    <definedName name="IQ_OG_OIL_PRICE_HEDGED">"c2055"</definedName>
    <definedName name="IQ_OG_OIL_PRICE_UNHEDGED">"c2057"</definedName>
    <definedName name="IQ_OG_OPEN_BALANCE_GAS">"c2041"</definedName>
    <definedName name="IQ_OG_OPEN_BALANCE_NGL">"c2912"</definedName>
    <definedName name="IQ_OG_OPEN_BALANCE_OIL">"c2029"</definedName>
    <definedName name="IQ_OG_OTHER_ADJ_FCF">"c1999"</definedName>
    <definedName name="IQ_OG_OTHER_ADJ_FCF_GAS">"c2019"</definedName>
    <definedName name="IQ_OG_OTHER_ADJ_FCF_OIL">"c2009"</definedName>
    <definedName name="IQ_OG_OTHER_ADJ_GAS">"c2048"</definedName>
    <definedName name="IQ_OG_OTHER_ADJ_NGL">"c2919"</definedName>
    <definedName name="IQ_OG_OTHER_ADJ_OIL">"c2036"</definedName>
    <definedName name="IQ_OG_OTHER_COSTS">"c1979"</definedName>
    <definedName name="IQ_OG_OTHER_COSTS_GAS">"c1991"</definedName>
    <definedName name="IQ_OG_OTHER_COSTS_OIL">"c1985"</definedName>
    <definedName name="IQ_OG_PRODUCTION_GAS">"c2047"</definedName>
    <definedName name="IQ_OG_PRODUCTION_NGL">"c2918"</definedName>
    <definedName name="IQ_OG_PRODUCTION_OIL">"c2035"</definedName>
    <definedName name="IQ_OG_PURCHASES_GAS">"c2045"</definedName>
    <definedName name="IQ_OG_PURCHASES_NGL">"c2916"</definedName>
    <definedName name="IQ_OG_PURCHASES_OIL">"c2033"</definedName>
    <definedName name="IQ_OG_RESERVE_REPLACEMENT_RATIO">"c5799"</definedName>
    <definedName name="IQ_OG_REVISIONS_GAS">"c2042"</definedName>
    <definedName name="IQ_OG_REVISIONS_NGL">"c2913"</definedName>
    <definedName name="IQ_OG_REVISIONS_OIL">"c2030"</definedName>
    <definedName name="IQ_OG_SALES_IN_PLACE_GAS">"c2046"</definedName>
    <definedName name="IQ_OG_SALES_IN_PLACE_NGL">"c2917"</definedName>
    <definedName name="IQ_OG_SALES_IN_PLACE_OIL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>"c2000"</definedName>
    <definedName name="IQ_OG_STANDARDIZED_DCF_GAS">"c2020"</definedName>
    <definedName name="IQ_OG_STANDARDIZED_DCF_HEDGED">"c2001"</definedName>
    <definedName name="IQ_OG_STANDARDIZED_DCF_HEDGED_GAS">"c2021"</definedName>
    <definedName name="IQ_OG_STANDARDIZED_DCF_HEDGED_OIL">"c2011"</definedName>
    <definedName name="IQ_OG_STANDARDIZED_DCF_OIL">"c2010"</definedName>
    <definedName name="IQ_OG_TAXES">"c2026"</definedName>
    <definedName name="IQ_OG_TAXES_GAS">"c2028"</definedName>
    <definedName name="IQ_OG_TAXES_OIL">"c2027"</definedName>
    <definedName name="IQ_OG_TOTAL_COSTS">"c1980"</definedName>
    <definedName name="IQ_OG_TOTAL_COSTS_GAS">"c1992"</definedName>
    <definedName name="IQ_OG_TOTAL_COSTS_OIL">"c1986"</definedName>
    <definedName name="IQ_OG_TOTAL_EST_PROVED_RESERVES_GAS">"c2052"</definedName>
    <definedName name="IQ_OG_TOTAL_GAS_PRODUCTION">"c2060"</definedName>
    <definedName name="IQ_OG_TOTAL_LIQUID_GAS_PRODUCTION">"c2235"</definedName>
    <definedName name="IQ_OG_TOTAL_OIL_PRODUCTION">"c2059"</definedName>
    <definedName name="IQ_OG_TOTAL_OIL_PRODUCTON">"c2059"</definedName>
    <definedName name="IQ_OG_UNDEVELOPED_ACRE_GROSS_EQ_INC">"c5800"</definedName>
    <definedName name="IQ_OG_UNDEVELOPED_ACRE_NET_EQ_INC">"c5801"</definedName>
    <definedName name="IQ_OG_UNDEVELOPED_RESERVES_GAS">"c2051"</definedName>
    <definedName name="IQ_OG_UNDEVELOPED_RESERVES_NGL">"c2923"</definedName>
    <definedName name="IQ_OG_UNDEVELOPED_RESERVES_OIL">"c2039"</definedName>
    <definedName name="IQ_OIL_IMPAIR">"c840"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L_COMM_NEXT_FIVE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PRICE">"c848"</definedName>
    <definedName name="IQ_OPER_INC">"c849"</definedName>
    <definedName name="IQ_OPER_INC_BR">"c850"</definedName>
    <definedName name="IQ_OPER_INC_FIN">"c851"</definedName>
    <definedName name="IQ_OPER_INC_INS">"c852"</definedName>
    <definedName name="IQ_OPER_INC_MARGIN">"c1448"</definedName>
    <definedName name="IQ_OPER_INC_RE">"c6240"</definedName>
    <definedName name="IQ_OPER_INC_REIT">"c853"</definedName>
    <definedName name="IQ_OPER_INC_UTI">"c854"</definedName>
    <definedName name="IQ_OPERATIONS_EXP">"c855"</definedName>
    <definedName name="IQ_OPTIONS_BEG_OS">"c1572"</definedName>
    <definedName name="IQ_OPTIONS_CANCELLED">"c856"</definedName>
    <definedName name="IQ_OPTIONS_END_OS">"c1573"</definedName>
    <definedName name="IQ_OPTIONS_EXERCISABLE_END_OS">"c5804"</definedName>
    <definedName name="IQ_OPTIONS_EXERCISED">"c2116"</definedName>
    <definedName name="IQ_OPTIONS_GRANTED">"c2673"</definedName>
    <definedName name="IQ_OPTIONS_ISSUED">"c857"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>"c2678"</definedName>
    <definedName name="IQ_OPTIONS_STRIKE_PRICE_OS">"c2677"</definedName>
    <definedName name="IQ_ORDER_BACKLOG">"c2090"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OREIGN_FDIC">"c6460"</definedName>
    <definedName name="IQ_OREO_MULTI_FAMILY_RESIDENTIAL_FDIC">"c6455"</definedName>
    <definedName name="IQ_OTHER_ADJUST_GROSS_LOANS">"c859"</definedName>
    <definedName name="IQ_OTHER_AMORT">"c5563"</definedName>
    <definedName name="IQ_OTHER_AMORT_BNK">"c5565"</definedName>
    <definedName name="IQ_OTHER_AMORT_BR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>"c860"</definedName>
    <definedName name="IQ_OTHER_ASSETS_BNK">"c861"</definedName>
    <definedName name="IQ_OTHER_ASSETS_BR">"c862"</definedName>
    <definedName name="IQ_OTHER_ASSETS_FDIC">"c6338"</definedName>
    <definedName name="IQ_OTHER_ASSETS_FIN">"c863"</definedName>
    <definedName name="IQ_OTHER_ASSETS_INS">"c864"</definedName>
    <definedName name="IQ_OTHER_ASSETS_RE">"c6241"</definedName>
    <definedName name="IQ_OTHER_ASSETS_REIT">"c865"</definedName>
    <definedName name="IQ_OTHER_ASSETS_SERV_RIGHTS">"c2243"</definedName>
    <definedName name="IQ_OTHER_ASSETS_UTI">"c866"</definedName>
    <definedName name="IQ_OTHER_BEARING_LIAB">"c1608"</definedName>
    <definedName name="IQ_OTHER_BENEFITS_OBLIGATION">"c867"</definedName>
    <definedName name="IQ_OTHER_BORROWED_FUNDS_FDIC">"c6345"</definedName>
    <definedName name="IQ_OTHER_CA">"c868"</definedName>
    <definedName name="IQ_OTHER_CA_SUPPL">"c869"</definedName>
    <definedName name="IQ_OTHER_CA_SUPPL_BNK">"c870"</definedName>
    <definedName name="IQ_OTHER_CA_SUPPL_BR">"c871"</definedName>
    <definedName name="IQ_OTHER_CA_SUPPL_FIN">"c872"</definedName>
    <definedName name="IQ_OTHER_CA_SUPPL_INS">"c873"</definedName>
    <definedName name="IQ_OTHER_CA_SUPPL_RE">"c6242"</definedName>
    <definedName name="IQ_OTHER_CA_SUPPL_REIT">"c874"</definedName>
    <definedName name="IQ_OTHER_CA_SUPPL_UTI">"c875"</definedName>
    <definedName name="IQ_OTHER_CA_UTI">"c876"</definedName>
    <definedName name="IQ_OTHER_CL">"c877"</definedName>
    <definedName name="IQ_OTHER_CL_SUPPL">"c878"</definedName>
    <definedName name="IQ_OTHER_CL_SUPPL_BNK">"c879"</definedName>
    <definedName name="IQ_OTHER_CL_SUPPL_BR">"c880"</definedName>
    <definedName name="IQ_OTHER_CL_SUPPL_FIN">"c881"</definedName>
    <definedName name="IQ_OTHER_CL_SUPPL_INS">"C6021"</definedName>
    <definedName name="IQ_OTHER_CL_SUPPL_RE">"c6243"</definedName>
    <definedName name="IQ_OTHER_CL_SUPPL_REIT">"c882"</definedName>
    <definedName name="IQ_OTHER_CL_SUPPL_UTI">"c883"</definedName>
    <definedName name="IQ_OTHER_CL_UTI">"c884"</definedName>
    <definedName name="IQ_OTHER_COMPREHENSIVE_INCOME_FDIC">"c6503"</definedName>
    <definedName name="IQ_OTHER_CURRENT_ASSETS">"c1403"</definedName>
    <definedName name="IQ_OTHER_CURRENT_LIAB">"c1404"</definedName>
    <definedName name="IQ_OTHER_DEBT">"c2507"</definedName>
    <definedName name="IQ_OTHER_DEBT_PCT">"c2508"</definedName>
    <definedName name="IQ_OTHER_DEP">"c885"</definedName>
    <definedName name="IQ_OTHER_DEPOSITORY_INSTITUTIONS_LOANS_FDIC">"c6436"</definedName>
    <definedName name="IQ_OTHER_DEPOSITORY_INSTITUTIONS_TOTAL_LOANS_FOREIGN_FDIC">"c6442"</definedName>
    <definedName name="IQ_OTHER_DOMESTIC_DEBT_SECURITIES_FDIC">"c6302"</definedName>
    <definedName name="IQ_OTHER_EARNING">"c1609"</definedName>
    <definedName name="IQ_OTHER_EQUITY">"c886"</definedName>
    <definedName name="IQ_OTHER_EQUITY_BNK">"c887"</definedName>
    <definedName name="IQ_OTHER_EQUITY_BR">"c888"</definedName>
    <definedName name="IQ_OTHER_EQUITY_FIN">"c889"</definedName>
    <definedName name="IQ_OTHER_EQUITY_INS">"c890"</definedName>
    <definedName name="IQ_OTHER_EQUITY_RE">"c6244"</definedName>
    <definedName name="IQ_OTHER_EQUITY_REIT">"c891"</definedName>
    <definedName name="IQ_OTHER_EQUITY_UTI">"c892"</definedName>
    <definedName name="IQ_OTHER_FINANCE_ACT">"c893"</definedName>
    <definedName name="IQ_OTHER_FINANCE_ACT_BNK">"c894"</definedName>
    <definedName name="IQ_OTHER_FINANCE_ACT_BR">"c895"</definedName>
    <definedName name="IQ_OTHER_FINANCE_ACT_FIN">"c896"</definedName>
    <definedName name="IQ_OTHER_FINANCE_ACT_INS">"c897"</definedName>
    <definedName name="IQ_OTHER_FINANCE_ACT_RE">"c6245"</definedName>
    <definedName name="IQ_OTHER_FINANCE_ACT_REIT">"c898"</definedName>
    <definedName name="IQ_OTHER_FINANCE_ACT_SUPPL">"c899"</definedName>
    <definedName name="IQ_OTHER_FINANCE_ACT_SUPPL_BNK">"c900"</definedName>
    <definedName name="IQ_OTHER_FINANCE_ACT_SUPPL_BR">"c901"</definedName>
    <definedName name="IQ_OTHER_FINANCE_ACT_SUPPL_FIN">"c902"</definedName>
    <definedName name="IQ_OTHER_FINANCE_ACT_SUPPL_INS">"c903"</definedName>
    <definedName name="IQ_OTHER_FINANCE_ACT_SUPPL_RE">"c6246"</definedName>
    <definedName name="IQ_OTHER_FINANCE_ACT_SUPPL_REIT">"c904"</definedName>
    <definedName name="IQ_OTHER_FINANCE_ACT_SUPPL_UTI">"c905"</definedName>
    <definedName name="IQ_OTHER_FINANCE_ACT_UTI">"c906"</definedName>
    <definedName name="IQ_OTHER_INSURANCE_FEES_FDIC">"c6672"</definedName>
    <definedName name="IQ_OTHER_INTAN">"c907"</definedName>
    <definedName name="IQ_OTHER_INTAN_BNK">"c908"</definedName>
    <definedName name="IQ_OTHER_INTAN_BR">"c909"</definedName>
    <definedName name="IQ_OTHER_INTAN_FIN">"c910"</definedName>
    <definedName name="IQ_OTHER_INTAN_INS">"c911"</definedName>
    <definedName name="IQ_OTHER_INTAN_RE">"c6247"</definedName>
    <definedName name="IQ_OTHER_INTAN_REIT">"c912"</definedName>
    <definedName name="IQ_OTHER_INTAN_UTI">"c913"</definedName>
    <definedName name="IQ_OTHER_INTANGIBLE_FDIC">"c6337"</definedName>
    <definedName name="IQ_OTHER_INV">"c914"</definedName>
    <definedName name="IQ_OTHER_INVEST">"c915"</definedName>
    <definedName name="IQ_OTHER_INVEST_ACT">"c916"</definedName>
    <definedName name="IQ_OTHER_INVEST_ACT_BNK">"c917"</definedName>
    <definedName name="IQ_OTHER_INVEST_ACT_BR">"c918"</definedName>
    <definedName name="IQ_OTHER_INVEST_ACT_FIN">"c919"</definedName>
    <definedName name="IQ_OTHER_INVEST_ACT_INS">"c920"</definedName>
    <definedName name="IQ_OTHER_INVEST_ACT_RE">"c6248"</definedName>
    <definedName name="IQ_OTHER_INVEST_ACT_REIT">"c921"</definedName>
    <definedName name="IQ_OTHER_INVEST_ACT_SUPPL">"c922"</definedName>
    <definedName name="IQ_OTHER_INVEST_ACT_SUPPL_BNK">"c923"</definedName>
    <definedName name="IQ_OTHER_INVEST_ACT_SUPPL_BR">"c924"</definedName>
    <definedName name="IQ_OTHER_INVEST_ACT_SUPPL_FIN">"c925"</definedName>
    <definedName name="IQ_OTHER_INVEST_ACT_SUPPL_INS">"c926"</definedName>
    <definedName name="IQ_OTHER_INVEST_ACT_SUPPL_RE">"c6249"</definedName>
    <definedName name="IQ_OTHER_INVEST_ACT_SUPPL_REIT">"c927"</definedName>
    <definedName name="IQ_OTHER_INVEST_ACT_SUPPL_UTI">"c928"</definedName>
    <definedName name="IQ_OTHER_INVEST_ACT_UTI">"c929"</definedName>
    <definedName name="IQ_OTHER_INVESTING">"c1408"</definedName>
    <definedName name="IQ_OTHER_LIAB">"c930"</definedName>
    <definedName name="IQ_OTHER_LIAB_BNK">"c931"</definedName>
    <definedName name="IQ_OTHER_LIAB_BR">"c932"</definedName>
    <definedName name="IQ_OTHER_LIAB_FIN">"c933"</definedName>
    <definedName name="IQ_OTHER_LIAB_INS">"c934"</definedName>
    <definedName name="IQ_OTHER_LIAB_LT">"c935"</definedName>
    <definedName name="IQ_OTHER_LIAB_LT_BNK">"c936"</definedName>
    <definedName name="IQ_OTHER_LIAB_LT_BR">"c937"</definedName>
    <definedName name="IQ_OTHER_LIAB_LT_FIN">"c938"</definedName>
    <definedName name="IQ_OTHER_LIAB_LT_INS">"c939"</definedName>
    <definedName name="IQ_OTHER_LIAB_LT_RE">"c6250"</definedName>
    <definedName name="IQ_OTHER_LIAB_LT_REIT">"c940"</definedName>
    <definedName name="IQ_OTHER_LIAB_LT_UTI">"c941"</definedName>
    <definedName name="IQ_OTHER_LIAB_RE">"c6251"</definedName>
    <definedName name="IQ_OTHER_LIAB_REIT">"c942"</definedName>
    <definedName name="IQ_OTHER_LIAB_UTI">"c943"</definedName>
    <definedName name="IQ_OTHER_LIAB_WRITTEN">"c944"</definedName>
    <definedName name="IQ_OTHER_LIABILITIES_FDIC">"c6347"</definedName>
    <definedName name="IQ_OTHER_LOANS">"c945"</definedName>
    <definedName name="IQ_OTHER_LOANS_CHARGE_OFFS_FDIC">"c6601"</definedName>
    <definedName name="IQ_OTHER_LOANS_FOREIGN_FDIC">"c6446"</definedName>
    <definedName name="IQ_OTHER_LOANS_LEASES_FDIC">"c6322"</definedName>
    <definedName name="IQ_OTHER_LOANS_NET_CHARGE_OFFS_FDIC">"c6639"</definedName>
    <definedName name="IQ_OTHER_LOANS_RECOVERIES_FDIC">"c6620"</definedName>
    <definedName name="IQ_OTHER_LOANS_TOTAL_FDIC">"c6432"</definedName>
    <definedName name="IQ_OTHER_LONG_TERM">"c1409"</definedName>
    <definedName name="IQ_OTHER_LT_ASSETS">"c946"</definedName>
    <definedName name="IQ_OTHER_LT_ASSETS_BNK">"c947"</definedName>
    <definedName name="IQ_OTHER_LT_ASSETS_BR">"c948"</definedName>
    <definedName name="IQ_OTHER_LT_ASSETS_FIN">"c949"</definedName>
    <definedName name="IQ_OTHER_LT_ASSETS_INS">"c950"</definedName>
    <definedName name="IQ_OTHER_LT_ASSETS_RE">"c6252"</definedName>
    <definedName name="IQ_OTHER_LT_ASSETS_REIT">"c951"</definedName>
    <definedName name="IQ_OTHER_LT_ASSETS_UTI">"c952"</definedName>
    <definedName name="IQ_OTHER_NET">"c1453"</definedName>
    <definedName name="IQ_OTHER_NON_INT_EXP">"c953"</definedName>
    <definedName name="IQ_OTHER_NON_INT_EXP_FDIC">"c6578"</definedName>
    <definedName name="IQ_OTHER_NON_INT_EXP_TOTAL">"c954"</definedName>
    <definedName name="IQ_OTHER_NON_INT_EXPENSE_FDIC">"c6679"</definedName>
    <definedName name="IQ_OTHER_NON_INT_INC">"c955"</definedName>
    <definedName name="IQ_OTHER_NON_INT_INC_FDIC">"c6676"</definedName>
    <definedName name="IQ_OTHER_NON_OPER_EXP">"c956"</definedName>
    <definedName name="IQ_OTHER_NON_OPER_EXP_BR">"c957"</definedName>
    <definedName name="IQ_OTHER_NON_OPER_EXP_FIN">"c958"</definedName>
    <definedName name="IQ_OTHER_NON_OPER_EXP_INS">"c959"</definedName>
    <definedName name="IQ_OTHER_NON_OPER_EXP_RE">"c6253"</definedName>
    <definedName name="IQ_OTHER_NON_OPER_EXP_REIT">"c960"</definedName>
    <definedName name="IQ_OTHER_NON_OPER_EXP_SUPPL">"c961"</definedName>
    <definedName name="IQ_OTHER_NON_OPER_EXP_SUPPL_BR">"c962"</definedName>
    <definedName name="IQ_OTHER_NON_OPER_EXP_SUPPL_FIN">"c963"</definedName>
    <definedName name="IQ_OTHER_NON_OPER_EXP_SUPPL_INS">"c964"</definedName>
    <definedName name="IQ_OTHER_NON_OPER_EXP_SUPPL_RE">"c6254"</definedName>
    <definedName name="IQ_OTHER_NON_OPER_EXP_SUPPL_REIT">"c965"</definedName>
    <definedName name="IQ_OTHER_NON_OPER_EXP_SUPPL_UTI">"c966"</definedName>
    <definedName name="IQ_OTHER_NON_OPER_EXP_UTI">"c967"</definedName>
    <definedName name="IQ_OTHER_OFF_BS_LIAB_FDIC">"c6533"</definedName>
    <definedName name="IQ_OTHER_OPER">"c982"</definedName>
    <definedName name="IQ_OTHER_OPER_ACT">"c983"</definedName>
    <definedName name="IQ_OTHER_OPER_ACT_BNK">"c984"</definedName>
    <definedName name="IQ_OTHER_OPER_ACT_BR">"c985"</definedName>
    <definedName name="IQ_OTHER_OPER_ACT_FIN">"c986"</definedName>
    <definedName name="IQ_OTHER_OPER_ACT_INS">"c987"</definedName>
    <definedName name="IQ_OTHER_OPER_ACT_RE">"c6255"</definedName>
    <definedName name="IQ_OTHER_OPER_ACT_REIT">"c988"</definedName>
    <definedName name="IQ_OTHER_OPER_ACT_UTI">"c989"</definedName>
    <definedName name="IQ_OTHER_OPER_BR">"c990"</definedName>
    <definedName name="IQ_OTHER_OPER_FIN">"c991"</definedName>
    <definedName name="IQ_OTHER_OPER_INS">"c992"</definedName>
    <definedName name="IQ_OTHER_OPER_RE">"c6256"</definedName>
    <definedName name="IQ_OTHER_OPER_REIT">"c993"</definedName>
    <definedName name="IQ_OTHER_OPER_SUPPL_BR">"c994"</definedName>
    <definedName name="IQ_OTHER_OPER_SUPPL_FIN">"c995"</definedName>
    <definedName name="IQ_OTHER_OPER_SUPPL_INS">"c996"</definedName>
    <definedName name="IQ_OTHER_OPER_SUPPL_RE">"c6257"</definedName>
    <definedName name="IQ_OTHER_OPER_SUPPL_REIT">"c997"</definedName>
    <definedName name="IQ_OTHER_OPER_SUPPL_UTI">"c998"</definedName>
    <definedName name="IQ_OTHER_OPER_TOT_BNK">"c999"</definedName>
    <definedName name="IQ_OTHER_OPER_TOT_BR">"c1000"</definedName>
    <definedName name="IQ_OTHER_OPER_TOT_FIN">"c1001"</definedName>
    <definedName name="IQ_OTHER_OPER_TOT_INS">"c1002"</definedName>
    <definedName name="IQ_OTHER_OPER_TOT_RE">"c6258"</definedName>
    <definedName name="IQ_OTHER_OPER_TOT_REIT">"c1003"</definedName>
    <definedName name="IQ_OTHER_OPER_TOT_UTI">"c1004"</definedName>
    <definedName name="IQ_OTHER_OPER_UTI">"c1005"</definedName>
    <definedName name="IQ_OTHER_OPTIONS_BEG_OS">"c2686"</definedName>
    <definedName name="IQ_OTHER_OPTIONS_CANCELLED">"c2689"</definedName>
    <definedName name="IQ_OTHER_OPTIONS_END_OS">"c2690"</definedName>
    <definedName name="IQ_OTHER_OPTIONS_EXERCISABLE_END_OS">"c5814"</definedName>
    <definedName name="IQ_OTHER_OPTIONS_EXERCISED">"c2688"</definedName>
    <definedName name="IQ_OTHER_OPTIONS_GRANTED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>"c2691"</definedName>
    <definedName name="IQ_OTHER_OUTSTANDING_BS_DATE">"c1972"</definedName>
    <definedName name="IQ_OTHER_OUTSTANDING_FILING_DATE">"c1974"</definedName>
    <definedName name="IQ_OTHER_PC_WRITTEN">"c1006"</definedName>
    <definedName name="IQ_OTHER_RE_OWNED_FDIC">"c6330"</definedName>
    <definedName name="IQ_OTHER_REAL_ESTATE">"c1007"</definedName>
    <definedName name="IQ_OTHER_RECEIV">"c1008"</definedName>
    <definedName name="IQ_OTHER_RECEIV_INS">"c1009"</definedName>
    <definedName name="IQ_OTHER_REV">"c1010"</definedName>
    <definedName name="IQ_OTHER_REV_BR">"c1011"</definedName>
    <definedName name="IQ_OTHER_REV_FIN">"c1012"</definedName>
    <definedName name="IQ_OTHER_REV_INS">"c1013"</definedName>
    <definedName name="IQ_OTHER_REV_RE">"c6259"</definedName>
    <definedName name="IQ_OTHER_REV_REIT">"c1014"</definedName>
    <definedName name="IQ_OTHER_REV_SUPPL">"c1015"</definedName>
    <definedName name="IQ_OTHER_REV_SUPPL_BR">"c1016"</definedName>
    <definedName name="IQ_OTHER_REV_SUPPL_FIN">"c1017"</definedName>
    <definedName name="IQ_OTHER_REV_SUPPL_INS">"c1018"</definedName>
    <definedName name="IQ_OTHER_REV_SUPPL_RE">"c6260"</definedName>
    <definedName name="IQ_OTHER_REV_SUPPL_REIT">"c1019"</definedName>
    <definedName name="IQ_OTHER_REV_SUPPL_UTI">"c1020"</definedName>
    <definedName name="IQ_OTHER_REV_UTI">"c1021"</definedName>
    <definedName name="IQ_OTHER_REVENUE">"c1410"</definedName>
    <definedName name="IQ_OTHER_SAVINGS_DEPOSITS_FDIC">"c6554"</definedName>
    <definedName name="IQ_OTHER_STRIKE_PRICE_GRANTED">"c2692"</definedName>
    <definedName name="IQ_OTHER_TRANSACTIONS_FDIC">"c6504"</definedName>
    <definedName name="IQ_OTHER_UNDRAWN">"c2522"</definedName>
    <definedName name="IQ_OTHER_UNUSED_COMMITMENTS_FDIC">"c6530"</definedName>
    <definedName name="IQ_OTHER_UNUSUAL">"c1488"</definedName>
    <definedName name="IQ_OTHER_UNUSUAL_BNK">"c1560"</definedName>
    <definedName name="IQ_OTHER_UNUSUAL_BR">"c1561"</definedName>
    <definedName name="IQ_OTHER_UNUSUAL_FIN">"c1562"</definedName>
    <definedName name="IQ_OTHER_UNUSUAL_INS">"c1563"</definedName>
    <definedName name="IQ_OTHER_UNUSUAL_RE">"c6282"</definedName>
    <definedName name="IQ_OTHER_UNUSUAL_REIT">"c1564"</definedName>
    <definedName name="IQ_OTHER_UNUSUAL_SUPPL">"c1494"</definedName>
    <definedName name="IQ_OTHER_UNUSUAL_SUPPL_BNK">"c1495"</definedName>
    <definedName name="IQ_OTHER_UNUSUAL_SUPPL_BR">"c1496"</definedName>
    <definedName name="IQ_OTHER_UNUSUAL_SUPPL_FIN">"c1497"</definedName>
    <definedName name="IQ_OTHER_UNUSUAL_SUPPL_INS">"c1498"</definedName>
    <definedName name="IQ_OTHER_UNUSUAL_SUPPL_RE">"c6281"</definedName>
    <definedName name="IQ_OTHER_UNUSUAL_SUPPL_REIT">"c1499"</definedName>
    <definedName name="IQ_OTHER_UNUSUAL_SUPPL_UTI">"c1500"</definedName>
    <definedName name="IQ_OTHER_UNUSUAL_UTI">"c1565"</definedName>
    <definedName name="IQ_OTHER_WARRANTS_BEG_OS">"c2712"</definedName>
    <definedName name="IQ_OTHER_WARRANTS_CANCELLED">"c2715"</definedName>
    <definedName name="IQ_OTHER_WARRANTS_END_OS">"c2716"</definedName>
    <definedName name="IQ_OTHER_WARRANTS_EXERCISED">"c2714"</definedName>
    <definedName name="IQ_OTHER_WARRANTS_ISSUED">"c2713"</definedName>
    <definedName name="IQ_OTHER_WARRANTS_STRIKE_PRICE_ISSUED">"c2718"</definedName>
    <definedName name="IQ_OTHER_WARRANTS_STRIKE_PRICE_OS">"c2717"</definedName>
    <definedName name="IQ_OUTSTANDING_BS_DATE">"c2128"</definedName>
    <definedName name="IQ_OUTSTANDING_FILING_DATE">"c1023"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OWNERSHIP">"c2160"</definedName>
    <definedName name="IQ_PART_TIME">"c1024"</definedName>
    <definedName name="IQ_PARTICIPATION_POOLS_RESIDENTIAL_MORTGAGES_FDIC">"c6403"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AY_ACCRUED">"c1457"</definedName>
    <definedName name="IQ_PAYOUT_RATIO">"c1900"</definedName>
    <definedName name="IQ_PBV">"c1025"</definedName>
    <definedName name="IQ_PBV_AVG">"c1026"</definedName>
    <definedName name="IQ_PC_EARNED">"c2749"</definedName>
    <definedName name="IQ_PC_GAAP_COMBINED_RATIO">"c2781"</definedName>
    <definedName name="IQ_PC_GAAP_COMBINED_RATIO_EXCL_CL">"c2782"</definedName>
    <definedName name="IQ_PC_GAAP_EXPENSE_RATIO">"c2780"</definedName>
    <definedName name="IQ_PC_GAAP_LOSS">"c2779"</definedName>
    <definedName name="IQ_PC_POLICY_BENEFITS_EXP">"c2790"</definedName>
    <definedName name="IQ_PC_STAT_COMBINED_RATIO">"c2778"</definedName>
    <definedName name="IQ_PC_STAT_COMBINED_RATIO_EXCL_DIV">"c2777"</definedName>
    <definedName name="IQ_PC_STAT_DIVIDEND_RATIO">"c2776"</definedName>
    <definedName name="IQ_PC_STAT_EXPENSE_RATIO">"c2775"</definedName>
    <definedName name="IQ_PC_STAT_LOSS_RATIO">"c2774"</definedName>
    <definedName name="IQ_PC_STATUTORY_SURPLUS">"c2770"</definedName>
    <definedName name="IQ_PC_WRITTEN">"c1027"</definedName>
    <definedName name="IQ_PE_EXCL">"c1028"</definedName>
    <definedName name="IQ_PE_EXCL_AVG">"c1029"</definedName>
    <definedName name="IQ_PE_EXCL_FWD">"c1030"</definedName>
    <definedName name="IQ_PE_EXCL_FWD_REUT">"c4049"</definedName>
    <definedName name="IQ_PE_NORMALIZED">"c2207"</definedName>
    <definedName name="IQ_PE_RATIO">"c1610"</definedName>
    <definedName name="IQ_PEG_FWD">"c1863"</definedName>
    <definedName name="IQ_PEG_FWD_REUT">"c4052"</definedName>
    <definedName name="IQ_PENSION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INSURED_FDIC">"c6374"</definedName>
    <definedName name="IQ_PERIODDATE">"c1414"</definedName>
    <definedName name="IQ_PERIODDATE_BS">"c1032"</definedName>
    <definedName name="IQ_PERIODDATE_CF">"c1033"</definedName>
    <definedName name="IQ_PERIODDATE_IS">"c1034"</definedName>
    <definedName name="IQ_PERIODLENGTH_CF">"c1502"</definedName>
    <definedName name="IQ_PERIODLENGTH_IS">"c1503"</definedName>
    <definedName name="IQ_PERTYPE">"c1611"</definedName>
    <definedName name="IQ_PLEDGED_SECURITIES_FDIC">"c6401"</definedName>
    <definedName name="IQ_PLL">"c2114"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>"c1036"</definedName>
    <definedName name="IQ_POLICY_COST">"c1037"</definedName>
    <definedName name="IQ_POLICY_LIAB">"c1612"</definedName>
    <definedName name="IQ_POLICY_LOANS">"c1038"</definedName>
    <definedName name="IQ_POST_RETIRE_EXP">"c1039"</definedName>
    <definedName name="IQ_POSTPAID_CHURN">"c2121"</definedName>
    <definedName name="IQ_POSTPAID_SUBS">"c2118"</definedName>
    <definedName name="IQ_PRE_OPEN_COST">"c1040"</definedName>
    <definedName name="IQ_PRE_TAX_INCOME_FDIC">"c6581"</definedName>
    <definedName name="IQ_PREF_CONVERT">"c1041"</definedName>
    <definedName name="IQ_PREF_DIV_CF">"c1042"</definedName>
    <definedName name="IQ_PREF_DIV_OTHER">"c1043"</definedName>
    <definedName name="IQ_PREF_DIVID">"c1461"</definedName>
    <definedName name="IQ_PREF_EQUITY">"c1044"</definedName>
    <definedName name="IQ_PREF_ISSUED">"c1045"</definedName>
    <definedName name="IQ_PREF_ISSUED_BNK">"c1046"</definedName>
    <definedName name="IQ_PREF_ISSUED_BR">"c1047"</definedName>
    <definedName name="IQ_PREF_ISSUED_FIN">"c1048"</definedName>
    <definedName name="IQ_PREF_ISSUED_INS">"c1049"</definedName>
    <definedName name="IQ_PREF_ISSUED_RE">"c6261"</definedName>
    <definedName name="IQ_PREF_ISSUED_REIT">"c1050"</definedName>
    <definedName name="IQ_PREF_ISSUED_UTI">"c1051"</definedName>
    <definedName name="IQ_PREF_NON_REDEEM">"c1052"</definedName>
    <definedName name="IQ_PREF_OTHER">"c1053"</definedName>
    <definedName name="IQ_PREF_OTHER_BNK">"c1054"</definedName>
    <definedName name="IQ_PREF_OTHER_BR">"c1055"</definedName>
    <definedName name="IQ_PREF_OTHER_FIN">"c1056"</definedName>
    <definedName name="IQ_PREF_OTHER_INS">"c1057"</definedName>
    <definedName name="IQ_PREF_OTHER_RE">"c6262"</definedName>
    <definedName name="IQ_PREF_OTHER_REIT">"c1058"</definedName>
    <definedName name="IQ_PREF_OTHER_UTI">"C6022"</definedName>
    <definedName name="IQ_PREF_REDEEM">"c1059"</definedName>
    <definedName name="IQ_PREF_REP">"c1060"</definedName>
    <definedName name="IQ_PREF_REP_BNK">"c1061"</definedName>
    <definedName name="IQ_PREF_REP_BR">"c1062"</definedName>
    <definedName name="IQ_PREF_REP_FIN">"c1063"</definedName>
    <definedName name="IQ_PREF_REP_INS">"c1064"</definedName>
    <definedName name="IQ_PREF_REP_RE">"c6263"</definedName>
    <definedName name="IQ_PREF_REP_REIT">"c1065"</definedName>
    <definedName name="IQ_PREF_REP_UTI">"c1066"</definedName>
    <definedName name="IQ_PREF_STOCK">"c1416"</definedName>
    <definedName name="IQ_PREF_TOT">"c1415"</definedName>
    <definedName name="IQ_PREFERRED_FDIC">"c6349"</definedName>
    <definedName name="IQ_PREMISES_EQUIPMENT_FDIC">"c6577"</definedName>
    <definedName name="IQ_PREMIUMS_ANNUITY_REV">"c1067"</definedName>
    <definedName name="IQ_PREPAID_CHURN">"c2120"</definedName>
    <definedName name="IQ_PREPAID_EXP">"c1068"</definedName>
    <definedName name="IQ_PREPAID_EXPEN">"c1418"</definedName>
    <definedName name="IQ_PREPAID_SUBS">"c2117"</definedName>
    <definedName name="IQ_PRETAX_RETURN_ASSETS_FDIC">"c6731"</definedName>
    <definedName name="IQ_PRICE_OVER_BVPS">"c1412"</definedName>
    <definedName name="IQ_PRICE_OVER_LTM_EPS">"c1413"</definedName>
    <definedName name="IQ_PRICE_TARGET">"c82"</definedName>
    <definedName name="IQ_PRICE_TARGET_REUT">"c3631"</definedName>
    <definedName name="IQ_PRICEDATE">"c1069"</definedName>
    <definedName name="IQ_PRICING_DATE">"c1613"</definedName>
    <definedName name="IQ_PRIMARY_INDUSTRY">"c1070"</definedName>
    <definedName name="IQ_PRINCIPAL_AMT">"c2157"</definedName>
    <definedName name="IQ_PRIVATELY_ISSUED_MORTGAGE_BACKED_SECURITIES_FDIC">"c6407"</definedName>
    <definedName name="IQ_PRIVATELY_ISSUED_MORTGAGE_PASS_THROUGHS_FDIC">"c6405"</definedName>
    <definedName name="IQ_PRO_FORMA_BASIC_EPS">"c1614"</definedName>
    <definedName name="IQ_PRO_FORMA_DILUT_EPS">"c1615"</definedName>
    <definedName name="IQ_PRO_FORMA_NET_INC">"c1452"</definedName>
    <definedName name="IQ_PROFESSIONAL">"c1071"</definedName>
    <definedName name="IQ_PROFESSIONAL_TITLE">"c1072"</definedName>
    <definedName name="IQ_PROJECTED_PENSION_OBLIGATION">"c1292"</definedName>
    <definedName name="IQ_PROJECTED_PENSION_OBLIGATION_DOMESTIC">"c2656"</definedName>
    <definedName name="IQ_PROJECTED_PENSION_OBLIGATION_FOREIGN">"c2664"</definedName>
    <definedName name="IQ_PROPERTY_EXP">"c1073"</definedName>
    <definedName name="IQ_PROPERTY_GROSS">"c1379"</definedName>
    <definedName name="IQ_PROPERTY_MGMT_FEE">"c1074"</definedName>
    <definedName name="IQ_PROPERTY_NET">"c1402"</definedName>
    <definedName name="IQ_PROV_BAD_DEBTS">"c1075"</definedName>
    <definedName name="IQ_PROV_BAD_DEBTS_CF">"c1076"</definedName>
    <definedName name="IQ_PROVISION_10YR_ANN_CAGR">"c6135"</definedName>
    <definedName name="IQ_PROVISION_10YR_ANN_GROWTH">"c1077"</definedName>
    <definedName name="IQ_PROVISION_1YR_ANN_GROWTH">"c1078"</definedName>
    <definedName name="IQ_PROVISION_2YR_ANN_CAGR">"c6136"</definedName>
    <definedName name="IQ_PROVISION_2YR_ANN_GROWTH">"c1079"</definedName>
    <definedName name="IQ_PROVISION_3YR_ANN_CAGR">"c6137"</definedName>
    <definedName name="IQ_PROVISION_3YR_ANN_GROWTH">"c1080"</definedName>
    <definedName name="IQ_PROVISION_5YR_ANN_CAGR">"c6138"</definedName>
    <definedName name="IQ_PROVISION_5YR_ANN_GROWTH">"c1081"</definedName>
    <definedName name="IQ_PROVISION_7YR_ANN_CAGR">"c6139"</definedName>
    <definedName name="IQ_PROVISION_7YR_ANN_GROWTH">"c1082"</definedName>
    <definedName name="IQ_PROVISION_CHARGE_OFFS">"c1083"</definedName>
    <definedName name="IQ_PTBV">"c1084"</definedName>
    <definedName name="IQ_PTBV_AVG">"c1085"</definedName>
    <definedName name="IQ_PURCHASE_FOREIGN_CURRENCIES_FDIC">"c6513"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T_DATE_SCHEDULE">"c2483"</definedName>
    <definedName name="IQ_PUT_NOTIFICATION">"c2485"</definedName>
    <definedName name="IQ_PUT_PRICE_SCHEDULE">"c2484"</definedName>
    <definedName name="IQ_QUICK_RATIO">"c1086"</definedName>
    <definedName name="IQ_RATE_COMP_GROWTH_DOMESTIC">"c1087"</definedName>
    <definedName name="IQ_RATE_COMP_GROWTH_FOREIGN">"c1088"</definedName>
    <definedName name="IQ_RAW_INV">"c1089"</definedName>
    <definedName name="IQ_RC">"c2497"</definedName>
    <definedName name="IQ_RC_PCT">"c2498"</definedName>
    <definedName name="IQ_RD_EXP">"c1090"</definedName>
    <definedName name="IQ_RD_EXP_FN">"c1091"</definedName>
    <definedName name="IQ_RE">"c1092"</definedName>
    <definedName name="IQ_RE_FORECLOSURE_FDIC">"c6332"</definedName>
    <definedName name="IQ_RE_INVEST_FDIC">"c6331"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AL_ESTATE">"c1093"</definedName>
    <definedName name="IQ_REAL_ESTATE_ASSETS">"c1094"</definedName>
    <definedName name="IQ_RECOVERIES_1_4_FAMILY_LOANS_FDIC">"c6707"</definedName>
    <definedName name="IQ_RECOVERIES_AUTO_LOANS_FDIC">"c6701"</definedName>
    <definedName name="IQ_RECOVERIES_CL_LOANS_FDIC">"c6702"</definedName>
    <definedName name="IQ_RECOVERIES_CREDIT_CARDS_RECEIVABLES_FDIC">"c6704"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CURRING_PROFIT_ACT_OR_EST">"c4507"</definedName>
    <definedName name="IQ_RECURRING_PROFIT_SHARE_ACT_OR_EST">"c4508"</definedName>
    <definedName name="IQ_REDEEM_PREF_STOCK">"c1417"</definedName>
    <definedName name="IQ_REG_ASSETS">"c1095"</definedName>
    <definedName name="IQ_REINSUR_PAY">"c1096"</definedName>
    <definedName name="IQ_REINSUR_PAY_CF">"c1097"</definedName>
    <definedName name="IQ_REINSUR_RECOVER">"c1098"</definedName>
    <definedName name="IQ_REINSUR_RECOVER_CF">"c1099"</definedName>
    <definedName name="IQ_REINSURANCE">"c1100"</definedName>
    <definedName name="IQ_RELATED_PLANS_FDIC">"c6320"</definedName>
    <definedName name="IQ_RENTAL_REV">"c1101"</definedName>
    <definedName name="IQ_RESEARCH_DEV">"c1419"</definedName>
    <definedName name="IQ_RESIDENTIAL_LOANS">"c1102"</definedName>
    <definedName name="IQ_RESTATEMENT_BS">"c1643"</definedName>
    <definedName name="IQ_RESTATEMENT_CF">"c1644"</definedName>
    <definedName name="IQ_RESTATEMENT_IS">"c1642"</definedName>
    <definedName name="IQ_RESTATEMENTS_NET_FDIC">"c6500"</definedName>
    <definedName name="IQ_RESTR_STOCK_COMP">"c3506"</definedName>
    <definedName name="IQ_RESTR_STOCK_COMP_PRETAX">"c3504"</definedName>
    <definedName name="IQ_RESTR_STOCK_COMP_TAX">"c3505"</definedName>
    <definedName name="IQ_RESTRICTED_CASH">"c1103"</definedName>
    <definedName name="IQ_RESTRICTED_CASH_NON_CURRENT">"c6192"</definedName>
    <definedName name="IQ_RESTRICTED_CASH_TOTAL">"c6193"</definedName>
    <definedName name="IQ_RESTRUCTURE">"c1104"</definedName>
    <definedName name="IQ_RESTRUCTURE_BNK">"c1105"</definedName>
    <definedName name="IQ_RESTRUCTURE_BR">"c1106"</definedName>
    <definedName name="IQ_RESTRUCTURE_CF">"c1107"</definedName>
    <definedName name="IQ_RESTRUCTURE_FIN">"c1108"</definedName>
    <definedName name="IQ_RESTRUCTURE_INS">"c1109"</definedName>
    <definedName name="IQ_RESTRUCTURE_RE">"c6264"</definedName>
    <definedName name="IQ_RESTRUCTURE_REIT">"c1110"</definedName>
    <definedName name="IQ_RESTRUCTURE_UTI">"c1111"</definedName>
    <definedName name="IQ_RESTRUCTURED_LOANS">"c1112"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ACQUIRED_FRANCHISE_STORES">"c2895"</definedName>
    <definedName name="IQ_RETAIL_ACQUIRED_OWNED_STORES">"c2903"</definedName>
    <definedName name="IQ_RETAIL_ACQUIRED_STORES">"c2887"</definedName>
    <definedName name="IQ_RETAIL_AVG_STORE_SIZE_GROSS">"c2066"</definedName>
    <definedName name="IQ_RETAIL_AVG_STORE_SIZE_NET">"c2067"</definedName>
    <definedName name="IQ_RETAIL_AVG_WK_SALES">"c2891"</definedName>
    <definedName name="IQ_RETAIL_AVG_WK_SALES_FRANCHISE">"c2899"</definedName>
    <definedName name="IQ_RETAIL_AVG_WK_SALES_OWNED">"c2907"</definedName>
    <definedName name="IQ_RETAIL_CLOSED_FRANCHISE_STORES">"c2896"</definedName>
    <definedName name="IQ_RETAIL_CLOSED_OWNED_STORES">"c2904"</definedName>
    <definedName name="IQ_RETAIL_CLOSED_STORES">"c2063"</definedName>
    <definedName name="IQ_RETAIL_DEPOSITS_FDIC">"c6488"</definedName>
    <definedName name="IQ_RETAIL_FRANCHISE_STORES_BEG">"c2893"</definedName>
    <definedName name="IQ_RETAIL_OPENED_FRANCHISE_STORES">"c2894"</definedName>
    <definedName name="IQ_RETAIL_OPENED_OWNED_STORES">"c2902"</definedName>
    <definedName name="IQ_RETAIL_OPENED_STORES">"c2062"</definedName>
    <definedName name="IQ_RETAIL_OWNED_STORES_BEG">"c2901"</definedName>
    <definedName name="IQ_RETAIL_SALES_SQFT_ALL_GROSS">"c2138"</definedName>
    <definedName name="IQ_RETAIL_SALES_SQFT_ALL_NET">"c2139"</definedName>
    <definedName name="IQ_RETAIL_SALES_SQFT_COMPARABLE_GROSS">"c2136"</definedName>
    <definedName name="IQ_RETAIL_SALES_SQFT_COMPARABLE_NET">"c2137"</definedName>
    <definedName name="IQ_RETAIL_SALES_SQFT_OWNED_GROSS">"c2134"</definedName>
    <definedName name="IQ_RETAIL_SALES_SQFT_OWNED_NET">"c2135"</definedName>
    <definedName name="IQ_RETAIL_SOLD_FRANCHISE_STORES">"c2897"</definedName>
    <definedName name="IQ_RETAIL_SOLD_OWNED_STORES">"c2905"</definedName>
    <definedName name="IQ_RETAIL_SOLD_STORES">"c2889"</definedName>
    <definedName name="IQ_RETAIL_SQ_FOOTAGE">"c2064"</definedName>
    <definedName name="IQ_RETAIL_STORE_SELLING_AREA">"c2065"</definedName>
    <definedName name="IQ_RETAIL_STORES_BEG">"c2885"</definedName>
    <definedName name="IQ_RETAIL_TOTAL_FRANCHISE_STORES">"c2898"</definedName>
    <definedName name="IQ_RETAIL_TOTAL_OWNED_STORES">"c2906"</definedName>
    <definedName name="IQ_RETAIL_TOTAL_STORES">"c2061"</definedName>
    <definedName name="IQ_RETAINED_EARN">"c1420"</definedName>
    <definedName name="IQ_RETAINED_EARNINGS_AVERAGE_EQUITY_FDIC">"c6733"</definedName>
    <definedName name="IQ_RETURN_ASSETS">"c1113"</definedName>
    <definedName name="IQ_RETURN_ASSETS_BANK">"c1114"</definedName>
    <definedName name="IQ_RETURN_ASSETS_BROK">"c1115"</definedName>
    <definedName name="IQ_RETURN_ASSETS_FDIC">"c6730"</definedName>
    <definedName name="IQ_RETURN_ASSETS_FS">"c1116"</definedName>
    <definedName name="IQ_RETURN_CAPITAL">"c1117"</definedName>
    <definedName name="IQ_RETURN_EQUITY">"c1118"</definedName>
    <definedName name="IQ_RETURN_EQUITY_BANK">"c1119"</definedName>
    <definedName name="IQ_RETURN_EQUITY_BROK">"c1120"</definedName>
    <definedName name="IQ_RETURN_EQUITY_FDIC">"c6732"</definedName>
    <definedName name="IQ_RETURN_EQUITY_FS">"c1121"</definedName>
    <definedName name="IQ_RETURN_INVESTMENT">"c1421"</definedName>
    <definedName name="IQ_REV">"c1122"</definedName>
    <definedName name="IQ_REV_BEFORE_LL">"c1123"</definedName>
    <definedName name="IQ_REV_STDDEV_EST">"c1124"</definedName>
    <definedName name="IQ_REV_STDDEV_EST_REUT">"c3639"</definedName>
    <definedName name="IQ_REV_UTI">"c1125"</definedName>
    <definedName name="IQ_REVALUATION_GAINS_FDIC">"c6428"</definedName>
    <definedName name="IQ_REVALUATION_LOSSES_FDIC">"c6429"</definedName>
    <definedName name="IQ_REVENUE">"c1422"</definedName>
    <definedName name="IQ_REVENUE_ACT_OR_EST">"c2214"</definedName>
    <definedName name="IQ_REVENUE_EST">"c1126"</definedName>
    <definedName name="IQ_REVENUE_EST_REUT">"c3634"</definedName>
    <definedName name="IQ_REVENUE_HIGH_EST">"c1127"</definedName>
    <definedName name="IQ_REVENUE_HIGH_EST_REUT">"c3636"</definedName>
    <definedName name="IQ_REVENUE_LOW_EST">"c1128"</definedName>
    <definedName name="IQ_REVENUE_LOW_EST_REUT">"c3637"</definedName>
    <definedName name="IQ_REVENUE_MEDIAN_EST">"c1662"</definedName>
    <definedName name="IQ_REVENUE_MEDIAN_EST_REUT">"c3635"</definedName>
    <definedName name="IQ_REVENUE_NUM_EST">"c1129"</definedName>
    <definedName name="IQ_REVENUE_NUM_EST_REUT">"c3638"</definedName>
    <definedName name="IQ_REVISION_DATE_">39483.6273726852</definedName>
    <definedName name="IQ_RISK_ADJ_BANK_ASSETS">"c2670"</definedName>
    <definedName name="IQ_RISK_WEIGHTED_ASSETS_FDIC">"c6370"</definedName>
    <definedName name="IQ_SALARY">"c1130"</definedName>
    <definedName name="IQ_SALARY_FDIC">"c6576"</definedName>
    <definedName name="IQ_SALE_CONVERSION_RETIREMENT_STOCK_FDIC">"c6661"</definedName>
    <definedName name="IQ_SALE_INTAN_CF">"c1131"</definedName>
    <definedName name="IQ_SALE_INTAN_CF_BNK">"c1132"</definedName>
    <definedName name="IQ_SALE_INTAN_CF_BR">"c1133"</definedName>
    <definedName name="IQ_SALE_INTAN_CF_FIN">"c1134"</definedName>
    <definedName name="IQ_SALE_INTAN_CF_INS">"c1135"</definedName>
    <definedName name="IQ_SALE_INTAN_CF_RE">"c6284"</definedName>
    <definedName name="IQ_SALE_INTAN_CF_REIT">"c1627"</definedName>
    <definedName name="IQ_SALE_INTAN_CF_UTI">"c1136"</definedName>
    <definedName name="IQ_SALE_PPE_CF">"c1137"</definedName>
    <definedName name="IQ_SALE_PPE_CF_BNK">"c1138"</definedName>
    <definedName name="IQ_SALE_PPE_CF_BR">"c1139"</definedName>
    <definedName name="IQ_SALE_PPE_CF_FIN">"c1140"</definedName>
    <definedName name="IQ_SALE_PPE_CF_INS">"c1141"</definedName>
    <definedName name="IQ_SALE_PPE_CF_UTI">"c1142"</definedName>
    <definedName name="IQ_SALE_RE_ASSETS">"c1629"</definedName>
    <definedName name="IQ_SALE_REAL_ESTATE_CF">"c1143"</definedName>
    <definedName name="IQ_SALE_REAL_ESTATE_CF_BNK">"c1144"</definedName>
    <definedName name="IQ_SALE_REAL_ESTATE_CF_BR">"c1145"</definedName>
    <definedName name="IQ_SALE_REAL_ESTATE_CF_FIN">"c1146"</definedName>
    <definedName name="IQ_SALE_REAL_ESTATE_CF_INS">"c1147"</definedName>
    <definedName name="IQ_SALE_REAL_ESTATE_CF_UTI">"c1148"</definedName>
    <definedName name="IQ_SALES_MARKETING">"c2240"</definedName>
    <definedName name="IQ_SAME_STORE">"c1149"</definedName>
    <definedName name="IQ_SAME_STORE_FRANCHISE">"c2900"</definedName>
    <definedName name="IQ_SAME_STORE_OWNED">"c2908"</definedName>
    <definedName name="IQ_SAME_STORE_TOTAL">"c2892"</definedName>
    <definedName name="IQ_SAVING_DEP">"c1150"</definedName>
    <definedName name="IQ_SEC_PURCHASED_RESELL">"c5513"</definedName>
    <definedName name="IQ_SECUR_RECEIV">"c1151"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DEBT">"c2546"</definedName>
    <definedName name="IQ_SECURED_DEBT_PCT">"c2547"</definedName>
    <definedName name="IQ_SECURED_FARMLAND_CHARGE_OFFS_FDIC">"c6593"</definedName>
    <definedName name="IQ_SECURED_FARMLAND_NET_CHARGE_OFFS_FDIC">"c6631"</definedName>
    <definedName name="IQ_SECURED_FARMLAND_RECOVERIES_FDIC">"c6612"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GAINS_FDIC">"c6584"</definedName>
    <definedName name="IQ_SECURITIES_ISSUED_STATES_FDIC">"c6300"</definedName>
    <definedName name="IQ_SECURITIES_LENT_FDIC">"c6532"</definedName>
    <definedName name="IQ_SECURITIES_UNDERWRITING_FDIC">"c6529"</definedName>
    <definedName name="IQ_SECURITY_BORROW">"c1152"</definedName>
    <definedName name="IQ_SECURITY_LEVEL">"c2159"</definedName>
    <definedName name="IQ_SECURITY_NOTES">"c2202"</definedName>
    <definedName name="IQ_SECURITY_OWN">"c1153"</definedName>
    <definedName name="IQ_SECURITY_RESELL">"c1154"</definedName>
    <definedName name="IQ_SECURITY_TYPE">"c2158"</definedName>
    <definedName name="IQ_SEPARATE_ACCT_ASSETS">"c1155"</definedName>
    <definedName name="IQ_SEPARATE_ACCT_LIAB">"c1156"</definedName>
    <definedName name="IQ_SERV_CHARGE_DEPOSITS">"c1157"</definedName>
    <definedName name="IQ_SERVICE_CHARGES_FDIC">"c6572"</definedName>
    <definedName name="IQ_SGA">"c1158"</definedName>
    <definedName name="IQ_SGA_BNK">"c1159"</definedName>
    <definedName name="IQ_SGA_INS">"c1160"</definedName>
    <definedName name="IQ_SGA_MARGIN">"c1898"</definedName>
    <definedName name="IQ_SGA_RE">"c6265"</definedName>
    <definedName name="IQ_SGA_REIT">"c1161"</definedName>
    <definedName name="IQ_SGA_SUPPL">"c1162"</definedName>
    <definedName name="IQ_SGA_UTI">"c1163"</definedName>
    <definedName name="IQ_SHAREOUTSTANDING">"c1347"</definedName>
    <definedName name="IQ_SHARES_PURCHASED_AVERAGE_PRICE">"c5821"</definedName>
    <definedName name="IQ_SHARES_PURCHASED_QUARTER">"c5820"</definedName>
    <definedName name="IQ_SHARESOUTSTANDING">"c1164"</definedName>
    <definedName name="IQ_SHORT_INTEREST">"c1165"</definedName>
    <definedName name="IQ_SHORT_INTEREST_OVER_FLOAT">"c1577"</definedName>
    <definedName name="IQ_SHORT_INTEREST_PERCENT">"c1576"</definedName>
    <definedName name="IQ_SHORT_TERM_INVEST">"c1425"</definedName>
    <definedName name="IQ_SMALL_INT_BEAR_CD">"c1166"</definedName>
    <definedName name="IQ_SOFTWARE">"c1167"</definedName>
    <definedName name="IQ_SOURCE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>"c2174"</definedName>
    <definedName name="IQ_SP_STATUS">"c2173"</definedName>
    <definedName name="IQ_SPECIAL_DIV_CF">"c1169"</definedName>
    <definedName name="IQ_SPECIAL_DIV_CF_BNK">"c1170"</definedName>
    <definedName name="IQ_SPECIAL_DIV_CF_BR">"c1171"</definedName>
    <definedName name="IQ_SPECIAL_DIV_CF_FIN">"c1172"</definedName>
    <definedName name="IQ_SPECIAL_DIV_CF_INS">"c1173"</definedName>
    <definedName name="IQ_SPECIAL_DIV_CF_RE">"c6266"</definedName>
    <definedName name="IQ_SPECIAL_DIV_CF_REIT">"c1174"</definedName>
    <definedName name="IQ_SPECIAL_DIV_CF_UTI">"c1175"</definedName>
    <definedName name="IQ_SPECIAL_DIV_SHARE">"c3007"</definedName>
    <definedName name="IQ_SR_BONDS_NOTES">"c2501"</definedName>
    <definedName name="IQ_SR_BONDS_NOTES_PCT">"c2502"</definedName>
    <definedName name="IQ_SR_DEBT">"c2526"</definedName>
    <definedName name="IQ_SR_DEBT_EBITDA">"c2552"</definedName>
    <definedName name="IQ_SR_DEBT_EBITDA_CAPEX">"c2553"</definedName>
    <definedName name="IQ_SR_DEBT_PCT">"c2527"</definedName>
    <definedName name="IQ_SR_SUB_DEBT">"c2530"</definedName>
    <definedName name="IQ_SR_SUB_DEBT_EBITDA">"c2556"</definedName>
    <definedName name="IQ_SR_SUB_DEBT_EBITDA_CAPEX">"c2557"</definedName>
    <definedName name="IQ_SR_SUB_DEBT_PCT">"c2531"</definedName>
    <definedName name="IQ_ST_DEBT">"c1176"</definedName>
    <definedName name="IQ_ST_DEBT_BNK">"c1177"</definedName>
    <definedName name="IQ_ST_DEBT_BR">"c1178"</definedName>
    <definedName name="IQ_ST_DEBT_FIN">"c1179"</definedName>
    <definedName name="IQ_ST_DEBT_INS">"c1180"</definedName>
    <definedName name="IQ_ST_DEBT_ISSUED">"c1181"</definedName>
    <definedName name="IQ_ST_DEBT_ISSUED_BNK">"c1182"</definedName>
    <definedName name="IQ_ST_DEBT_ISSUED_BR">"c1183"</definedName>
    <definedName name="IQ_ST_DEBT_ISSUED_FIN">"c1184"</definedName>
    <definedName name="IQ_ST_DEBT_ISSUED_INS">"c1185"</definedName>
    <definedName name="IQ_ST_DEBT_ISSUED_RE">"c6267"</definedName>
    <definedName name="IQ_ST_DEBT_ISSUED_REIT">"c1186"</definedName>
    <definedName name="IQ_ST_DEBT_ISSUED_UTI">"c1187"</definedName>
    <definedName name="IQ_ST_DEBT_PCT">"c2539"</definedName>
    <definedName name="IQ_ST_DEBT_RE">"c6268"</definedName>
    <definedName name="IQ_ST_DEBT_REIT">"c1188"</definedName>
    <definedName name="IQ_ST_DEBT_REPAID">"c1189"</definedName>
    <definedName name="IQ_ST_DEBT_REPAID_BNK">"c1190"</definedName>
    <definedName name="IQ_ST_DEBT_REPAID_BR">"c1191"</definedName>
    <definedName name="IQ_ST_DEBT_REPAID_FIN">"c1192"</definedName>
    <definedName name="IQ_ST_DEBT_REPAID_INS">"c1193"</definedName>
    <definedName name="IQ_ST_DEBT_REPAID_RE">"c6269"</definedName>
    <definedName name="IQ_ST_DEBT_REPAID_REIT">"c1194"</definedName>
    <definedName name="IQ_ST_DEBT_REPAID_UTI">"c1195"</definedName>
    <definedName name="IQ_ST_DEBT_UTI">"c1196"</definedName>
    <definedName name="IQ_ST_FHLB_DEBT">"c5658"</definedName>
    <definedName name="IQ_ST_INVEST">"c1197"</definedName>
    <definedName name="IQ_ST_INVEST_UTI">"c1198"</definedName>
    <definedName name="IQ_ST_NOTE_RECEIV">"c1199"</definedName>
    <definedName name="IQ_STATE">"c1200"</definedName>
    <definedName name="IQ_STATES_NONTRANSACTION_ACCOUNTS_FDIC">"c6547"</definedName>
    <definedName name="IQ_STATES_TOTAL_DEPOSITS_FDIC">"c6473"</definedName>
    <definedName name="IQ_STATES_TRANSACTION_ACCOUNTS_FDIC">"c6539"</definedName>
    <definedName name="IQ_STATUTORY_SURPLUS">"c1201"</definedName>
    <definedName name="IQ_STOCK_BASED">"c1202"</definedName>
    <definedName name="IQ_STOCK_BASED_AT">"c2999"</definedName>
    <definedName name="IQ_STOCK_BASED_CF">"c1203"</definedName>
    <definedName name="IQ_STOCK_BASED_COGS">"c2990"</definedName>
    <definedName name="IQ_STOCK_BASED_COMP">"c3512"</definedName>
    <definedName name="IQ_STOCK_BASED_COMP_PRETAX">"c3510"</definedName>
    <definedName name="IQ_STOCK_BASED_COMP_TAX">"c3511"</definedName>
    <definedName name="IQ_STOCK_BASED_GA">"c2993"</definedName>
    <definedName name="IQ_STOCK_BASED_OTHER">"c2995"</definedName>
    <definedName name="IQ_STOCK_BASED_RD">"c2991"</definedName>
    <definedName name="IQ_STOCK_BASED_SGA">"c2994"</definedName>
    <definedName name="IQ_STOCK_BASED_SM">"c2992"</definedName>
    <definedName name="IQ_STOCK_BASED_TOTAL">"c3040"</definedName>
    <definedName name="IQ_STOCK_OPTIONS_COMP">"c3509"</definedName>
    <definedName name="IQ_STOCK_OPTIONS_COMP_PRETAX">"c3507"</definedName>
    <definedName name="IQ_STOCK_OPTIONS_COMP_TAX">"c3508"</definedName>
    <definedName name="IQ_STRATEGY_NOTE">"c6791"</definedName>
    <definedName name="IQ_STRIKE_PRICE_ISSUED">"c1645"</definedName>
    <definedName name="IQ_STRIKE_PRICE_OS">"c1646"</definedName>
    <definedName name="IQ_STW">"c2166"</definedName>
    <definedName name="IQ_SUB_BONDS_NOTES">"c2503"</definedName>
    <definedName name="IQ_SUB_BONDS_NOTES_PCT">"c2504"</definedName>
    <definedName name="IQ_SUB_DEBT">"c2532"</definedName>
    <definedName name="IQ_SUB_DEBT_EBITDA">"c2558"</definedName>
    <definedName name="IQ_SUB_DEBT_EBITDA_CAPEX">"c2559"</definedName>
    <definedName name="IQ_SUB_DEBT_FDIC">"c6346"</definedName>
    <definedName name="IQ_SUB_DEBT_PCT">"c2533"</definedName>
    <definedName name="IQ_SUB_LEASE_AFTER_FIVE">"c1207"</definedName>
    <definedName name="IQ_SUB_LEASE_INC_CY">"c1208"</definedName>
    <definedName name="IQ_SUB_LEASE_INC_CY1">"c1209"</definedName>
    <definedName name="IQ_SUB_LEASE_INC_CY2">"c1210"</definedName>
    <definedName name="IQ_SUB_LEASE_INC_CY3">"c1211"</definedName>
    <definedName name="IQ_SUB_LEASE_INC_CY4">"c1212"</definedName>
    <definedName name="IQ_SUB_LEASE_NEXT_FIVE">"c1213"</definedName>
    <definedName name="IQ_SURPLUS_FDIC">"c6351"</definedName>
    <definedName name="IQ_SVA">"c1214"</definedName>
    <definedName name="IQ_TARGET_PRICE_NUM">"c1653"</definedName>
    <definedName name="IQ_TARGET_PRICE_NUM_REUT">"c5319"</definedName>
    <definedName name="IQ_TARGET_PRICE_STDDEV">"c1654"</definedName>
    <definedName name="IQ_TARGET_PRICE_STDDEV_REUT">"c5320"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>"c1215"</definedName>
    <definedName name="IQ_TAX_EQUIV_NET_INT_INC">"c1216"</definedName>
    <definedName name="IQ_TBV">"c1906"</definedName>
    <definedName name="IQ_TBV_10YR_ANN_CAGR">"c6169"</definedName>
    <definedName name="IQ_TBV_10YR_ANN_GROWTH">"c1936"</definedName>
    <definedName name="IQ_TBV_1YR_ANN_GROWTH">"c1931"</definedName>
    <definedName name="IQ_TBV_2YR_ANN_CAGR">"c6165"</definedName>
    <definedName name="IQ_TBV_2YR_ANN_GROWTH">"c1932"</definedName>
    <definedName name="IQ_TBV_3YR_ANN_CAGR">"c6166"</definedName>
    <definedName name="IQ_TBV_3YR_ANN_GROWTH">"c1933"</definedName>
    <definedName name="IQ_TBV_5YR_ANN_CAGR">"c6167"</definedName>
    <definedName name="IQ_TBV_5YR_ANN_GROWTH">"c1934"</definedName>
    <definedName name="IQ_TBV_7YR_ANN_CAGR">"c6168"</definedName>
    <definedName name="IQ_TBV_7YR_ANN_GROWTH">"c1935"</definedName>
    <definedName name="IQ_TBV_SHARE">"c1217"</definedName>
    <definedName name="IQ_TEMPLATE">"c1521"</definedName>
    <definedName name="IQ_TENANT">"c1218"</definedName>
    <definedName name="IQ_TERM_LOANS">"c2499"</definedName>
    <definedName name="IQ_TERM_LOANS_PCT">"c2500"</definedName>
    <definedName name="IQ_TEV">"c1219"</definedName>
    <definedName name="IQ_TEV_EBIT">"c1220"</definedName>
    <definedName name="IQ_TEV_EBIT_AVG">"c1221"</definedName>
    <definedName name="IQ_TEV_EBITDA">"c1222"</definedName>
    <definedName name="IQ_TEV_EBITDA_AVG">"c1223"</definedName>
    <definedName name="IQ_TEV_EBITDA_FWD">"c1224"</definedName>
    <definedName name="IQ_TEV_EBITDA_FWD_REUT">"c4050"</definedName>
    <definedName name="IQ_TEV_EMPLOYEE_AVG">"c1225"</definedName>
    <definedName name="IQ_TEV_TOTAL_REV">"c1226"</definedName>
    <definedName name="IQ_TEV_TOTAL_REV_AVG">"c1227"</definedName>
    <definedName name="IQ_TEV_TOTAL_REV_FWD">"c1228"</definedName>
    <definedName name="IQ_TEV_TOTAL_REV_FWD_REUT">"c4051"</definedName>
    <definedName name="IQ_TEV_UFCF">"c2208"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RISK_BASED_CAPITAL_RATIO_FDIC">"c6746"</definedName>
    <definedName name="IQ_TIER_ONE_CAPITAL">"c2667"</definedName>
    <definedName name="IQ_TIER_ONE_FDIC">"c6369"</definedName>
    <definedName name="IQ_TIER_ONE_RATIO">"c1229"</definedName>
    <definedName name="IQ_TIER_TWO_CAPITAL">"c2669"</definedName>
    <definedName name="IQ_TIME_DEP">"c1230"</definedName>
    <definedName name="IQ_TIME_DEPOSITS_LESS_THAN_100K_FDIC">"c6465"</definedName>
    <definedName name="IQ_TIME_DEPOSITS_MORE_THAN_100K_FDIC">"c6470"</definedName>
    <definedName name="IQ_TODAY">0</definedName>
    <definedName name="IQ_TOT_ADJ_INC">"c1616"</definedName>
    <definedName name="IQ_TOTAL_AR_BR">"c1231"</definedName>
    <definedName name="IQ_TOTAL_AR_RE">"c6270"</definedName>
    <definedName name="IQ_TOTAL_AR_REIT">"c1232"</definedName>
    <definedName name="IQ_TOTAL_AR_UTI">"c1233"</definedName>
    <definedName name="IQ_TOTAL_ASSETS">"c1234"</definedName>
    <definedName name="IQ_TOTAL_ASSETS_10YR_ANN_CAGR">"c6140"</definedName>
    <definedName name="IQ_TOTAL_ASSETS_10YR_ANN_GROWTH">"c1235"</definedName>
    <definedName name="IQ_TOTAL_ASSETS_1YR_ANN_GROWTH">"c1236"</definedName>
    <definedName name="IQ_TOTAL_ASSETS_2YR_ANN_CAGR">"c6141"</definedName>
    <definedName name="IQ_TOTAL_ASSETS_2YR_ANN_GROWTH">"c1237"</definedName>
    <definedName name="IQ_TOTAL_ASSETS_3YR_ANN_CAGR">"c6142"</definedName>
    <definedName name="IQ_TOTAL_ASSETS_3YR_ANN_GROWTH">"c1238"</definedName>
    <definedName name="IQ_TOTAL_ASSETS_5YR_ANN_CAGR">"c6143"</definedName>
    <definedName name="IQ_TOTAL_ASSETS_5YR_ANN_GROWTH">"c1239"</definedName>
    <definedName name="IQ_TOTAL_ASSETS_7YR_ANN_CAGR">"c6144"</definedName>
    <definedName name="IQ_TOTAL_ASSETS_7YR_ANN_GROWTH">"c1240"</definedName>
    <definedName name="IQ_TOTAL_ASSETS_FDIC">"c6339"</definedName>
    <definedName name="IQ_TOTAL_AVG_CE_TOTAL_AVG_ASSETS">"c1241"</definedName>
    <definedName name="IQ_TOTAL_AVG_EQUITY_TOTAL_AVG_ASSETS">"c1242"</definedName>
    <definedName name="IQ_TOTAL_BANK_CAPITAL">"c2668"</definedName>
    <definedName name="IQ_TOTAL_CA">"c1243"</definedName>
    <definedName name="IQ_TOTAL_CAP">"c1507"</definedName>
    <definedName name="IQ_TOTAL_CAPITAL_RATIO">"c1244"</definedName>
    <definedName name="IQ_TOTAL_CASH_DIVID">"c1455"</definedName>
    <definedName name="IQ_TOTAL_CASH_FINAN">"c1352"</definedName>
    <definedName name="IQ_TOTAL_CASH_INVEST">"c1353"</definedName>
    <definedName name="IQ_TOTAL_CASH_OPER">"c1354"</definedName>
    <definedName name="IQ_TOTAL_CHARGE_OFFS_FDIC">"c6603"</definedName>
    <definedName name="IQ_TOTAL_CHURN">"c2122"</definedName>
    <definedName name="IQ_TOTAL_CL">"c1245"</definedName>
    <definedName name="IQ_TOTAL_COMMON">"c1411"</definedName>
    <definedName name="IQ_TOTAL_COMMON_EQUITY">"c1246"</definedName>
    <definedName name="IQ_TOTAL_CURRENT_ASSETS">"c1430"</definedName>
    <definedName name="IQ_TOTAL_CURRENT_LIAB">"c1431"</definedName>
    <definedName name="IQ_TOTAL_DEBT">"c1247"</definedName>
    <definedName name="IQ_TOTAL_DEBT_CAPITAL">"c1248"</definedName>
    <definedName name="IQ_TOTAL_DEBT_EBITDA">"c1249"</definedName>
    <definedName name="IQ_TOTAL_DEBT_EBITDA_CAPEX">"c2948"</definedName>
    <definedName name="IQ_TOTAL_DEBT_EQUITY">"c1250"</definedName>
    <definedName name="IQ_TOTAL_DEBT_EXCL_FIN">"c2937"</definedName>
    <definedName name="IQ_TOTAL_DEBT_ISSUED">"c1251"</definedName>
    <definedName name="IQ_TOTAL_DEBT_ISSUED_BNK">"c1252"</definedName>
    <definedName name="IQ_TOTAL_DEBT_ISSUED_BR">"c1253"</definedName>
    <definedName name="IQ_TOTAL_DEBT_ISSUED_FIN">"c1254"</definedName>
    <definedName name="IQ_TOTAL_DEBT_ISSUED_RE">"c6271"</definedName>
    <definedName name="IQ_TOTAL_DEBT_ISSUED_REIT">"c1255"</definedName>
    <definedName name="IQ_TOTAL_DEBT_ISSUED_UTI">"c1256"</definedName>
    <definedName name="IQ_TOTAL_DEBT_ISSUES_INS">"c1257"</definedName>
    <definedName name="IQ_TOTAL_DEBT_OVER_EBITDA">"c1433"</definedName>
    <definedName name="IQ_TOTAL_DEBT_OVER_TOTAL_BV">"c1434"</definedName>
    <definedName name="IQ_TOTAL_DEBT_OVER_TOTAL_CAP">"c1432"</definedName>
    <definedName name="IQ_TOTAL_DEBT_REPAID">"c1258"</definedName>
    <definedName name="IQ_TOTAL_DEBT_REPAID_BNK">"c1259"</definedName>
    <definedName name="IQ_TOTAL_DEBT_REPAID_BR">"c1260"</definedName>
    <definedName name="IQ_TOTAL_DEBT_REPAID_FIN">"c1261"</definedName>
    <definedName name="IQ_TOTAL_DEBT_REPAID_INS">"c1262"</definedName>
    <definedName name="IQ_TOTAL_DEBT_REPAID_RE">"c6272"</definedName>
    <definedName name="IQ_TOTAL_DEBT_REPAID_REIT">"c1263"</definedName>
    <definedName name="IQ_TOTAL_DEBT_REPAID_UTI">"c1264"</definedName>
    <definedName name="IQ_TOTAL_DEBT_SECURITIES_FDIC">"c6410"</definedName>
    <definedName name="IQ_TOTAL_DEPOSITS">"c1265"</definedName>
    <definedName name="IQ_TOTAL_DEPOSITS_FDIC">"c6342"</definedName>
    <definedName name="IQ_TOTAL_DIV_PAID_CF">"c1266"</definedName>
    <definedName name="IQ_TOTAL_EMPLOYEE">"c2141"</definedName>
    <definedName name="IQ_TOTAL_EMPLOYEES">"c1522"</definedName>
    <definedName name="IQ_TOTAL_EMPLOYEES_FDIC">"c6355"</definedName>
    <definedName name="IQ_TOTAL_EQUITY">"c1267"</definedName>
    <definedName name="IQ_TOTAL_EQUITY_10YR_ANN_CAGR">"c6145"</definedName>
    <definedName name="IQ_TOTAL_EQUITY_10YR_ANN_GROWTH">"c1268"</definedName>
    <definedName name="IQ_TOTAL_EQUITY_1YR_ANN_GROWTH">"c1269"</definedName>
    <definedName name="IQ_TOTAL_EQUITY_2YR_ANN_CAGR">"c6146"</definedName>
    <definedName name="IQ_TOTAL_EQUITY_2YR_ANN_GROWTH">"c1270"</definedName>
    <definedName name="IQ_TOTAL_EQUITY_3YR_ANN_CAGR">"c6147"</definedName>
    <definedName name="IQ_TOTAL_EQUITY_3YR_ANN_GROWTH">"c1271"</definedName>
    <definedName name="IQ_TOTAL_EQUITY_5YR_ANN_CAGR">"c6148"</definedName>
    <definedName name="IQ_TOTAL_EQUITY_5YR_ANN_GROWTH">"c1272"</definedName>
    <definedName name="IQ_TOTAL_EQUITY_7YR_ANN_CAGR">"c6149"</definedName>
    <definedName name="IQ_TOTAL_EQUITY_7YR_ANN_GROWTH">"c1273"</definedName>
    <definedName name="IQ_TOTAL_EQUITY_ALLOWANCE_TOTAL_LOANS">"c1274"</definedName>
    <definedName name="IQ_TOTAL_INTEREST_EXP">"c1382"</definedName>
    <definedName name="IQ_TOTAL_INVENTORY">"c1385"</definedName>
    <definedName name="IQ_TOTAL_INVEST">"c1275"</definedName>
    <definedName name="IQ_TOTAL_LIAB">"c1276"</definedName>
    <definedName name="IQ_TOTAL_LIAB_BNK">"c1277"</definedName>
    <definedName name="IQ_TOTAL_LIAB_BR">"c1278"</definedName>
    <definedName name="IQ_TOTAL_LIAB_EQUITY">"c1279"</definedName>
    <definedName name="IQ_TOTAL_LIAB_EQUITY_FDIC">"c6354"</definedName>
    <definedName name="IQ_TOTAL_LIAB_FIN">"c1280"</definedName>
    <definedName name="IQ_TOTAL_LIAB_INS">"c1281"</definedName>
    <definedName name="IQ_TOTAL_LIAB_RE">"c6273"</definedName>
    <definedName name="IQ_TOTAL_LIAB_REIT">"c1282"</definedName>
    <definedName name="IQ_TOTAL_LIAB_SHAREHOLD">"c1435"</definedName>
    <definedName name="IQ_TOTAL_LIAB_TOTAL_ASSETS">"c1283"</definedName>
    <definedName name="IQ_TOTAL_LIABILITIES_FDIC">"c6348"</definedName>
    <definedName name="IQ_TOTAL_LOANS">"c5653"</definedName>
    <definedName name="IQ_TOTAL_LONG_DEBT">"c1617"</definedName>
    <definedName name="IQ_TOTAL_NON_REC">"c1444"</definedName>
    <definedName name="IQ_TOTAL_OPER_EXP_BR">"c1284"</definedName>
    <definedName name="IQ_TOTAL_OPER_EXP_FIN">"c1285"</definedName>
    <definedName name="IQ_TOTAL_OPER_EXP_INS">"c1286"</definedName>
    <definedName name="IQ_TOTAL_OPER_EXP_RE">"c6274"</definedName>
    <definedName name="IQ_TOTAL_OPER_EXP_REIT">"c1287"</definedName>
    <definedName name="IQ_TOTAL_OPER_EXP_UTI">"c1288"</definedName>
    <definedName name="IQ_TOTAL_OPER_EXPEN">"c1445"</definedName>
    <definedName name="IQ_TOTAL_OPTIONS_BEG_OS">"c2693"</definedName>
    <definedName name="IQ_TOTAL_OPTIONS_CANCELLED">"c2696"</definedName>
    <definedName name="IQ_TOTAL_OPTIONS_END_OS">"c2697"</definedName>
    <definedName name="IQ_TOTAL_OPTIONS_EXERCISABLE_END_OS">"c5819"</definedName>
    <definedName name="IQ_TOTAL_OPTIONS_EXERCISED">"c2695"</definedName>
    <definedName name="IQ_TOTAL_OPTIONS_GRANTED">"c2694"</definedName>
    <definedName name="IQ_TOTAL_OTHER_OPER">"c1289"</definedName>
    <definedName name="IQ_TOTAL_OUTSTANDING_BS_DATE">"c1022"</definedName>
    <definedName name="IQ_TOTAL_OUTSTANDING_FILING_DATE">"c2107"</definedName>
    <definedName name="IQ_TOTAL_PENSION_ASSETS">"c1290"</definedName>
    <definedName name="IQ_TOTAL_PENSION_ASSETS_DOMESTIC">"c2658"</definedName>
    <definedName name="IQ_TOTAL_PENSION_ASSETS_FOREIGN">"c2666"</definedName>
    <definedName name="IQ_TOTAL_PENSION_EXP">"c1291"</definedName>
    <definedName name="IQ_TOTAL_PRINCIPAL">"c2509"</definedName>
    <definedName name="IQ_TOTAL_PRINCIPAL_PCT">"c2510"</definedName>
    <definedName name="IQ_TOTAL_PROVED_RESERVES_NGL">"c2924"</definedName>
    <definedName name="IQ_TOTAL_PROVED_RESERVES_OIL">"c2040"</definedName>
    <definedName name="IQ_TOTAL_RECEIV">"c1293"</definedName>
    <definedName name="IQ_TOTAL_RECOVERIES_FDIC">"c6622"</definedName>
    <definedName name="IQ_TOTAL_REV">"c1294"</definedName>
    <definedName name="IQ_TOTAL_REV_10YR_ANN_CAGR">"c6150"</definedName>
    <definedName name="IQ_TOTAL_REV_10YR_ANN_GROWTH">"c1295"</definedName>
    <definedName name="IQ_TOTAL_REV_1YR_ANN_GROWTH">"c1296"</definedName>
    <definedName name="IQ_TOTAL_REV_2YR_ANN_CAGR">"c6151"</definedName>
    <definedName name="IQ_TOTAL_REV_2YR_ANN_GROWTH">"c1297"</definedName>
    <definedName name="IQ_TOTAL_REV_3YR_ANN_CAGR">"c6152"</definedName>
    <definedName name="IQ_TOTAL_REV_3YR_ANN_GROWTH">"c1298"</definedName>
    <definedName name="IQ_TOTAL_REV_5YR_ANN_CAGR">"c6153"</definedName>
    <definedName name="IQ_TOTAL_REV_5YR_ANN_GROWTH">"c1299"</definedName>
    <definedName name="IQ_TOTAL_REV_7YR_ANN_CAGR">"c6154"</definedName>
    <definedName name="IQ_TOTAL_REV_7YR_ANN_GROWTH">"c1300"</definedName>
    <definedName name="IQ_TOTAL_REV_AS_REPORTED">"c1301"</definedName>
    <definedName name="IQ_TOTAL_REV_BNK">"c1302"</definedName>
    <definedName name="IQ_TOTAL_REV_BNK_FDIC">"c6786"</definedName>
    <definedName name="IQ_TOTAL_REV_BR">"c1303"</definedName>
    <definedName name="IQ_TOTAL_REV_EMPLOYEE">"c1304"</definedName>
    <definedName name="IQ_TOTAL_REV_FIN">"c1305"</definedName>
    <definedName name="IQ_TOTAL_REV_INS">"c1306"</definedName>
    <definedName name="IQ_TOTAL_REV_RE">"c6275"</definedName>
    <definedName name="IQ_TOTAL_REV_REIT">"c1307"</definedName>
    <definedName name="IQ_TOTAL_REV_SHARE">"c1912"</definedName>
    <definedName name="IQ_TOTAL_REV_UTI">"c1308"</definedName>
    <definedName name="IQ_TOTAL_REVENUE">"c1436"</definedName>
    <definedName name="IQ_TOTAL_RISK_BASED_CAPITAL_RATIO_FDIC">"c6747"</definedName>
    <definedName name="IQ_TOTAL_SECURITIES_FDIC">"c6306"</definedName>
    <definedName name="IQ_TOTAL_SPECIAL">"c1618"</definedName>
    <definedName name="IQ_TOTAL_ST_BORROW">"c1424"</definedName>
    <definedName name="IQ_TOTAL_SUB_DEBT">"c2528"</definedName>
    <definedName name="IQ_TOTAL_SUB_DEBT_EBITDA">"c2554"</definedName>
    <definedName name="IQ_TOTAL_SUB_DEBT_EBITDA_CAPEX">"c2555"</definedName>
    <definedName name="IQ_TOTAL_SUB_DEBT_PCT">"c2529"</definedName>
    <definedName name="IQ_TOTAL_SUBS">"c2119"</definedName>
    <definedName name="IQ_TOTAL_TIME_DEPOSITS_FDIC">"c6497"</definedName>
    <definedName name="IQ_TOTAL_TIME_SAVINGS_DEPOSITS_FDIC">"c6498"</definedName>
    <definedName name="IQ_TOTAL_UNUSED_COMMITMENTS_FDIC">"c6536"</definedName>
    <definedName name="IQ_TOTAL_UNUSUAL">"c1508"</definedName>
    <definedName name="IQ_TOTAL_UNUSUAL_BNK">"c5516"</definedName>
    <definedName name="IQ_TOTAL_UNUSUAL_BR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>"c2719"</definedName>
    <definedName name="IQ_TOTAL_WARRANTS_CANCELLED">"c2722"</definedName>
    <definedName name="IQ_TOTAL_WARRANTS_END_OS">"c2723"</definedName>
    <definedName name="IQ_TOTAL_WARRANTS_EXERCISED">"c2721"</definedName>
    <definedName name="IQ_TOTAL_WARRANTS_ISSUED">"c2720"</definedName>
    <definedName name="IQ_TR_ACCT_METHOD">"c2363"</definedName>
    <definedName name="IQ_TR_ACQ_52_WK_HI_PCT">"c2348"</definedName>
    <definedName name="IQ_TR_ACQ_52_WK_LOW_PCT">"c2347"</definedName>
    <definedName name="IQ_TR_ACQ_CASH_ST_INVEST">"c2372"</definedName>
    <definedName name="IQ_TR_ACQ_CLOSEPRICE_1D">"c3027"</definedName>
    <definedName name="IQ_TR_ACQ_DILUT_EPS_EXCL">"c3028"</definedName>
    <definedName name="IQ_TR_ACQ_EARNING_CO">"c2379"</definedName>
    <definedName name="IQ_TR_ACQ_EBIT">"c2380"</definedName>
    <definedName name="IQ_TR_ACQ_EBIT_EQ_INC">"c3611"</definedName>
    <definedName name="IQ_TR_ACQ_EBITDA">"c2381"</definedName>
    <definedName name="IQ_TR_ACQ_EBITDA_EQ_INC">"c3610"</definedName>
    <definedName name="IQ_TR_ACQ_FILING_CURRENCY">"c3033"</definedName>
    <definedName name="IQ_TR_ACQ_FILINGDATE">"c3607"</definedName>
    <definedName name="IQ_TR_ACQ_MCAP_1DAY">"c2345"</definedName>
    <definedName name="IQ_TR_ACQ_MIN_INT">"c2374"</definedName>
    <definedName name="IQ_TR_ACQ_NET_DEBT">"c2373"</definedName>
    <definedName name="IQ_TR_ACQ_NI">"c2378"</definedName>
    <definedName name="IQ_TR_ACQ_PERIODDATE">"c3606"</definedName>
    <definedName name="IQ_TR_ACQ_PRICEDATE_1D">"c2346"</definedName>
    <definedName name="IQ_TR_ACQ_RETURN">"c2349"</definedName>
    <definedName name="IQ_TR_ACQ_STOCKYEARHIGH_1D">"c2343"</definedName>
    <definedName name="IQ_TR_ACQ_STOCKYEARLOW_1D">"c2344"</definedName>
    <definedName name="IQ_TR_ACQ_TOTAL_ASSETS">"c2371"</definedName>
    <definedName name="IQ_TR_ACQ_TOTAL_COMMON_EQ">"c2377"</definedName>
    <definedName name="IQ_TR_ACQ_TOTAL_DEBT">"c2376"</definedName>
    <definedName name="IQ_TR_ACQ_TOTAL_PREF">"c2375"</definedName>
    <definedName name="IQ_TR_ACQ_TOTAL_REV">"c2382"</definedName>
    <definedName name="IQ_TR_ADJ_SIZE">"c3024"</definedName>
    <definedName name="IQ_TR_ANN_DATE">"c2395"</definedName>
    <definedName name="IQ_TR_ANN_DATE_BL">"c2394"</definedName>
    <definedName name="IQ_TR_BID_DATE">"c2357"</definedName>
    <definedName name="IQ_TR_BLUESKY_FEES">"c2277"</definedName>
    <definedName name="IQ_TR_BUY_ACC_ADVISORS">"c3048"</definedName>
    <definedName name="IQ_TR_BUY_FIN_ADVISORS">"c3045"</definedName>
    <definedName name="IQ_TR_BUY_LEG_ADVISORS">"c2387"</definedName>
    <definedName name="IQ_TR_BUYER_ID">"c2404"</definedName>
    <definedName name="IQ_TR_BUYERNAME">"c2401"</definedName>
    <definedName name="IQ_TR_CANCELLED_DATE">"c2284"</definedName>
    <definedName name="IQ_TR_CASH_CONSID_PCT">"c2296"</definedName>
    <definedName name="IQ_TR_CASH_ST_INVEST">"c3025"</definedName>
    <definedName name="IQ_TR_CHANGE_CONTROL">"c2365"</definedName>
    <definedName name="IQ_TR_CLOSED_DATE">"c2283"</definedName>
    <definedName name="IQ_TR_CO_NET_PROCEEDS">"c2268"</definedName>
    <definedName name="IQ_TR_CO_NET_PROCEEDS_PCT">"c2270"</definedName>
    <definedName name="IQ_TR_COMMENTS">"c2383"</definedName>
    <definedName name="IQ_TR_CURRENCY">"c3016"</definedName>
    <definedName name="IQ_TR_DEAL_ATTITUDE">"c2364"</definedName>
    <definedName name="IQ_TR_DEAL_CONDITIONS">"c2367"</definedName>
    <definedName name="IQ_TR_DEAL_RESOLUTION">"c2391"</definedName>
    <definedName name="IQ_TR_DEAL_RESPONSES">"c2366"</definedName>
    <definedName name="IQ_TR_DEBT_CONSID_PCT">"c2299"</definedName>
    <definedName name="IQ_TR_DEF_AGRMT_DATE">"c2285"</definedName>
    <definedName name="IQ_TR_DISCLOSED_FEES_EXP">"c2288"</definedName>
    <definedName name="IQ_TR_EARNOUTS">"c3023"</definedName>
    <definedName name="IQ_TR_EXPIRED_DATE">"c2412"</definedName>
    <definedName name="IQ_TR_GROSS_OFFERING_AMT">"c2262"</definedName>
    <definedName name="IQ_TR_HYBRID_CONSID_PCT">"c2300"</definedName>
    <definedName name="IQ_TR_IMPLIED_EQ">"c3018"</definedName>
    <definedName name="IQ_TR_IMPLIED_EQ_BV">"c3019"</definedName>
    <definedName name="IQ_TR_IMPLIED_EQ_NI_LTM">"c3020"</definedName>
    <definedName name="IQ_TR_IMPLIED_EV">"c2301"</definedName>
    <definedName name="IQ_TR_IMPLIED_EV_BV">"c2306"</definedName>
    <definedName name="IQ_TR_IMPLIED_EV_EBIT">"c2302"</definedName>
    <definedName name="IQ_TR_IMPLIED_EV_EBITDA">"c2303"</definedName>
    <definedName name="IQ_TR_IMPLIED_EV_NI_LTM">"c2307"</definedName>
    <definedName name="IQ_TR_IMPLIED_EV_REV">"c2304"</definedName>
    <definedName name="IQ_TR_INIT_FILED_DATE">"c3495"</definedName>
    <definedName name="IQ_TR_LOI_DATE">"c2282"</definedName>
    <definedName name="IQ_TR_MAJ_MIN_STAKE">"c2389"</definedName>
    <definedName name="IQ_TR_NEGOTIATED_BUYBACK_PRICE">"c2414"</definedName>
    <definedName name="IQ_TR_NET_ASSUM_LIABILITIES">"c2308"</definedName>
    <definedName name="IQ_TR_NET_PROCEEDS">"c2267"</definedName>
    <definedName name="IQ_TR_OFFER_DATE">"c2265"</definedName>
    <definedName name="IQ_TR_OFFER_DATE_MA">"c3035"</definedName>
    <definedName name="IQ_TR_OFFER_PER_SHARE">"c3017"</definedName>
    <definedName name="IQ_TR_OPTIONS_CONSID_PCT">"c2311"</definedName>
    <definedName name="IQ_TR_OTHER_CONSID">"c3022"</definedName>
    <definedName name="IQ_TR_PCT_SOUGHT">"c2309"</definedName>
    <definedName name="IQ_TR_PFEATURES">"c2384"</definedName>
    <definedName name="IQ_TR_PIPE_CONV_PRICE_SHARE">"c2292"</definedName>
    <definedName name="IQ_TR_PIPE_CPN_PCT">"c2291"</definedName>
    <definedName name="IQ_TR_PIPE_NUMBER_SHARES">"c2293"</definedName>
    <definedName name="IQ_TR_PIPE_PPS">"c2290"</definedName>
    <definedName name="IQ_TR_POSTMONEY_VAL">"c2286"</definedName>
    <definedName name="IQ_TR_PREDEAL_SITUATION">"c2390"</definedName>
    <definedName name="IQ_TR_PREF_CONSID_PCT">"c2310"</definedName>
    <definedName name="IQ_TR_PREMONEY_VAL">"c2287"</definedName>
    <definedName name="IQ_TR_PRINTING_FEES">"c2276"</definedName>
    <definedName name="IQ_TR_PT_MONETARY_VALUES">"c2415"</definedName>
    <definedName name="IQ_TR_PT_NUMBER_SHARES">"c2417"</definedName>
    <definedName name="IQ_TR_PT_PCT_SHARES">"c2416"</definedName>
    <definedName name="IQ_TR_RATING_FEES">"c2275"</definedName>
    <definedName name="IQ_TR_REG_EFFECT_DATE">"c2264"</definedName>
    <definedName name="IQ_TR_REG_FILED_DATE">"c2263"</definedName>
    <definedName name="IQ_TR_RENEWAL_BUYBACK">"c2413"</definedName>
    <definedName name="IQ_TR_ROUND_NUMBER">"c2295"</definedName>
    <definedName name="IQ_TR_SEC_FEES">"c2274"</definedName>
    <definedName name="IQ_TR_SECURITY_TYPE_REG">"c2279"</definedName>
    <definedName name="IQ_TR_SELL_ACC_ADVISORS">"c3049"</definedName>
    <definedName name="IQ_TR_SELL_FIN_ADVISORS">"c3046"</definedName>
    <definedName name="IQ_TR_SELL_LEG_ADVISORS">"c2388"</definedName>
    <definedName name="IQ_TR_SELLER_ID">"c2406"</definedName>
    <definedName name="IQ_TR_SELLERNAME">"c2402"</definedName>
    <definedName name="IQ_TR_SFEATURES">"c2385"</definedName>
    <definedName name="IQ_TR_SH_NET_PROCEEDS">"c2269"</definedName>
    <definedName name="IQ_TR_SH_NET_PROCEEDS_PCT">"c2271"</definedName>
    <definedName name="IQ_TR_SPECIAL_COMMITTEE">"c2362"</definedName>
    <definedName name="IQ_TR_STATUS">"c2399"</definedName>
    <definedName name="IQ_TR_STOCK_CONSID_PCT">"c2312"</definedName>
    <definedName name="IQ_TR_SUSPENDED_DATE">"c2407"</definedName>
    <definedName name="IQ_TR_TARGET_52WKHI_PCT">"c2351"</definedName>
    <definedName name="IQ_TR_TARGET_52WKLOW_PCT">"c2350"</definedName>
    <definedName name="IQ_TR_TARGET_ACC_ADVISORS">"c3047"</definedName>
    <definedName name="IQ_TR_TARGET_CASH_ST_INVEST">"c2327"</definedName>
    <definedName name="IQ_TR_TARGET_CLOSEPRICE_1D">"c2352"</definedName>
    <definedName name="IQ_TR_TARGET_CLOSEPRICE_1M">"c2354"</definedName>
    <definedName name="IQ_TR_TARGET_CLOSEPRICE_1W">"c2353"</definedName>
    <definedName name="IQ_TR_TARGET_DILUT_EPS_EXCL">"c2324"</definedName>
    <definedName name="IQ_TR_TARGET_EARNING_CO">"c2332"</definedName>
    <definedName name="IQ_TR_TARGET_EBIT">"c2333"</definedName>
    <definedName name="IQ_TR_TARGET_EBIT_EQ_INC">"c3609"</definedName>
    <definedName name="IQ_TR_TARGET_EBITDA">"c2334"</definedName>
    <definedName name="IQ_TR_TARGET_EBITDA_EQ_INC">"c3608"</definedName>
    <definedName name="IQ_TR_TARGET_FILING_CURRENCY">"c3034"</definedName>
    <definedName name="IQ_TR_TARGET_FILINGDATE">"c3605"</definedName>
    <definedName name="IQ_TR_TARGET_FIN_ADVISORS">"c3044"</definedName>
    <definedName name="IQ_TR_TARGET_ID">"c2405"</definedName>
    <definedName name="IQ_TR_TARGET_LEG_ADVISORS">"c2386"</definedName>
    <definedName name="IQ_TR_TARGET_MARKETCAP">"c2342"</definedName>
    <definedName name="IQ_TR_TARGET_MIN_INT">"c2328"</definedName>
    <definedName name="IQ_TR_TARGET_NET_DEBT">"c2326"</definedName>
    <definedName name="IQ_TR_TARGET_NI">"c2331"</definedName>
    <definedName name="IQ_TR_TARGET_PERIODDATE">"c3604"</definedName>
    <definedName name="IQ_TR_TARGET_PRICEDATE_1D">"c2341"</definedName>
    <definedName name="IQ_TR_TARGET_RETURN">"c2355"</definedName>
    <definedName name="IQ_TR_TARGET_SEC_DETAIL">"c3021"</definedName>
    <definedName name="IQ_TR_TARGET_SEC_TI_ID">"c2368"</definedName>
    <definedName name="IQ_TR_TARGET_SEC_TYPE">"c2369"</definedName>
    <definedName name="IQ_TR_TARGET_SPD">"c2313"</definedName>
    <definedName name="IQ_TR_TARGET_SPD_PCT">"c2314"</definedName>
    <definedName name="IQ_TR_TARGET_STOCKPREMIUM_1D">"c2336"</definedName>
    <definedName name="IQ_TR_TARGET_STOCKPREMIUM_1M">"c2337"</definedName>
    <definedName name="IQ_TR_TARGET_STOCKPREMIUM_1W">"c2338"</definedName>
    <definedName name="IQ_TR_TARGET_STOCKYEARHIGH_1D">"c2339"</definedName>
    <definedName name="IQ_TR_TARGET_STOCKYEARLOW_1D">"c2340"</definedName>
    <definedName name="IQ_TR_TARGET_TOTAL_ASSETS">"c2325"</definedName>
    <definedName name="IQ_TR_TARGET_TOTAL_COMMON_EQ">"c2421"</definedName>
    <definedName name="IQ_TR_TARGET_TOTAL_DEBT">"c2330"</definedName>
    <definedName name="IQ_TR_TARGET_TOTAL_PREF">"c2329"</definedName>
    <definedName name="IQ_TR_TARGET_TOTAL_REV">"c2335"</definedName>
    <definedName name="IQ_TR_TARGETNAME">"c2403"</definedName>
    <definedName name="IQ_TR_TERM_FEE">"c2298"</definedName>
    <definedName name="IQ_TR_TERM_FEE_PCT">"c2297"</definedName>
    <definedName name="IQ_TR_TODATE">"c3036"</definedName>
    <definedName name="IQ_TR_TODATE_MONETARY_VALUE">"c2418"</definedName>
    <definedName name="IQ_TR_TODATE_NUMBER_SHARES">"c2420"</definedName>
    <definedName name="IQ_TR_TODATE_PCT_SHARES">"c2419"</definedName>
    <definedName name="IQ_TR_TOTAL_ACCT_FEES">"c2273"</definedName>
    <definedName name="IQ_TR_TOTAL_CASH">"c2315"</definedName>
    <definedName name="IQ_TR_TOTAL_CONSID_SH">"c2316"</definedName>
    <definedName name="IQ_TR_TOTAL_DEBT">"c2317"</definedName>
    <definedName name="IQ_TR_TOTAL_GROSS_TV">"c2318"</definedName>
    <definedName name="IQ_TR_TOTAL_HYBRID">"c2319"</definedName>
    <definedName name="IQ_TR_TOTAL_LEGAL_FEES">"c2272"</definedName>
    <definedName name="IQ_TR_TOTAL_NET_TV">"c2320"</definedName>
    <definedName name="IQ_TR_TOTAL_NEWMONEY">"c2289"</definedName>
    <definedName name="IQ_TR_TOTAL_OPTIONS">"c2322"</definedName>
    <definedName name="IQ_TR_TOTAL_OPTIONS_BUYER">"c3026"</definedName>
    <definedName name="IQ_TR_TOTAL_PREFERRED">"c2321"</definedName>
    <definedName name="IQ_TR_TOTAL_REG_AMT">"c2261"</definedName>
    <definedName name="IQ_TR_TOTAL_STOCK">"c2323"</definedName>
    <definedName name="IQ_TR_TOTAL_TAKEDOWNS">"c2278"</definedName>
    <definedName name="IQ_TR_TOTAL_UW_COMP">"c2280"</definedName>
    <definedName name="IQ_TR_TOTALVALUE">"c2400"</definedName>
    <definedName name="IQ_TR_TRANSACTION_TYPE">"c2398"</definedName>
    <definedName name="IQ_TR_WITHDRAWN_DTE">"c2266"</definedName>
    <definedName name="IQ_TRADE_AR">"c1345"</definedName>
    <definedName name="IQ_TRADE_PRINCIPAL">"c1309"</definedName>
    <definedName name="IQ_TRADING_ACCOUNT_GAINS_FEES_FDIC">"c6573"</definedName>
    <definedName name="IQ_TRADING_ASSETS">"c1310"</definedName>
    <definedName name="IQ_TRADING_ASSETS_FDIC">"c6328"</definedName>
    <definedName name="IQ_TRADING_CURRENCY">"c2212"</definedName>
    <definedName name="IQ_TRADING_LIABILITIES_FDIC">"c6344"</definedName>
    <definedName name="IQ_TRANSACTION_ACCOUNTS_FDIC">"c6544"</definedName>
    <definedName name="IQ_TREASURY">"c1311"</definedName>
    <definedName name="IQ_TREASURY_OTHER_EQUITY">"c1312"</definedName>
    <definedName name="IQ_TREASURY_OTHER_EQUITY_BNK">"c1313"</definedName>
    <definedName name="IQ_TREASURY_OTHER_EQUITY_BR">"c1314"</definedName>
    <definedName name="IQ_TREASURY_OTHER_EQUITY_FIN">"c1315"</definedName>
    <definedName name="IQ_TREASURY_OTHER_EQUITY_INS">"c1316"</definedName>
    <definedName name="IQ_TREASURY_OTHER_EQUITY_RE">"c6276"</definedName>
    <definedName name="IQ_TREASURY_OTHER_EQUITY_REIT">"c1317"</definedName>
    <definedName name="IQ_TREASURY_OTHER_EQUITY_UTI">"c1318"</definedName>
    <definedName name="IQ_TREASURY_STOCK">"c1438"</definedName>
    <definedName name="IQ_TREASURY_STOCK_TRANSACTIONS_FDIC">"c6501"</definedName>
    <definedName name="IQ_TRUST_INC">"c1319"</definedName>
    <definedName name="IQ_TRUST_PREF">"c1320"</definedName>
    <definedName name="IQ_TRUST_PREFERRED">"c3029"</definedName>
    <definedName name="IQ_TRUST_PREFERRED_PCT">"c3030"</definedName>
    <definedName name="IQ_TWELVE_MONTHS_FIXED_AND_FLOATING_FDIC">"c6420"</definedName>
    <definedName name="IQ_TWELVE_MONTHS_MORTGAGE_PASS_THROUGHS_FDIC">"c6412"</definedName>
    <definedName name="IQ_UFCF_10YR_ANN_CAGR">"c6179"</definedName>
    <definedName name="IQ_UFCF_10YR_ANN_GROWTH">"c1948"</definedName>
    <definedName name="IQ_UFCF_1YR_ANN_GROWTH">"c1943"</definedName>
    <definedName name="IQ_UFCF_2YR_ANN_CAGR">"c6175"</definedName>
    <definedName name="IQ_UFCF_2YR_ANN_GROWTH">"c1944"</definedName>
    <definedName name="IQ_UFCF_3YR_ANN_CAGR">"c6176"</definedName>
    <definedName name="IQ_UFCF_3YR_ANN_GROWTH">"c1945"</definedName>
    <definedName name="IQ_UFCF_5YR_ANN_CAGR">"c6177"</definedName>
    <definedName name="IQ_UFCF_5YR_ANN_GROWTH">"c1946"</definedName>
    <definedName name="IQ_UFCF_7YR_ANN_CAGR">"c6178"</definedName>
    <definedName name="IQ_UFCF_7YR_ANN_GROWTH">"c1947"</definedName>
    <definedName name="IQ_UFCF_MARGIN">"c1962"</definedName>
    <definedName name="IQ_ULT_PARENT">"c3037"</definedName>
    <definedName name="IQ_ULT_PARENT_CIQID">"c3039"</definedName>
    <definedName name="IQ_ULT_PARENT_TICKER">"c3038"</definedName>
    <definedName name="IQ_UNAMORT_DISC">"c2513"</definedName>
    <definedName name="IQ_UNAMORT_DISC_PCT">"c2514"</definedName>
    <definedName name="IQ_UNAMORT_PREMIUM">"c2511"</definedName>
    <definedName name="IQ_UNAMORT_PREMIUM_PCT">"c2512"</definedName>
    <definedName name="IQ_UNDIVIDED_PROFITS_FDIC">"c6352"</definedName>
    <definedName name="IQ_UNDRAWN_CP">"c2518"</definedName>
    <definedName name="IQ_UNDRAWN_CREDIT">"c3032"</definedName>
    <definedName name="IQ_UNDRAWN_RC">"c2517"</definedName>
    <definedName name="IQ_UNDRAWN_TL">"c2519"</definedName>
    <definedName name="IQ_UNEARN_PREMIUM">"c1321"</definedName>
    <definedName name="IQ_UNEARN_REV_CURRENT">"c1322"</definedName>
    <definedName name="IQ_UNEARN_REV_CURRENT_BNK">"c1323"</definedName>
    <definedName name="IQ_UNEARN_REV_CURRENT_BR">"c1324"</definedName>
    <definedName name="IQ_UNEARN_REV_CURRENT_FIN">"c1325"</definedName>
    <definedName name="IQ_UNEARN_REV_CURRENT_INS">"c1326"</definedName>
    <definedName name="IQ_UNEARN_REV_CURRENT_RE">"c6277"</definedName>
    <definedName name="IQ_UNEARN_REV_CURRENT_REIT">"c1327"</definedName>
    <definedName name="IQ_UNEARN_REV_CURRENT_UTI">"c1328"</definedName>
    <definedName name="IQ_UNEARN_REV_LT">"c1329"</definedName>
    <definedName name="IQ_UNEARNED_INCOME_FDIC">"c6324"</definedName>
    <definedName name="IQ_UNEARNED_INCOME_FOREIGN_FDIC">"c6385"</definedName>
    <definedName name="IQ_UNLEVERED_FCF">"c1908"</definedName>
    <definedName name="IQ_UNPAID_CLAIMS">"c1330"</definedName>
    <definedName name="IQ_UNPROFITABLE_INSTITUTIONS_FDIC">"c6722"</definedName>
    <definedName name="IQ_UNREALIZED_GAIN">"c1619"</definedName>
    <definedName name="IQ_UNSECURED_DEBT">"c2548"</definedName>
    <definedName name="IQ_UNSECURED_DEBT_PCT">"c2549"</definedName>
    <definedName name="IQ_UNUSED_LOAN_COMMITMENTS_FDIC">"c6368"</definedName>
    <definedName name="IQ_UNUSUAL_EXP">"c1456"</definedName>
    <definedName name="IQ_US_BRANCHES_FOREIGN_BANK_LOANS_FDIC">"c6435"</definedName>
    <definedName name="IQ_US_BRANCHES_FOREIGN_BANKS_FDIC">"c6390"</definedName>
    <definedName name="IQ_US_GAAP">"c1331"</definedName>
    <definedName name="IQ_US_GAAP_BASIC_EPS_EXCL">"c2984"</definedName>
    <definedName name="IQ_US_GAAP_BASIC_EPS_INCL">"c2982"</definedName>
    <definedName name="IQ_US_GAAP_BASIC_WEIGHT">"c2980"</definedName>
    <definedName name="IQ_US_GAAP_CA_ADJ">"c2925"</definedName>
    <definedName name="IQ_US_GAAP_CASH_FINAN">"c2945"</definedName>
    <definedName name="IQ_US_GAAP_CASH_FINAN_ADJ">"c2941"</definedName>
    <definedName name="IQ_US_GAAP_CASH_INVEST">"c2944"</definedName>
    <definedName name="IQ_US_GAAP_CASH_INVEST_ADJ">"c2940"</definedName>
    <definedName name="IQ_US_GAAP_CASH_OPER">"c2943"</definedName>
    <definedName name="IQ_US_GAAP_CASH_OPER_ADJ">"c2939"</definedName>
    <definedName name="IQ_US_GAAP_CL_ADJ">"c2927"</definedName>
    <definedName name="IQ_US_GAAP_COST_REV_ADJ">"c2951"</definedName>
    <definedName name="IQ_US_GAAP_DILUT_EPS_EXCL">"c2985"</definedName>
    <definedName name="IQ_US_GAAP_DILUT_EPS_INCL">"c2983"</definedName>
    <definedName name="IQ_US_GAAP_DILUT_NI">"c2979"</definedName>
    <definedName name="IQ_US_GAAP_DILUT_WEIGHT">"c2981"</definedName>
    <definedName name="IQ_US_GAAP_DO_ADJ">"c2959"</definedName>
    <definedName name="IQ_US_GAAP_EXTRA_ACC_ITEMS_ADJ">"c2958"</definedName>
    <definedName name="IQ_US_GAAP_INC_TAX_ADJ">"c2961"</definedName>
    <definedName name="IQ_US_GAAP_INTEREST_EXP_ADJ">"c2957"</definedName>
    <definedName name="IQ_US_GAAP_LIAB_LT_ADJ">"c2928"</definedName>
    <definedName name="IQ_US_GAAP_LIAB_TOTAL_LIAB">"c2933"</definedName>
    <definedName name="IQ_US_GAAP_MINORITY_INTEREST_IS_ADJ">"c2960"</definedName>
    <definedName name="IQ_US_GAAP_NCA_ADJ">"c2926"</definedName>
    <definedName name="IQ_US_GAAP_NET_CHANGE">"c2946"</definedName>
    <definedName name="IQ_US_GAAP_NET_CHANGE_ADJ">"c2942"</definedName>
    <definedName name="IQ_US_GAAP_NI">"c2976"</definedName>
    <definedName name="IQ_US_GAAP_NI_ADJ">"c2963"</definedName>
    <definedName name="IQ_US_GAAP_NI_AVAIL_INCL">"c2978"</definedName>
    <definedName name="IQ_US_GAAP_OTHER_ADJ_ADJ">"c2962"</definedName>
    <definedName name="IQ_US_GAAP_OTHER_NON_OPER_ADJ">"c2955"</definedName>
    <definedName name="IQ_US_GAAP_OTHER_OPER_ADJ">"c2954"</definedName>
    <definedName name="IQ_US_GAAP_RD_ADJ">"c2953"</definedName>
    <definedName name="IQ_US_GAAP_SGA_ADJ">"c2952"</definedName>
    <definedName name="IQ_US_GAAP_TOTAL_ASSETS">"c2931"</definedName>
    <definedName name="IQ_US_GAAP_TOTAL_EQUITY">"c2934"</definedName>
    <definedName name="IQ_US_GAAP_TOTAL_EQUITY_ADJ">"c2929"</definedName>
    <definedName name="IQ_US_GAAP_TOTAL_REV_ADJ">"c2950"</definedName>
    <definedName name="IQ_US_GAAP_TOTAL_UNUSUAL_ADJ">"c2956"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TREASURY_SECURITIES_FDIC">"c6298"</definedName>
    <definedName name="IQ_UTIL_PPE_NET">"c1620"</definedName>
    <definedName name="IQ_UTIL_REV">"c2091"</definedName>
    <definedName name="IQ_UV_PENSION_LIAB">"c1332"</definedName>
    <definedName name="IQ_VALUATION_ALLOWANCES_FDIC">"c6400"</definedName>
    <definedName name="IQ_VALUE_TRADED">"c1519"</definedName>
    <definedName name="IQ_VALUE_TRADED_LAST_3MTH">"c1530"</definedName>
    <definedName name="IQ_VALUE_TRADED_LAST_6MTH">"c1531"</definedName>
    <definedName name="IQ_VALUE_TRADED_LAST_MTH">"c1529"</definedName>
    <definedName name="IQ_VALUE_TRADED_LAST_WK">"c1528"</definedName>
    <definedName name="IQ_VALUE_TRADED_LAST_YR">"c1532"</definedName>
    <definedName name="IQ_VC_REVENUE_FDIC">"c6667"</definedName>
    <definedName name="IQ_VOL_LAST_3MTH">"c1525"</definedName>
    <definedName name="IQ_VOL_LAST_6MTH">"c1526"</definedName>
    <definedName name="IQ_VOL_LAST_MTH">"c1524"</definedName>
    <definedName name="IQ_VOL_LAST_WK">"c1523"</definedName>
    <definedName name="IQ_VOL_LAST_YR">"c1527"</definedName>
    <definedName name="IQ_VOLATILE_LIABILITIES_FDIC">"c6364"</definedName>
    <definedName name="IQ_VOLUME">"c1333"</definedName>
    <definedName name="IQ_WARRANTS_BEG_OS">"c2698"</definedName>
    <definedName name="IQ_WARRANTS_CANCELLED">"c2701"</definedName>
    <definedName name="IQ_WARRANTS_END_OS">"c2702"</definedName>
    <definedName name="IQ_WARRANTS_EXERCISED">"c2700"</definedName>
    <definedName name="IQ_WARRANTS_ISSUED">"c2699"</definedName>
    <definedName name="IQ_WARRANTS_STRIKE_PRICE_ISSUED">"c2704"</definedName>
    <definedName name="IQ_WARRANTS_STRIKE_PRICE_OS">"c2703"</definedName>
    <definedName name="IQ_WEIGHTED_AVG_PRICE">"c1334"</definedName>
    <definedName name="IQ_WIP_INV">"c1335"</definedName>
    <definedName name="IQ_WORKING_CAP">"c3494"</definedName>
    <definedName name="IQ_WORKMEN_WRITTEN">"c1336"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XDIV_DATE">"c2203"</definedName>
    <definedName name="IQ_YEAR_FOUNDED">"c6793"</definedName>
    <definedName name="IQ_YEARHIGH">"c1337"</definedName>
    <definedName name="IQ_YEARHIGH_DATE">"c2250"</definedName>
    <definedName name="IQ_YEARLOW">"c1338"</definedName>
    <definedName name="IQ_YEARLOW_DATE">"c2251"</definedName>
    <definedName name="IQ_YTD">3000</definedName>
    <definedName name="IQ_YTW">"c2163"</definedName>
    <definedName name="IQ_YTW_DATE">"c2164"</definedName>
    <definedName name="IQ_YTW_DATE_TYPE">"c2165"</definedName>
    <definedName name="IQ_Z_SCORE">"c1339"</definedName>
    <definedName name="irr_achieved" localSheetId="21">#REF!</definedName>
    <definedName name="irr_achieved">#REF!</definedName>
    <definedName name="IS_HELD" localSheetId="21">#REF!</definedName>
    <definedName name="IS_HELD">#REF!</definedName>
    <definedName name="Item" localSheetId="21">#REF!</definedName>
    <definedName name="Item">#REF!</definedName>
    <definedName name="items">#REF!</definedName>
    <definedName name="JohnC.bank" localSheetId="21">#REF!</definedName>
    <definedName name="JohnC.bank">#REF!</definedName>
    <definedName name="JohnC.bank2">#REF!</definedName>
    <definedName name="JPY">#REF!</definedName>
    <definedName name="jrn106a" localSheetId="21">#REF!</definedName>
    <definedName name="jrn106a">#REF!</definedName>
    <definedName name="jrn106b" localSheetId="21">#REF!</definedName>
    <definedName name="jrn106b">#REF!</definedName>
    <definedName name="jrn106c" localSheetId="21">#REF!</definedName>
    <definedName name="jrn106c">#REF!</definedName>
    <definedName name="KPMG_2" localSheetId="21">#REF!</definedName>
    <definedName name="KPMG_2">#REF!</definedName>
    <definedName name="KRW">#REF!</definedName>
    <definedName name="L_IRR" localSheetId="21">#REF!</definedName>
    <definedName name="L_IRR">#REF!</definedName>
    <definedName name="L_IRR_P_TX_PM" localSheetId="21">#REF!</definedName>
    <definedName name="L_IRR_P_TX_PM">#REF!</definedName>
    <definedName name="LABEL" localSheetId="21">#REF!</definedName>
    <definedName name="LABEL">#REF!</definedName>
    <definedName name="landandbldg">#REF!</definedName>
    <definedName name="Legal_Fees">#REF!</definedName>
    <definedName name="LIBOR" localSheetId="21">#REF!</definedName>
    <definedName name="LIBOR">#REF!</definedName>
    <definedName name="lira" localSheetId="21">#REF!</definedName>
    <definedName name="lira">#REF!</definedName>
    <definedName name="lklj">#REF!</definedName>
    <definedName name="lllll">#REF!</definedName>
    <definedName name="LoadScaling" localSheetId="21">#REF!</definedName>
    <definedName name="LoadScaling">#REF!</definedName>
    <definedName name="LOAN_RATE" localSheetId="21">#REF!</definedName>
    <definedName name="LOAN_RATE">#REF!</definedName>
    <definedName name="LOAN_RATE_2" localSheetId="21">#REF!</definedName>
    <definedName name="LOAN_RATE_2">#REF!</definedName>
    <definedName name="LOAN_RATE_3" localSheetId="21">#REF!</definedName>
    <definedName name="LOAN_RATE_3">#REF!</definedName>
    <definedName name="LOAN_RATE_AVERAGE" localSheetId="21">#REF!</definedName>
    <definedName name="LOAN_RATE_AVERAGE">#REF!</definedName>
    <definedName name="LOAN2_RATE" localSheetId="21">#REF!</definedName>
    <definedName name="LOAN2_RATE">#REF!</definedName>
    <definedName name="LOAN3_RATE" localSheetId="21">#REF!</definedName>
    <definedName name="LOAN3_RATE">#REF!</definedName>
    <definedName name="London92" localSheetId="21">#REF!</definedName>
    <definedName name="London92">#REF!</definedName>
    <definedName name="London93" localSheetId="21">#REF!</definedName>
    <definedName name="London93">#REF!</definedName>
    <definedName name="lt" localSheetId="21">#REF!</definedName>
    <definedName name="lt">#REF!</definedName>
    <definedName name="lts" localSheetId="21">#REF!</definedName>
    <definedName name="lts">#REF!</definedName>
    <definedName name="LUP" localSheetId="21">#REF!</definedName>
    <definedName name="LUP">#REF!</definedName>
    <definedName name="LV" localSheetId="21">#REF!</definedName>
    <definedName name="LV">#REF!</definedName>
    <definedName name="M2M" localSheetId="21">#REF!</definedName>
    <definedName name="M2M">#REF!</definedName>
    <definedName name="MAD" localSheetId="21">#REF!</definedName>
    <definedName name="MAD">#REF!</definedName>
    <definedName name="mail" localSheetId="21">#REF!</definedName>
    <definedName name="mail">#REF!</definedName>
    <definedName name="Man_Rev">#REF!</definedName>
    <definedName name="manu_travel">#REF!</definedName>
    <definedName name="manuf_cost" localSheetId="21">#REF!</definedName>
    <definedName name="manuf_cost">#REF!</definedName>
    <definedName name="market" localSheetId="21">#REF!</definedName>
    <definedName name="market">#REF!</definedName>
    <definedName name="mcusd" localSheetId="21">#REF!</definedName>
    <definedName name="mcusd">#REF!</definedName>
    <definedName name="MKT" localSheetId="21">#REF!</definedName>
    <definedName name="MKT">#REF!</definedName>
    <definedName name="MKTPMYTD" localSheetId="21">#REF!</definedName>
    <definedName name="MKTPMYTD">#REF!</definedName>
    <definedName name="mm" localSheetId="21">#REF!</definedName>
    <definedName name="mm">#REF!</definedName>
    <definedName name="mmfcst" localSheetId="21">#REF!</definedName>
    <definedName name="mmfcst">#REF!</definedName>
    <definedName name="mmm">#N/A</definedName>
    <definedName name="MN" localSheetId="21">#REF!</definedName>
    <definedName name="MN">#REF!</definedName>
    <definedName name="model_deal_period" localSheetId="21">#REF!</definedName>
    <definedName name="model_deal_period">#REF!</definedName>
    <definedName name="model_gp_carry" localSheetId="21">#REF!</definedName>
    <definedName name="model_gp_carry">#REF!</definedName>
    <definedName name="model_gp_catchup_split" localSheetId="21">#REF!</definedName>
    <definedName name="model_gp_catchup_split">#REF!</definedName>
    <definedName name="model_gp_promote" localSheetId="21">#REF!</definedName>
    <definedName name="model_gp_promote">#REF!</definedName>
    <definedName name="model_hurdle_rate" localSheetId="21">#REF!</definedName>
    <definedName name="model_hurdle_rate">#REF!</definedName>
    <definedName name="model_investment" localSheetId="21">#REF!</definedName>
    <definedName name="model_investment">#REF!</definedName>
    <definedName name="model_terminal_amount" localSheetId="21">#REF!</definedName>
    <definedName name="model_terminal_amount">#REF!</definedName>
    <definedName name="Month">#REF!</definedName>
    <definedName name="Month_Number" localSheetId="21">#REF!</definedName>
    <definedName name="Month_Number">#REF!</definedName>
    <definedName name="ms" localSheetId="21">#REF!</definedName>
    <definedName name="ms">#REF!</definedName>
    <definedName name="myDevs">#REF!</definedName>
    <definedName name="myHeld">#REF!</definedName>
    <definedName name="myOther">#REF!</definedName>
    <definedName name="myPurchases">#REF!</definedName>
    <definedName name="mySale">#REF!</definedName>
    <definedName name="NATL" localSheetId="21">#REF!</definedName>
    <definedName name="NATL">#REF!</definedName>
    <definedName name="NAV" localSheetId="21">#REF!</definedName>
    <definedName name="NAV">#REF!</definedName>
    <definedName name="NAVBGN" localSheetId="21">#REF!</definedName>
    <definedName name="NAVBGN">#REF!</definedName>
    <definedName name="navcalc" localSheetId="21">#REF!</definedName>
    <definedName name="navcalc">#REF!</definedName>
    <definedName name="NAVCOMP" localSheetId="21">#REF!</definedName>
    <definedName name="NAVCOMP">#REF!</definedName>
    <definedName name="NAVEND" localSheetId="21">#REF!</definedName>
    <definedName name="NAVEND">#REF!</definedName>
    <definedName name="NAVMOVE" localSheetId="21">#REF!</definedName>
    <definedName name="NAVMOVE">#REF!</definedName>
    <definedName name="NAVMOVEMENT" localSheetId="21">#REF!</definedName>
    <definedName name="NAVMOVEMENT">#REF!</definedName>
    <definedName name="NB_CAP_YEAR" localSheetId="21">#REF!</definedName>
    <definedName name="NB_CAP_YEAR">#REF!</definedName>
    <definedName name="NB_EXIT_CAP" localSheetId="21">#REF!</definedName>
    <definedName name="NB_EXIT_CAP">#REF!</definedName>
    <definedName name="NB_EXIT_CAP_P" localSheetId="21">#REF!</definedName>
    <definedName name="NB_EXIT_CAP_P">#REF!</definedName>
    <definedName name="NB_HOLD" localSheetId="21">#REF!</definedName>
    <definedName name="NB_HOLD">#REF!</definedName>
    <definedName name="NB_NOI" localSheetId="21">#REF!</definedName>
    <definedName name="NB_NOI">#REF!</definedName>
    <definedName name="NB_PP" localSheetId="21">#REF!</definedName>
    <definedName name="NB_PP">#REF!</definedName>
    <definedName name="NB_SALE_PRI" localSheetId="21">#REF!</definedName>
    <definedName name="NB_SALE_PRI">#REF!</definedName>
    <definedName name="NB_SALE_YR" localSheetId="21">#REF!</definedName>
    <definedName name="NB_SALE_YR">#REF!</definedName>
    <definedName name="NET_PP" localSheetId="21">#REF!</definedName>
    <definedName name="NET_PP">#REF!</definedName>
    <definedName name="NET_SALE_PRICE" localSheetId="21">#REF!</definedName>
    <definedName name="NET_SALE_PRICE">#REF!</definedName>
    <definedName name="New_FX_Rates">#REF!</definedName>
    <definedName name="newreqs" localSheetId="21">#REF!</definedName>
    <definedName name="newreqs">#REF!</definedName>
    <definedName name="NIA" localSheetId="21">#REF!</definedName>
    <definedName name="NIA">#REF!</definedName>
    <definedName name="NIndex" localSheetId="21">#REF!</definedName>
    <definedName name="NIndex">#REF!</definedName>
    <definedName name="NINV_sectors_direct_mo">#REF!</definedName>
    <definedName name="NINV_sectors_indirect_mo">#REF!</definedName>
    <definedName name="NINV_sectors_mo">#REF!</definedName>
    <definedName name="NOI" localSheetId="21">#REF!</definedName>
    <definedName name="NOI">#REF!</definedName>
    <definedName name="NPV_DISC_RATE" localSheetId="21">#REF!</definedName>
    <definedName name="NPV_DISC_RATE">#REF!</definedName>
    <definedName name="NR" localSheetId="21">#REF!</definedName>
    <definedName name="NR">#REF!</definedName>
    <definedName name="NTD">#REF!</definedName>
    <definedName name="O" localSheetId="21">#REF!</definedName>
    <definedName name="O">#REF!</definedName>
    <definedName name="OFFICES" localSheetId="21">#REF!</definedName>
    <definedName name="OFFICES">#REF!</definedName>
    <definedName name="old" localSheetId="21">#REF!</definedName>
    <definedName name="old">#REF!</definedName>
    <definedName name="ONE" localSheetId="21">#REF!</definedName>
    <definedName name="ONE">#REF!</definedName>
    <definedName name="OPERATING_INCOME" localSheetId="21">#REF!</definedName>
    <definedName name="OPERATING_INCOME">#REF!</definedName>
    <definedName name="Option_Pool_Increase" localSheetId="21">#REF!</definedName>
    <definedName name="Option_Pool_Increase">#REF!</definedName>
    <definedName name="OTHER_CLOSING_COSTS" localSheetId="21">#REF!</definedName>
    <definedName name="OTHER_CLOSING_COSTS">#REF!</definedName>
    <definedName name="Other_Consultants" localSheetId="4">'[1]Assumptions &amp; Variables'!$C$127</definedName>
    <definedName name="Other_Consultants" localSheetId="2">'[1]Assumptions &amp; Variables'!$C$127</definedName>
    <definedName name="Other_Consultants" localSheetId="7">'[1]Assumptions &amp; Variables'!$C$127</definedName>
    <definedName name="Other_Consultants" localSheetId="5">'[1]Assumptions &amp; Variables'!$C$127</definedName>
    <definedName name="Other_Consultants" localSheetId="3">'[1]Assumptions &amp; Variables'!$C$127</definedName>
    <definedName name="Other_Consultants" localSheetId="8">#REF!</definedName>
    <definedName name="Other_Consultants">'[2]Assumptions &amp; Variables'!$C$127</definedName>
    <definedName name="Other_Consultants_E3">#REF!</definedName>
    <definedName name="OTHER_EQUITY" localSheetId="21">#REF!</definedName>
    <definedName name="OTHER_EQUITY">#REF!</definedName>
    <definedName name="OTHERINV" localSheetId="21">#REF!</definedName>
    <definedName name="OTHERINV">#REF!</definedName>
    <definedName name="OverallRates" localSheetId="21">#REF!</definedName>
    <definedName name="OverallRates">#REF!</definedName>
    <definedName name="P" localSheetId="21">#REF!</definedName>
    <definedName name="P">#REF!</definedName>
    <definedName name="page_1" localSheetId="21">#REF!</definedName>
    <definedName name="page_1">#REF!</definedName>
    <definedName name="Page_2" localSheetId="21">#REF!</definedName>
    <definedName name="Page_2">#REF!</definedName>
    <definedName name="Page1" localSheetId="21">#REF!</definedName>
    <definedName name="Page1">#REF!</definedName>
    <definedName name="page2" localSheetId="21">#REF!</definedName>
    <definedName name="page2">#REF!</definedName>
    <definedName name="PARK" localSheetId="21">#REF!</definedName>
    <definedName name="PARK">#REF!</definedName>
    <definedName name="PARM_Date">#REF!</definedName>
    <definedName name="PASTE1" localSheetId="21">#REF!</definedName>
    <definedName name="PASTE1">#REF!</definedName>
    <definedName name="PASTE2" localSheetId="21">#REF!</definedName>
    <definedName name="PASTE2">#REF!</definedName>
    <definedName name="Patents">#REF!</definedName>
    <definedName name="Patents_Infaltionary">#REF!</definedName>
    <definedName name="PATENTS_INFLATIONARY_FY2122">#REF!</definedName>
    <definedName name="PATENTS_INFLATIONARY_FY2223">#REF!</definedName>
    <definedName name="PATENTS_INFLATIONARY_FY2324">#REF!</definedName>
    <definedName name="PCBEAT01" localSheetId="21">#REF!</definedName>
    <definedName name="PCBEAT01">#REF!</definedName>
    <definedName name="PCBEAT02" localSheetId="21">#REF!</definedName>
    <definedName name="PCBEAT02">#REF!</definedName>
    <definedName name="PCBEAT03" localSheetId="21">#REF!</definedName>
    <definedName name="PCBEAT03">#REF!</definedName>
    <definedName name="PCBEAT04" localSheetId="21">#REF!</definedName>
    <definedName name="PCBEAT04">#REF!</definedName>
    <definedName name="PCBEAT05" localSheetId="21">#REF!</definedName>
    <definedName name="PCBEAT05">#REF!</definedName>
    <definedName name="PCBEAT2A" localSheetId="21">#REF!</definedName>
    <definedName name="PCBEAT2A">#REF!</definedName>
    <definedName name="PCBEAT2B" localSheetId="21">#REF!</definedName>
    <definedName name="PCBEAT2B">#REF!</definedName>
    <definedName name="PCBEAT91" localSheetId="21">#REF!</definedName>
    <definedName name="PCBEAT91">#REF!</definedName>
    <definedName name="PCBEAT92" localSheetId="21">#REF!</definedName>
    <definedName name="PCBEAT92">#REF!</definedName>
    <definedName name="PD" localSheetId="21">#REF!</definedName>
    <definedName name="PD">#REF!</definedName>
    <definedName name="Pension" localSheetId="4">'[1]Payroll Variables'!$B$4</definedName>
    <definedName name="Pension" localSheetId="2">'[1]Payroll Variables'!$B$4</definedName>
    <definedName name="Pension" localSheetId="7">'[1]Payroll Variables'!$B$4</definedName>
    <definedName name="Pension" localSheetId="5">'[1]Payroll Variables'!$B$4</definedName>
    <definedName name="Pension" localSheetId="3">'[1]Payroll Variables'!$B$4</definedName>
    <definedName name="Pension" localSheetId="8">#REF!</definedName>
    <definedName name="Pension">'[2]Payroll Variables'!$B$4</definedName>
    <definedName name="Period">#REF!</definedName>
    <definedName name="period_SALE" localSheetId="21">#REF!</definedName>
    <definedName name="period_SALE">#REF!</definedName>
    <definedName name="PERIODICITY">#REF!</definedName>
    <definedName name="PERIODICITY_FACTOR" localSheetId="21">#REF!</definedName>
    <definedName name="PERIODICITY_FACTOR">#REF!</definedName>
    <definedName name="Periods" localSheetId="21">#REF!</definedName>
    <definedName name="Periods">#REF!</definedName>
    <definedName name="personnel" localSheetId="21">#REF!</definedName>
    <definedName name="personnel">#REF!</definedName>
    <definedName name="Pfd_1" localSheetId="21">#REF!</definedName>
    <definedName name="Pfd_1">#REF!</definedName>
    <definedName name="Pfd_2" localSheetId="21">#REF!</definedName>
    <definedName name="Pfd_2">#REF!</definedName>
    <definedName name="Pfd_3" localSheetId="21">#REF!</definedName>
    <definedName name="Pfd_3">#REF!</definedName>
    <definedName name="phase" localSheetId="21">#REF!</definedName>
    <definedName name="phase">#REF!</definedName>
    <definedName name="PLIST1YR" localSheetId="21">#REF!</definedName>
    <definedName name="PLIST1YR">#REF!</definedName>
    <definedName name="PLIST3YR" localSheetId="21">#REF!</definedName>
    <definedName name="PLIST3YR">#REF!</definedName>
    <definedName name="PLIST5YR" localSheetId="21">#REF!</definedName>
    <definedName name="PLIST5YR">#REF!</definedName>
    <definedName name="PMTRANS" localSheetId="21">#REF!</definedName>
    <definedName name="PMTRANS">#REF!</definedName>
    <definedName name="POINTS" localSheetId="21">#REF!</definedName>
    <definedName name="POINTS">#REF!</definedName>
    <definedName name="POINTS1Y" localSheetId="21">#REF!</definedName>
    <definedName name="POINTS1Y">#REF!</definedName>
    <definedName name="POINTS3M" localSheetId="21">#REF!</definedName>
    <definedName name="POINTS3M">#REF!</definedName>
    <definedName name="POINTS3Y" localSheetId="21">#REF!</definedName>
    <definedName name="POINTS3Y">#REF!</definedName>
    <definedName name="POINTS5Y" localSheetId="21">#REF!</definedName>
    <definedName name="POINTS5Y">#REF!</definedName>
    <definedName name="PP" localSheetId="21">#REF!</definedName>
    <definedName name="PP">#REF!</definedName>
    <definedName name="PPST" localSheetId="21">#REF!</definedName>
    <definedName name="PPST">#REF!</definedName>
    <definedName name="pre_remeasure_sf" localSheetId="21">#REF!</definedName>
    <definedName name="pre_remeasure_sf">#REF!</definedName>
    <definedName name="Pre_Remeasured_Total" localSheetId="21">#REF!</definedName>
    <definedName name="Pre_Remeasured_Total">#REF!</definedName>
    <definedName name="PREVMKT" localSheetId="21">#REF!</definedName>
    <definedName name="PREVMKT">#REF!</definedName>
    <definedName name="PRFDIV" localSheetId="21">#REF!</definedName>
    <definedName name="PRFDIV">#REF!</definedName>
    <definedName name="PriceC" localSheetId="21">#REF!</definedName>
    <definedName name="PriceC">#REF!</definedName>
    <definedName name="Print_Area_MI" localSheetId="21">#REF!</definedName>
    <definedName name="Print_Area_MI">#REF!</definedName>
    <definedName name="_xlnm.Print_Titles">#REF!</definedName>
    <definedName name="Print_Titles_MI" localSheetId="21">#REF!</definedName>
    <definedName name="Print_Titles_MI">#REF!</definedName>
    <definedName name="Print1">"Oval 13"</definedName>
    <definedName name="Print8" localSheetId="21">#REF!</definedName>
    <definedName name="Print8">#REF!</definedName>
    <definedName name="PrintArea1" localSheetId="21">#REF!</definedName>
    <definedName name="PrintArea1">#REF!</definedName>
    <definedName name="PrintArea12" localSheetId="21">#REF!</definedName>
    <definedName name="PrintArea12">#REF!</definedName>
    <definedName name="PrintArea2" localSheetId="21">#REF!</definedName>
    <definedName name="PrintArea2">#REF!</definedName>
    <definedName name="PrintArea3" localSheetId="21">#REF!</definedName>
    <definedName name="PrintArea3">#REF!</definedName>
    <definedName name="printb" localSheetId="21">#REF!</definedName>
    <definedName name="printb">#REF!</definedName>
    <definedName name="printb000s" localSheetId="21">#REF!</definedName>
    <definedName name="printb000s">#REF!</definedName>
    <definedName name="printc000s" localSheetId="21">#REF!</definedName>
    <definedName name="printc000s">#REF!</definedName>
    <definedName name="PrintEurCosts" localSheetId="8">#REF!,#REF!</definedName>
    <definedName name="PrintEurCosts">#REF!</definedName>
    <definedName name="PRIORIND" localSheetId="21">#REF!</definedName>
    <definedName name="PRIORIND">#REF!</definedName>
    <definedName name="PRIVATE_EQUITY_CARRIED_INTEREST" localSheetId="21">#REF!</definedName>
    <definedName name="PRIVATE_EQUITY_CARRIED_INTEREST">#REF!</definedName>
    <definedName name="PRIVATE_EQUITY_HURDLE_RATE" localSheetId="21">#REF!</definedName>
    <definedName name="PRIVATE_EQUITY_HURDLE_RATE">#REF!</definedName>
    <definedName name="PRIVATE_EQUITY_IRR" localSheetId="21">#REF!</definedName>
    <definedName name="PRIVATE_EQUITY_IRR">#REF!</definedName>
    <definedName name="PRIVATE_EQUITY_MGMT_FEE" localSheetId="21">#REF!</definedName>
    <definedName name="PRIVATE_EQUITY_MGMT_FEE">#REF!</definedName>
    <definedName name="PRIVATE_EQUITY_PLACEMENT_EXPENSE" localSheetId="21">#REF!</definedName>
    <definedName name="PRIVATE_EQUITY_PLACEMENT_EXPENSE">#REF!</definedName>
    <definedName name="prns" localSheetId="21">#REF!</definedName>
    <definedName name="prns">#REF!</definedName>
    <definedName name="PROJECT_Description" localSheetId="21">#REF!</definedName>
    <definedName name="PROJECT_Description">#REF!</definedName>
    <definedName name="PROJECT_Description1" localSheetId="21">#REF!</definedName>
    <definedName name="PROJECT_Description1">#REF!</definedName>
    <definedName name="PROJECT_Description2" localSheetId="21">#REF!</definedName>
    <definedName name="PROJECT_Description2">#REF!</definedName>
    <definedName name="ProjectionYears">#REF!</definedName>
    <definedName name="ProjectName">{"Client Name or Project Name"}</definedName>
    <definedName name="Promo_1" localSheetId="21">#REF!</definedName>
    <definedName name="Promo_1">#REF!</definedName>
    <definedName name="Promo_2" localSheetId="21">#REF!</definedName>
    <definedName name="Promo_2">#REF!</definedName>
    <definedName name="Promo_3" localSheetId="21">#REF!</definedName>
    <definedName name="Promo_3">#REF!</definedName>
    <definedName name="PROMO_NAME" localSheetId="21">#REF!</definedName>
    <definedName name="PROMO_NAME">#REF!</definedName>
    <definedName name="Properties_Developed_during_Year_to_end_December_2001">#REF!</definedName>
    <definedName name="public" localSheetId="21">#REF!</definedName>
    <definedName name="public">#REF!</definedName>
    <definedName name="purch">#REF!</definedName>
    <definedName name="pv" localSheetId="21">#REF!</definedName>
    <definedName name="pv">#REF!</definedName>
    <definedName name="pvusd" localSheetId="21">#REF!</definedName>
    <definedName name="pvusd">#REF!</definedName>
    <definedName name="qq" localSheetId="21">#REF!</definedName>
    <definedName name="qq">#REF!</definedName>
    <definedName name="QRA">#REF!</definedName>
    <definedName name="qtrfile" localSheetId="21">#REF!</definedName>
    <definedName name="qtrfile">#REF!</definedName>
    <definedName name="Quantity" localSheetId="21">#REF!</definedName>
    <definedName name="Quantity">#REF!</definedName>
    <definedName name="RA" localSheetId="21">#REF!</definedName>
    <definedName name="RA">#REF!</definedName>
    <definedName name="ral" localSheetId="21">#REF!</definedName>
    <definedName name="ral">#REF!</definedName>
    <definedName name="RArea" localSheetId="21">#REF!</definedName>
    <definedName name="RArea">#REF!</definedName>
    <definedName name="Ratio_SHOB" localSheetId="21">#REF!</definedName>
    <definedName name="Ratio_SHOB">#REF!</definedName>
    <definedName name="Ratio_SU" localSheetId="21">#REF!</definedName>
    <definedName name="Ratio_SU">#REF!</definedName>
    <definedName name="REAL_ESTATE_CARRIED_INTEREST" localSheetId="21">#REF!</definedName>
    <definedName name="REAL_ESTATE_CARRIED_INTEREST">#REF!</definedName>
    <definedName name="REAL_ESTATE_HURDLE_RATE" localSheetId="21">#REF!</definedName>
    <definedName name="REAL_ESTATE_HURDLE_RATE">#REF!</definedName>
    <definedName name="REAL_ESTATE_MGMT_FEE" localSheetId="21">#REF!</definedName>
    <definedName name="REAL_ESTATE_MGMT_FEE">#REF!</definedName>
    <definedName name="REAL_ESTATE_PLACEMENT_EXPENSE" localSheetId="21">#REF!</definedName>
    <definedName name="REAL_ESTATE_PLACEMENT_EXPENSE">#REF!</definedName>
    <definedName name="REAL_ESTATE_TARGET_IRR" localSheetId="21">#REF!</definedName>
    <definedName name="REAL_ESTATE_TARGET_IRR">#REF!</definedName>
    <definedName name="Reconciliation" localSheetId="21">#REF!</definedName>
    <definedName name="Reconciliation">#REF!</definedName>
    <definedName name="Recruitment_Costs" localSheetId="4">'[1]Assumptions &amp; Variables'!$C$106</definedName>
    <definedName name="Recruitment_Costs" localSheetId="2">'[1]Assumptions &amp; Variables'!$C$106</definedName>
    <definedName name="Recruitment_Costs" localSheetId="7">'[1]Assumptions &amp; Variables'!$C$106</definedName>
    <definedName name="Recruitment_Costs" localSheetId="5">'[1]Assumptions &amp; Variables'!$C$106</definedName>
    <definedName name="Recruitment_Costs" localSheetId="3">'[1]Assumptions &amp; Variables'!$C$106</definedName>
    <definedName name="Recruitment_Costs" localSheetId="8">#REF!</definedName>
    <definedName name="Recruitment_Costs">'[2]Assumptions &amp; Variables'!$C$106</definedName>
    <definedName name="ref">#REF!</definedName>
    <definedName name="Ref_FidGross">#REF!</definedName>
    <definedName name="Ref_FidGrossISA">#REF!</definedName>
    <definedName name="Ref_FidGrossPEP">#REF!</definedName>
    <definedName name="Ref_IndGross">#REF!</definedName>
    <definedName name="Ref_IndGrossISA">#REF!</definedName>
    <definedName name="Ref_IndGrossPEP">#REF!</definedName>
    <definedName name="REIINFO" localSheetId="21">#REF!</definedName>
    <definedName name="REIINFO">#REF!</definedName>
    <definedName name="RELEASE_PREMIUM" localSheetId="21">#REF!</definedName>
    <definedName name="RELEASE_PREMIUM">#REF!</definedName>
    <definedName name="RELEASE_PREMIUM_2" localSheetId="21">#REF!</definedName>
    <definedName name="RELEASE_PREMIUM_2">#REF!</definedName>
    <definedName name="RELEASE_PREMIUM_3" localSheetId="21">#REF!</definedName>
    <definedName name="RELEASE_PREMIUM_3">#REF!</definedName>
    <definedName name="RELEASE_PREMIUM_BLENDED" localSheetId="21">#REF!</definedName>
    <definedName name="RELEASE_PREMIUM_BLENDED">#REF!</definedName>
    <definedName name="Renew" localSheetId="21">#REF!</definedName>
    <definedName name="Renew">#REF!</definedName>
    <definedName name="Rent">#REF!</definedName>
    <definedName name="report_details">#REF!</definedName>
    <definedName name="reporttype" localSheetId="21">#REF!</definedName>
    <definedName name="reporttype">#REF!</definedName>
    <definedName name="repreqs" localSheetId="21">#REF!</definedName>
    <definedName name="repreqs">#REF!</definedName>
    <definedName name="Res_Cap_P" localSheetId="21">#REF!</definedName>
    <definedName name="Res_Cap_P">#REF!</definedName>
    <definedName name="RES_NB_EXIT" localSheetId="21">#REF!</definedName>
    <definedName name="RES_NB_EXIT">#REF!</definedName>
    <definedName name="resdl1" localSheetId="21">#REF!</definedName>
    <definedName name="resdl1">#REF!</definedName>
    <definedName name="reserves" localSheetId="21">#REF!</definedName>
    <definedName name="reserves">#REF!</definedName>
    <definedName name="RESI" localSheetId="21">#REF!</definedName>
    <definedName name="RESI">#REF!</definedName>
    <definedName name="RESIAREA" localSheetId="21">#REF!</definedName>
    <definedName name="RESIAREA">#REF!</definedName>
    <definedName name="riskATSSboxGraph">FALSE</definedName>
    <definedName name="riskATSSincludeSimtables">TRUE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utoStopPercChange">1.5</definedName>
    <definedName name="RiskCollectDistributionSamples">2</definedName>
    <definedName name="RiskExcelReportsGoInNewWorkbook">TRUE</definedName>
    <definedName name="RiskExcelReportsToGenerate">199</definedName>
    <definedName name="RiskFixedSeed">1</definedName>
    <definedName name="RiskGenerateExcelReportsAtEndOfSimulation">FALSE</definedName>
    <definedName name="RiskHasSettings">TRUE</definedName>
    <definedName name="RiskMinimizeOnStart">FALSE</definedName>
    <definedName name="RiskMonitorConvergence">FALSE</definedName>
    <definedName name="RiskNumIterations">2000</definedName>
    <definedName name="RiskNumSimulations">1</definedName>
    <definedName name="RiskPauseOnError">TRUE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TemplateSheetName">"myTemplate"</definedName>
    <definedName name="RiskUpdateDisplay">TRUE</definedName>
    <definedName name="RiskUseDifferentSeedForEachSim">FALSE</definedName>
    <definedName name="RiskUseFixedSeed">FALSE</definedName>
    <definedName name="RiskUseMultipleCPUs">FALSE</definedName>
    <definedName name="rollforward">#REF!</definedName>
    <definedName name="Room_Data" localSheetId="21">#REF!</definedName>
    <definedName name="Room_Data">#REF!</definedName>
    <definedName name="Room_Type" localSheetId="21">#REF!</definedName>
    <definedName name="Room_Type">#REF!</definedName>
    <definedName name="ROOMNAME" localSheetId="21">#REF!</definedName>
    <definedName name="ROOMNAME">#REF!</definedName>
    <definedName name="ROOMNBR" localSheetId="21">#REF!</definedName>
    <definedName name="ROOMNBR">#REF!</definedName>
    <definedName name="RSF" localSheetId="21">#REF!</definedName>
    <definedName name="RSF">#REF!</definedName>
    <definedName name="S_Comm">#REF!</definedName>
    <definedName name="sale">#REF!</definedName>
    <definedName name="SALE_EXPENSE" localSheetId="21">#REF!</definedName>
    <definedName name="SALE_EXPENSE">#REF!</definedName>
    <definedName name="sale_price" localSheetId="21">#REF!</definedName>
    <definedName name="sale_price">#REF!</definedName>
    <definedName name="Sales_BPS_Rev" localSheetId="21">#REF!</definedName>
    <definedName name="Sales_BPS_Rev">#REF!</definedName>
    <definedName name="Sales_travel_FY2122">#REF!</definedName>
    <definedName name="SalesVelocity" localSheetId="21">#REF!</definedName>
    <definedName name="SalesVelocity">#REF!</definedName>
    <definedName name="sanit" localSheetId="21">#REF!</definedName>
    <definedName name="sanit">#REF!</definedName>
    <definedName name="SCENARIO" localSheetId="21">#REF!</definedName>
    <definedName name="SCENARIO">#REF!</definedName>
    <definedName name="ScheduleC" localSheetId="21">#REF!</definedName>
    <definedName name="ScheduleC">#REF!</definedName>
    <definedName name="SDCON" localSheetId="21">#REF!</definedName>
    <definedName name="SDCON">#REF!</definedName>
    <definedName name="SDO" localSheetId="21">#REF!</definedName>
    <definedName name="SDO">#REF!</definedName>
    <definedName name="SEA">#REF!</definedName>
    <definedName name="Sec_3_10yrs">#REF!</definedName>
    <definedName name="Sec._1_10yrs">#REF!</definedName>
    <definedName name="Sec2_10yrs">#REF!</definedName>
    <definedName name="Sec3_10yrs_1hotel" localSheetId="8">#REF!,#REF!</definedName>
    <definedName name="Sec3_10yrs_1hotel">#REF!</definedName>
    <definedName name="SECOND_LOAN" localSheetId="21">#REF!</definedName>
    <definedName name="SECOND_LOAN">#REF!</definedName>
    <definedName name="SEK">#REF!</definedName>
    <definedName name="Sens" localSheetId="21">#REF!</definedName>
    <definedName name="Sens">#REF!</definedName>
    <definedName name="service" localSheetId="21">#REF!</definedName>
    <definedName name="service">#REF!</definedName>
    <definedName name="SGD" localSheetId="4">'[1]Assumptions &amp; Variables'!$E$22</definedName>
    <definedName name="SGD" localSheetId="2">'[1]Assumptions &amp; Variables'!$E$22</definedName>
    <definedName name="SGD" localSheetId="7">'[1]Assumptions &amp; Variables'!$E$22</definedName>
    <definedName name="SGD" localSheetId="5">'[1]Assumptions &amp; Variables'!$E$22</definedName>
    <definedName name="SGD" localSheetId="3">'[1]Assumptions &amp; Variables'!$E$22</definedName>
    <definedName name="SGD" localSheetId="8">#REF!</definedName>
    <definedName name="SGD">'[2]Assumptions &amp; Variables'!$E$22</definedName>
    <definedName name="ShadTNA">#REF!</definedName>
    <definedName name="SHARES" localSheetId="21">#REF!</definedName>
    <definedName name="SHARES">#REF!</definedName>
    <definedName name="SHEET" localSheetId="21">#REF!</definedName>
    <definedName name="SHEET">#REF!</definedName>
    <definedName name="SHO" localSheetId="21">#REF!</definedName>
    <definedName name="SHO">#REF!</definedName>
    <definedName name="SHOB">#REF!</definedName>
    <definedName name="shon">#REF!</definedName>
    <definedName name="SHOT" localSheetId="21">#REF!</definedName>
    <definedName name="SHOT">#REF!</definedName>
    <definedName name="Singapore92" localSheetId="21">#REF!</definedName>
    <definedName name="Singapore92">#REF!</definedName>
    <definedName name="Singapore93" localSheetId="21">#REF!</definedName>
    <definedName name="Singapore93">#REF!</definedName>
    <definedName name="sort" localSheetId="21">#REF!</definedName>
    <definedName name="sort">#REF!</definedName>
    <definedName name="sort2" localSheetId="21">#REF!</definedName>
    <definedName name="sort2">#REF!</definedName>
    <definedName name="SPREAD" localSheetId="21">#REF!</definedName>
    <definedName name="SPREAD">#REF!</definedName>
    <definedName name="SRate" localSheetId="21">#REF!</definedName>
    <definedName name="SRate">#REF!</definedName>
    <definedName name="SS1Y">#REF!</definedName>
    <definedName name="StabilizedValue" localSheetId="21">#REF!</definedName>
    <definedName name="StabilizedValue">#REF!</definedName>
    <definedName name="Start1">#REF!</definedName>
    <definedName name="STARTCAP" localSheetId="21">#REF!</definedName>
    <definedName name="STARTCAP">#REF!</definedName>
    <definedName name="StartFinancialYear">#REF!</definedName>
    <definedName name="STARTMKT" localSheetId="21">#REF!</definedName>
    <definedName name="STARTMKT">#REF!</definedName>
    <definedName name="stat">#REF!</definedName>
    <definedName name="status">#REF!</definedName>
    <definedName name="STKCHNGE" localSheetId="21">#REF!</definedName>
    <definedName name="STKCHNGE">#REF!</definedName>
    <definedName name="STKDIV" localSheetId="21">#REF!</definedName>
    <definedName name="STKDIV">#REF!</definedName>
    <definedName name="structure" localSheetId="21">#REF!</definedName>
    <definedName name="structure">#REF!</definedName>
    <definedName name="sts" localSheetId="21">#REF!</definedName>
    <definedName name="sts">#REF!</definedName>
    <definedName name="style" localSheetId="21">#REF!</definedName>
    <definedName name="style">#REF!</definedName>
    <definedName name="StyleReport" localSheetId="21">#REF!</definedName>
    <definedName name="StyleReport">#REF!</definedName>
    <definedName name="StyleType" localSheetId="21">#REF!</definedName>
    <definedName name="StyleType">#REF!</definedName>
    <definedName name="stype" localSheetId="21">#REF!</definedName>
    <definedName name="stype">#REF!</definedName>
    <definedName name="su" localSheetId="21">#REF!</definedName>
    <definedName name="su">#REF!</definedName>
    <definedName name="sue">#N/A</definedName>
    <definedName name="Sum_Oper_Data" localSheetId="21">#REF!</definedName>
    <definedName name="Sum_Oper_Data">#REF!</definedName>
    <definedName name="SVF" localSheetId="21">#REF!</definedName>
    <definedName name="SVF">#REF!</definedName>
    <definedName name="Taiwan92" localSheetId="21">#REF!</definedName>
    <definedName name="Taiwan92">#REF!</definedName>
    <definedName name="Taiwan93" localSheetId="21">#REF!</definedName>
    <definedName name="Taiwan93">#REF!</definedName>
    <definedName name="taux" localSheetId="21">#REF!</definedName>
    <definedName name="taux">#REF!</definedName>
    <definedName name="Taxes" localSheetId="21">#REF!</definedName>
    <definedName name="Taxes">#REF!</definedName>
    <definedName name="TaxTV">10%</definedName>
    <definedName name="TaxXL">5%</definedName>
    <definedName name="temp" localSheetId="21">#REF!</definedName>
    <definedName name="temp">#REF!</definedName>
    <definedName name="TenEquity" localSheetId="21">#REF!</definedName>
    <definedName name="TenEquity">#REF!</definedName>
    <definedName name="TENYRS">#REF!</definedName>
    <definedName name="TENYRS_SEC1">#REF!</definedName>
    <definedName name="TENYRS_SEC2">#REF!</definedName>
    <definedName name="TENYRS_SEC3">#REF!</definedName>
    <definedName name="TENYRS_SEC4">#REF!</definedName>
    <definedName name="TEST" localSheetId="8">{#N/A,#N/A,FALSE,"totcap";#N/A,#N/A,FALSE,"capopr";#N/A,#N/A,FALSE,"capadm"}</definedName>
    <definedName name="TEST">#REF!</definedName>
    <definedName name="Test2" localSheetId="8">{#N/A,#N/A,FALSE,"totcap";#N/A,#N/A,FALSE,"capopr";#N/A,#N/A,FALSE,"capadm"}</definedName>
    <definedName name="Test2">#REF!</definedName>
    <definedName name="test3" localSheetId="8">{#N/A,#N/A,FALSE,"totcap";#N/A,#N/A,FALSE,"capopr";#N/A,#N/A,FALSE,"capadm"}</definedName>
    <definedName name="test3">#REF!</definedName>
    <definedName name="test4" localSheetId="8">{#N/A,#N/A,FALSE,"totcap";#N/A,#N/A,FALSE,"capopr";#N/A,#N/A,FALSE,"capadm"}</definedName>
    <definedName name="test4">#REF!</definedName>
    <definedName name="test5" localSheetId="8">{#N/A,#N/A,FALSE,"totcap";#N/A,#N/A,FALSE,"capopr";#N/A,#N/A,FALSE,"capadm"}</definedName>
    <definedName name="test5">#REF!</definedName>
    <definedName name="test7" localSheetId="8">{#N/A,#N/A,FALSE,"totcap";#N/A,#N/A,FALSE,"capopr";#N/A,#N/A,FALSE,"capadm"}</definedName>
    <definedName name="test7">#REF!</definedName>
    <definedName name="test8" localSheetId="8">{#N/A,#N/A,FALSE,"totcap";#N/A,#N/A,FALSE,"capopr";#N/A,#N/A,FALSE,"capadm"}</definedName>
    <definedName name="test8">#REF!</definedName>
    <definedName name="TFR" localSheetId="21">#REF!</definedName>
    <definedName name="TFR">#REF!</definedName>
    <definedName name="THIRD_LOAN" localSheetId="21">#REF!</definedName>
    <definedName name="THIRD_LOAN">#REF!</definedName>
    <definedName name="THREE" localSheetId="21">#REF!</definedName>
    <definedName name="THREE">#REF!</definedName>
    <definedName name="THREE_YEAR_RANKINGS" localSheetId="21">#REF!</definedName>
    <definedName name="THREE_YEAR_RANKINGS">#REF!</definedName>
    <definedName name="time" localSheetId="21">#REF!</definedName>
    <definedName name="time">#REF!</definedName>
    <definedName name="time_period" localSheetId="21">#REF!</definedName>
    <definedName name="time_period">#REF!</definedName>
    <definedName name="TIMING" localSheetId="21">#REF!</definedName>
    <definedName name="TIMING">#REF!</definedName>
    <definedName name="TK_TAX_RATE" localSheetId="21">#REF!</definedName>
    <definedName name="TK_TAX_RATE">#REF!</definedName>
    <definedName name="Tokyo92" localSheetId="21">#REF!</definedName>
    <definedName name="Tokyo92">#REF!</definedName>
    <definedName name="Tokyo93" localSheetId="21">#REF!</definedName>
    <definedName name="Tokyo93">#REF!</definedName>
    <definedName name="TOTAL" localSheetId="21">#REF!</definedName>
    <definedName name="TOTAL">#REF!</definedName>
    <definedName name="TOTAL_DEBT" localSheetId="21">#REF!</definedName>
    <definedName name="TOTAL_DEBT">#REF!</definedName>
    <definedName name="TOTAL_EQUITY" localSheetId="21">#REF!</definedName>
    <definedName name="TOTAL_EQUITY">#REF!</definedName>
    <definedName name="TOTAL_PRIVATE_EQUITY_FUNDS" localSheetId="21">#REF!</definedName>
    <definedName name="TOTAL_PRIVATE_EQUITY_FUNDS">#REF!</definedName>
    <definedName name="total1" localSheetId="21">#REF!</definedName>
    <definedName name="total1">#REF!</definedName>
    <definedName name="total10">#REF!</definedName>
    <definedName name="total11" localSheetId="21">#REF!</definedName>
    <definedName name="total11">#REF!</definedName>
    <definedName name="total12" localSheetId="21">#REF!</definedName>
    <definedName name="total12">#REF!</definedName>
    <definedName name="total13" localSheetId="21">#REF!</definedName>
    <definedName name="total13">#REF!</definedName>
    <definedName name="total14">#REF!</definedName>
    <definedName name="total15">#REF!</definedName>
    <definedName name="total16">#REF!</definedName>
    <definedName name="total17">#REF!</definedName>
    <definedName name="total18">#REF!</definedName>
    <definedName name="total2" localSheetId="21">#REF!</definedName>
    <definedName name="total2">#REF!</definedName>
    <definedName name="total3" localSheetId="21">#REF!</definedName>
    <definedName name="total3">#REF!</definedName>
    <definedName name="total4" localSheetId="21">#REF!</definedName>
    <definedName name="total4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98" localSheetId="21">#REF!</definedName>
    <definedName name="total98">#REF!</definedName>
    <definedName name="total99" localSheetId="21">#REF!</definedName>
    <definedName name="total99">#REF!</definedName>
    <definedName name="totalfcst" localSheetId="21">#REF!</definedName>
    <definedName name="totalfcst">#REF!</definedName>
    <definedName name="Trailer_Rebate_Export" localSheetId="8">#REF!,#REF!</definedName>
    <definedName name="Trailer_Rebate_Export" localSheetId="21">#REF!</definedName>
    <definedName name="Trailer_Rebate_Export">#REF!</definedName>
    <definedName name="tran" localSheetId="21">#REF!</definedName>
    <definedName name="tran">#REF!</definedName>
    <definedName name="tranimp" localSheetId="21">#REF!</definedName>
    <definedName name="tranimp">#REF!</definedName>
    <definedName name="Travel_General_Employee" localSheetId="4">'[1]Assumptions &amp; Variables'!$C$147</definedName>
    <definedName name="Travel_General_Employee" localSheetId="2">'[1]Assumptions &amp; Variables'!$C$147</definedName>
    <definedName name="Travel_General_Employee" localSheetId="7">'[1]Assumptions &amp; Variables'!$C$147</definedName>
    <definedName name="Travel_General_Employee" localSheetId="5">'[1]Assumptions &amp; Variables'!$C$147</definedName>
    <definedName name="Travel_General_Employee" localSheetId="3">'[1]Assumptions &amp; Variables'!$C$147</definedName>
    <definedName name="Travel_General_Employee" localSheetId="8">#REF!</definedName>
    <definedName name="Travel_General_Employee">'[2]Assumptions &amp; Variables'!$C$147</definedName>
    <definedName name="Travel_Sales_Personnel" localSheetId="4">'[1]Assumptions &amp; Variables'!$C$145</definedName>
    <definedName name="Travel_Sales_Personnel" localSheetId="2">'[1]Assumptions &amp; Variables'!$C$145</definedName>
    <definedName name="Travel_Sales_Personnel" localSheetId="7">'[1]Assumptions &amp; Variables'!$C$145</definedName>
    <definedName name="Travel_Sales_Personnel" localSheetId="5">'[1]Assumptions &amp; Variables'!$C$145</definedName>
    <definedName name="Travel_Sales_Personnel" localSheetId="3">'[1]Assumptions &amp; Variables'!$C$145</definedName>
    <definedName name="Travel_Sales_Personnel" localSheetId="8">#REF!</definedName>
    <definedName name="Travel_Sales_Personnel">'[2]Assumptions &amp; Variables'!$C$145</definedName>
    <definedName name="trm" localSheetId="21">#REF!</definedName>
    <definedName name="trm">#REF!</definedName>
    <definedName name="TWD">#REF!</definedName>
    <definedName name="TWO" localSheetId="21">#REF!</definedName>
    <definedName name="TWO">#REF!</definedName>
    <definedName name="type">#REF!</definedName>
    <definedName name="TYPFL" localSheetId="21">#REF!</definedName>
    <definedName name="TYPFL">#REF!</definedName>
    <definedName name="Unit" localSheetId="21">#REF!</definedName>
    <definedName name="Unit">#REF!</definedName>
    <definedName name="UNL_IRR" localSheetId="21">#REF!</definedName>
    <definedName name="UNL_IRR">#REF!</definedName>
    <definedName name="Updated">"As of 4/10/02"</definedName>
    <definedName name="UpdateFromDialog1">#N/A</definedName>
    <definedName name="US_Uplift" localSheetId="4">'[1]Payroll Variables'!$B$3</definedName>
    <definedName name="US_Uplift" localSheetId="2">'[1]Payroll Variables'!$B$3</definedName>
    <definedName name="US_Uplift" localSheetId="7">'[1]Payroll Variables'!$B$3</definedName>
    <definedName name="US_Uplift" localSheetId="5">'[1]Payroll Variables'!$B$3</definedName>
    <definedName name="US_Uplift" localSheetId="3">'[1]Payroll Variables'!$B$3</definedName>
    <definedName name="US_Uplift" localSheetId="8">#REF!</definedName>
    <definedName name="US_Uplift">'[2]Payroll Variables'!$B$3</definedName>
    <definedName name="USD" localSheetId="4">'[1]Assumptions &amp; Variables'!$E$20</definedName>
    <definedName name="USD" localSheetId="2">'[1]Assumptions &amp; Variables'!$E$20</definedName>
    <definedName name="USD" localSheetId="7">'[1]Assumptions &amp; Variables'!$E$20</definedName>
    <definedName name="USD" localSheetId="5">'[1]Assumptions &amp; Variables'!$E$20</definedName>
    <definedName name="USD" localSheetId="3">'[1]Assumptions &amp; Variables'!$E$20</definedName>
    <definedName name="USD" localSheetId="8">#REF!</definedName>
    <definedName name="USD">'[2]Assumptions &amp; Variables'!$E$20</definedName>
    <definedName name="USD_THOU_M">#REF!</definedName>
    <definedName name="UST_5YR" localSheetId="21">#REF!</definedName>
    <definedName name="UST_5YR">#REF!</definedName>
    <definedName name="V_and_V">#REF!</definedName>
    <definedName name="Vacate" localSheetId="21">#REF!</definedName>
    <definedName name="Vacate">#REF!</definedName>
    <definedName name="Val">#REF!</definedName>
    <definedName name="Valeur" localSheetId="21">#REF!</definedName>
    <definedName name="Valeur">#REF!</definedName>
    <definedName name="VALUES" localSheetId="21">#REF!</definedName>
    <definedName name="VALUES">#REF!</definedName>
    <definedName name="Vendor" localSheetId="21">#REF!</definedName>
    <definedName name="Vendor">#REF!</definedName>
    <definedName name="VS" localSheetId="4">'[1]Assumptions &amp; Variables'!$C$126</definedName>
    <definedName name="VS" localSheetId="2">'[1]Assumptions &amp; Variables'!$C$126</definedName>
    <definedName name="VS" localSheetId="7">'[1]Assumptions &amp; Variables'!$C$126</definedName>
    <definedName name="VS" localSheetId="5">'[1]Assumptions &amp; Variables'!$C$126</definedName>
    <definedName name="VS" localSheetId="3">'[1]Assumptions &amp; Variables'!$C$126</definedName>
    <definedName name="VS" localSheetId="8">#REF!</definedName>
    <definedName name="VS">'[2]Assumptions &amp; Variables'!$C$126</definedName>
    <definedName name="WEIGHTS" localSheetId="21">#REF!</definedName>
    <definedName name="WEIGHTS">#REF!</definedName>
    <definedName name="WRITE_UP" localSheetId="21">#REF!</definedName>
    <definedName name="WRITE_UP">#REF!</definedName>
    <definedName name="wrn.final." localSheetId="8">{#N/A,#N/A,FALSE,"45th FINAL ";#N/A,#N/A,FALSE,"46th FINAL "}</definedName>
    <definedName name="wrn.final.">#REF!</definedName>
    <definedName name="wrn.section._.A." localSheetId="8">{"pg A1",#N/A,FALSE,"Sum P&amp;L";"pg A2",#N/A,FALSE,"Charts1";"pg A3",#N/A,FALSE,"Sum Cash";"pg A4",#N/A,FALSE,"Charts2";"pg A5",#N/A,FALSE,"Sum BS";"pg A6",#N/A,FALSE,"Sum Invest"}</definedName>
    <definedName name="wrn.section._.A.">#REF!</definedName>
    <definedName name="wrn.section._.B." localSheetId="8">{"pg B1",#N/A,FALSE,"P&amp;L Detail - Month";"pg B2",#N/A,FALSE,"P&amp;L Detail - YTD";"pg B3",#N/A,FALSE,"Cash Detail - Month";"pg B4",#N/A,FALSE,"Cash Detail - YTD";"pg B5",#N/A,FALSE,"BS Detail - CY";"pg B6",#N/A,FALSE,"BS Detail - PY";"pg B7",#N/A,FALSE,"Headcount Detail"}</definedName>
    <definedName name="wrn.section._.B.">#REF!</definedName>
    <definedName name="wrn.section._.C." localSheetId="8">{"pg C19",#N/A,FALSE,"WTC - Cover pg";"pg C20",#N/A,FALSE,"WTC - Overview";"pg C21",#N/A,FALSE,"WTC - Charts";"pg C22",#N/A,FALSE,"WTC - Stats";"pg C23",#N/A,FALSE,"WTC - Projects";"pg C24",#N/A,FALSE,"Blank pg"}</definedName>
    <definedName name="wrn.section._.C.">#REF!</definedName>
    <definedName name="wrn.section._.E." localSheetId="8">{"pg E1",#N/A,FALSE,"Ventures Portfolio";"pg E2",#N/A,FALSE,"Venture - Cash";"pg E3",#N/A,FALSE,"Unrealized Gains";"pg E4",#N/A,FALSE,"Realized Gains"}</definedName>
    <definedName name="wrn.section._.E.">#REF!</definedName>
    <definedName name="wrn.section._.F." localSheetId="8">{"pg F1",#N/A,FALSE,"Fin Smry1";"pg F2",#N/A,FALSE,"Fin Smry2";"pg F3",#N/A,FALSE,"Fin Smry3";"pg F4",#N/A,FALSE,"Fin Smry4"}</definedName>
    <definedName name="wrn.section._.F.">#REF!</definedName>
    <definedName name="wrn.section._B." localSheetId="8">{"pg A1",#N/A,FALSE,"Sum P&amp;L";"pg A2",#N/A,FALSE,"Charts1";"pg A3",#N/A,FALSE,"Sum Cash";"pg A4",#N/A,FALSE,"Charts2";"pg A5",#N/A,FALSE,"Sum BS";"pg A6",#N/A,FALSE,"Sum Invest"}</definedName>
    <definedName name="wrn.section._B.">#REF!</definedName>
    <definedName name="wrn.sysexp." localSheetId="8">{#N/A,#N/A,FALSE,"totcap";#N/A,#N/A,FALSE,"capopr";#N/A,#N/A,FALSE,"capadm"}</definedName>
    <definedName name="wrn.sysexp.">#REF!</definedName>
    <definedName name="x" localSheetId="21">#REF!</definedName>
    <definedName name="x">#REF!</definedName>
    <definedName name="X_Axis" localSheetId="21">#REF!</definedName>
    <definedName name="X_Axis">#REF!</definedName>
    <definedName name="X_axis2" localSheetId="21">#REF!</definedName>
    <definedName name="X_axis2">#REF!</definedName>
    <definedName name="xaxis" localSheetId="21">#REF!</definedName>
    <definedName name="xaxis">#REF!</definedName>
    <definedName name="XCHANGE" localSheetId="21">#REF!</definedName>
    <definedName name="XCHANGE">#REF!</definedName>
    <definedName name="XLS_NAME" localSheetId="21">#REF!</definedName>
    <definedName name="XLS_NAME">#REF!</definedName>
    <definedName name="y" localSheetId="21">#REF!</definedName>
    <definedName name="y">#REF!</definedName>
    <definedName name="yaesu" localSheetId="8">{#N/A,#N/A,FALSE,"totcap";#N/A,#N/A,FALSE,"capopr";#N/A,#N/A,FALSE,"capadm"}</definedName>
    <definedName name="yaesu">#REF!</definedName>
    <definedName name="year" localSheetId="21">#REF!</definedName>
    <definedName name="year">#REF!</definedName>
    <definedName name="YEAR_SALE" localSheetId="21">#REF!</definedName>
    <definedName name="YEAR_SALE">#REF!</definedName>
    <definedName name="YTDCopy" localSheetId="21">#REF!</definedName>
    <definedName name="YTDCopy">#REF!</definedName>
    <definedName name="YTDTRANS" localSheetId="21">#REF!</definedName>
    <definedName name="YTDTRA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28" l="1"/>
  <c r="H14" i="31"/>
  <c r="F14" i="31"/>
  <c r="C12" i="31"/>
  <c r="E10" i="31"/>
  <c r="F10" i="31" s="1"/>
  <c r="H10" i="31" s="1"/>
  <c r="D10" i="31"/>
  <c r="E9" i="31"/>
  <c r="F9" i="31" s="1"/>
  <c r="H9" i="31" s="1"/>
  <c r="D9" i="31"/>
  <c r="E8" i="31"/>
  <c r="F8" i="31" s="1"/>
  <c r="H8" i="31" s="1"/>
  <c r="D8" i="31"/>
  <c r="E7" i="31"/>
  <c r="F7" i="31" s="1"/>
  <c r="H7" i="31" s="1"/>
  <c r="D7" i="31"/>
  <c r="E6" i="31"/>
  <c r="F6" i="31" s="1"/>
  <c r="H6" i="31" s="1"/>
  <c r="D6" i="31"/>
  <c r="E5" i="31"/>
  <c r="F5" i="31" s="1"/>
  <c r="H5" i="31" s="1"/>
  <c r="D5" i="31"/>
  <c r="E4" i="31"/>
  <c r="F4" i="31" s="1"/>
  <c r="D4" i="31"/>
  <c r="D12" i="31" s="1"/>
  <c r="F12" i="31" l="1"/>
  <c r="H4" i="31"/>
  <c r="H12" i="31" s="1"/>
  <c r="K1" i="29" l="1"/>
  <c r="AG46" i="28"/>
  <c r="AH46" i="28"/>
  <c r="AI46" i="28" s="1"/>
  <c r="AJ46" i="28" s="1"/>
  <c r="AK46" i="28" s="1"/>
  <c r="V46" i="28"/>
  <c r="W46" i="28" s="1"/>
  <c r="X46" i="28" s="1"/>
  <c r="Y46" i="28" s="1"/>
  <c r="Z46" i="28" s="1"/>
  <c r="AA46" i="28" s="1"/>
  <c r="AB46" i="28" s="1"/>
  <c r="AC46" i="28" s="1"/>
  <c r="AD46" i="28" s="1"/>
  <c r="AE46" i="28" s="1"/>
  <c r="AF46" i="28" s="1"/>
  <c r="C72" i="29"/>
  <c r="I47" i="29" s="1"/>
  <c r="N47" i="29" s="1"/>
  <c r="E62" i="29"/>
  <c r="C62" i="29"/>
  <c r="B81" i="29"/>
  <c r="C81" i="29" s="1"/>
  <c r="G21" i="29" s="1"/>
  <c r="B21" i="29"/>
  <c r="I44" i="29"/>
  <c r="F47" i="29"/>
  <c r="E47" i="29"/>
  <c r="D47" i="29"/>
  <c r="B45" i="29"/>
  <c r="B35" i="29"/>
  <c r="N51" i="29"/>
  <c r="N46" i="29"/>
  <c r="N45" i="29"/>
  <c r="N44" i="29"/>
  <c r="N12" i="29"/>
  <c r="N13" i="29"/>
  <c r="N14" i="29"/>
  <c r="N15" i="29"/>
  <c r="N16" i="29"/>
  <c r="N17" i="29"/>
  <c r="N18" i="29"/>
  <c r="N19" i="29"/>
  <c r="N22" i="29"/>
  <c r="N24" i="29"/>
  <c r="N29" i="29"/>
  <c r="N32" i="29"/>
  <c r="N33" i="29"/>
  <c r="B116" i="29"/>
  <c r="J34" i="29" s="1"/>
  <c r="B111" i="29"/>
  <c r="B27" i="29" s="1"/>
  <c r="B110" i="29"/>
  <c r="B26" i="29" s="1"/>
  <c r="B109" i="29"/>
  <c r="B25" i="29" s="1"/>
  <c r="B105" i="29"/>
  <c r="B104" i="29"/>
  <c r="B103" i="29"/>
  <c r="B100" i="29"/>
  <c r="B99" i="29"/>
  <c r="B98" i="29"/>
  <c r="B97" i="29"/>
  <c r="B93" i="29"/>
  <c r="B92" i="29"/>
  <c r="B91" i="29"/>
  <c r="B90" i="29"/>
  <c r="F87" i="29"/>
  <c r="B83" i="29"/>
  <c r="C83" i="29" s="1"/>
  <c r="B82" i="29"/>
  <c r="C82" i="29" s="1"/>
  <c r="C80" i="29"/>
  <c r="C70" i="29"/>
  <c r="B67" i="29"/>
  <c r="B66" i="29"/>
  <c r="G64" i="29"/>
  <c r="E64" i="29"/>
  <c r="C64" i="29"/>
  <c r="G63" i="29"/>
  <c r="E63" i="29"/>
  <c r="C63" i="29"/>
  <c r="E61" i="29"/>
  <c r="D30" i="29" s="1"/>
  <c r="C61" i="29"/>
  <c r="A55" i="29"/>
  <c r="C21" i="29"/>
  <c r="B20" i="29"/>
  <c r="B36" i="29" s="1"/>
  <c r="C8" i="29"/>
  <c r="D8" i="29" s="1"/>
  <c r="E8" i="29" s="1"/>
  <c r="F8" i="29" s="1"/>
  <c r="G8" i="29" s="1"/>
  <c r="H8" i="29" s="1"/>
  <c r="I8" i="29" s="1"/>
  <c r="J8" i="29" s="1"/>
  <c r="K8" i="29" s="1"/>
  <c r="L8" i="29" s="1"/>
  <c r="M8" i="29" s="1"/>
  <c r="B116" i="28"/>
  <c r="B34" i="28" s="1"/>
  <c r="C34" i="28" s="1"/>
  <c r="D34" i="28" s="1"/>
  <c r="E34" i="28" s="1"/>
  <c r="F34" i="28" s="1"/>
  <c r="G34" i="28" s="1"/>
  <c r="H34" i="28" s="1"/>
  <c r="I34" i="28" s="1"/>
  <c r="J34" i="28" s="1"/>
  <c r="K34" i="28" s="1"/>
  <c r="L34" i="28" s="1"/>
  <c r="M34" i="28" s="1"/>
  <c r="N34" i="28" s="1"/>
  <c r="O34" i="28" s="1"/>
  <c r="P34" i="28" s="1"/>
  <c r="Q34" i="28" s="1"/>
  <c r="R34" i="28" s="1"/>
  <c r="S34" i="28" s="1"/>
  <c r="T34" i="28" s="1"/>
  <c r="U34" i="28" s="1"/>
  <c r="V34" i="28" s="1"/>
  <c r="W34" i="28" s="1"/>
  <c r="X34" i="28" s="1"/>
  <c r="Y34" i="28" s="1"/>
  <c r="Z34" i="28" s="1"/>
  <c r="AA34" i="28" s="1"/>
  <c r="AB34" i="28" s="1"/>
  <c r="AC34" i="28" s="1"/>
  <c r="AD34" i="28" s="1"/>
  <c r="AE34" i="28" s="1"/>
  <c r="AF34" i="28" s="1"/>
  <c r="AG34" i="28" s="1"/>
  <c r="AH34" i="28" s="1"/>
  <c r="AI34" i="28" s="1"/>
  <c r="AJ34" i="28" s="1"/>
  <c r="AK34" i="28" s="1"/>
  <c r="B111" i="28"/>
  <c r="B110" i="28"/>
  <c r="B109" i="28"/>
  <c r="B25" i="28" s="1"/>
  <c r="B105" i="28"/>
  <c r="B104" i="28"/>
  <c r="B103" i="28"/>
  <c r="B100" i="28"/>
  <c r="B99" i="28"/>
  <c r="AE32" i="28" s="1"/>
  <c r="B98" i="28"/>
  <c r="B97" i="28"/>
  <c r="AC32" i="28" s="1"/>
  <c r="B93" i="28"/>
  <c r="Y32" i="28" s="1"/>
  <c r="B92" i="28"/>
  <c r="B91" i="28"/>
  <c r="O32" i="28" s="1"/>
  <c r="B90" i="28"/>
  <c r="N32" i="28" s="1"/>
  <c r="F87" i="28"/>
  <c r="B83" i="28"/>
  <c r="C83" i="28" s="1"/>
  <c r="AB21" i="28" s="1"/>
  <c r="B82" i="28"/>
  <c r="C82" i="28" s="1"/>
  <c r="S21" i="28" s="1"/>
  <c r="B81" i="28"/>
  <c r="C81" i="28" s="1"/>
  <c r="C80" i="28"/>
  <c r="C72" i="28"/>
  <c r="I47" i="28" s="1"/>
  <c r="C70" i="28"/>
  <c r="B45" i="28" s="1"/>
  <c r="B67" i="28"/>
  <c r="B66" i="28"/>
  <c r="E87" i="28" s="1"/>
  <c r="G64" i="28"/>
  <c r="E64" i="28"/>
  <c r="AI30" i="28" s="1"/>
  <c r="C64" i="28"/>
  <c r="G63" i="28"/>
  <c r="E63" i="28"/>
  <c r="W30" i="28" s="1"/>
  <c r="C63" i="28"/>
  <c r="Z12" i="28" s="1"/>
  <c r="Z20" i="28" s="1"/>
  <c r="E62" i="28"/>
  <c r="L30" i="28" s="1"/>
  <c r="C62" i="28"/>
  <c r="E61" i="28"/>
  <c r="D30" i="28" s="1"/>
  <c r="C61" i="28"/>
  <c r="A55" i="28"/>
  <c r="F47" i="28"/>
  <c r="E47" i="28"/>
  <c r="D47" i="28"/>
  <c r="I44" i="28"/>
  <c r="B35" i="28"/>
  <c r="C35" i="28" s="1"/>
  <c r="B31" i="28"/>
  <c r="AK30" i="28"/>
  <c r="AJ30" i="28"/>
  <c r="B27" i="28"/>
  <c r="C27" i="28" s="1"/>
  <c r="D27" i="28" s="1"/>
  <c r="E27" i="28" s="1"/>
  <c r="F27" i="28" s="1"/>
  <c r="G27" i="28" s="1"/>
  <c r="H27" i="28" s="1"/>
  <c r="I27" i="28" s="1"/>
  <c r="J27" i="28" s="1"/>
  <c r="K27" i="28" s="1"/>
  <c r="L27" i="28" s="1"/>
  <c r="M27" i="28" s="1"/>
  <c r="N27" i="28" s="1"/>
  <c r="O27" i="28" s="1"/>
  <c r="P27" i="28" s="1"/>
  <c r="Q27" i="28" s="1"/>
  <c r="R27" i="28" s="1"/>
  <c r="S27" i="28" s="1"/>
  <c r="T27" i="28" s="1"/>
  <c r="U27" i="28" s="1"/>
  <c r="V27" i="28" s="1"/>
  <c r="W27" i="28" s="1"/>
  <c r="X27" i="28" s="1"/>
  <c r="Y27" i="28" s="1"/>
  <c r="Z27" i="28" s="1"/>
  <c r="AA27" i="28" s="1"/>
  <c r="AB27" i="28" s="1"/>
  <c r="AC27" i="28" s="1"/>
  <c r="AD27" i="28" s="1"/>
  <c r="AE27" i="28" s="1"/>
  <c r="AF27" i="28" s="1"/>
  <c r="AG27" i="28" s="1"/>
  <c r="AH27" i="28" s="1"/>
  <c r="AI27" i="28" s="1"/>
  <c r="AJ27" i="28" s="1"/>
  <c r="AK27" i="28" s="1"/>
  <c r="B26" i="28"/>
  <c r="C26" i="28" s="1"/>
  <c r="D26" i="28" s="1"/>
  <c r="E26" i="28" s="1"/>
  <c r="F26" i="28" s="1"/>
  <c r="G26" i="28" s="1"/>
  <c r="H26" i="28" s="1"/>
  <c r="I26" i="28" s="1"/>
  <c r="J26" i="28" s="1"/>
  <c r="K26" i="28" s="1"/>
  <c r="L26" i="28" s="1"/>
  <c r="M26" i="28" s="1"/>
  <c r="N26" i="28" s="1"/>
  <c r="O26" i="28" s="1"/>
  <c r="P26" i="28" s="1"/>
  <c r="Q26" i="28" s="1"/>
  <c r="R26" i="28" s="1"/>
  <c r="S26" i="28" s="1"/>
  <c r="T26" i="28" s="1"/>
  <c r="U26" i="28" s="1"/>
  <c r="V26" i="28" s="1"/>
  <c r="W26" i="28" s="1"/>
  <c r="X26" i="28" s="1"/>
  <c r="Y26" i="28" s="1"/>
  <c r="Z26" i="28" s="1"/>
  <c r="AA26" i="28" s="1"/>
  <c r="AB26" i="28" s="1"/>
  <c r="AC26" i="28" s="1"/>
  <c r="AD26" i="28" s="1"/>
  <c r="AE26" i="28" s="1"/>
  <c r="AF26" i="28" s="1"/>
  <c r="AG26" i="28" s="1"/>
  <c r="AH26" i="28" s="1"/>
  <c r="AI26" i="28" s="1"/>
  <c r="AJ26" i="28" s="1"/>
  <c r="AK26" i="28" s="1"/>
  <c r="C25" i="28"/>
  <c r="D25" i="28" s="1"/>
  <c r="C21" i="28"/>
  <c r="B21" i="28" s="1"/>
  <c r="B20" i="28"/>
  <c r="B37" i="28" s="1"/>
  <c r="C8" i="28"/>
  <c r="D8" i="28" s="1"/>
  <c r="E8" i="28" s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S8" i="28" s="1"/>
  <c r="T8" i="28" s="1"/>
  <c r="U8" i="28" s="1"/>
  <c r="V8" i="28" s="1"/>
  <c r="W8" i="28" s="1"/>
  <c r="X8" i="28" s="1"/>
  <c r="Y8" i="28" s="1"/>
  <c r="Z8" i="28" s="1"/>
  <c r="AA8" i="28" s="1"/>
  <c r="AB8" i="28" s="1"/>
  <c r="AC8" i="28" s="1"/>
  <c r="AD8" i="28" s="1"/>
  <c r="AE8" i="28" s="1"/>
  <c r="AF8" i="28" s="1"/>
  <c r="AG8" i="28" s="1"/>
  <c r="AH8" i="28" s="1"/>
  <c r="AI8" i="28" s="1"/>
  <c r="AJ8" i="28" s="1"/>
  <c r="AK8" i="28" s="1"/>
  <c r="AC3" i="28"/>
  <c r="R2" i="28"/>
  <c r="G62" i="29" l="1"/>
  <c r="B28" i="29"/>
  <c r="C26" i="29"/>
  <c r="D26" i="29" s="1"/>
  <c r="E26" i="29" s="1"/>
  <c r="F26" i="29" s="1"/>
  <c r="G26" i="29" s="1"/>
  <c r="H26" i="29" s="1"/>
  <c r="I26" i="29" s="1"/>
  <c r="J26" i="29" s="1"/>
  <c r="K26" i="29" s="1"/>
  <c r="L26" i="29" s="1"/>
  <c r="M26" i="29" s="1"/>
  <c r="N26" i="29"/>
  <c r="C27" i="29"/>
  <c r="D27" i="29" s="1"/>
  <c r="E27" i="29" s="1"/>
  <c r="F27" i="29" s="1"/>
  <c r="G27" i="29" s="1"/>
  <c r="H27" i="29" s="1"/>
  <c r="I27" i="29" s="1"/>
  <c r="J27" i="29" s="1"/>
  <c r="K27" i="29" s="1"/>
  <c r="L27" i="29" s="1"/>
  <c r="M27" i="29" s="1"/>
  <c r="N27" i="29"/>
  <c r="M34" i="29"/>
  <c r="I34" i="29"/>
  <c r="B34" i="29"/>
  <c r="H34" i="29"/>
  <c r="C34" i="29"/>
  <c r="E34" i="29"/>
  <c r="D34" i="29"/>
  <c r="M30" i="29"/>
  <c r="G34" i="29"/>
  <c r="K34" i="29"/>
  <c r="L34" i="29"/>
  <c r="F34" i="29"/>
  <c r="E30" i="28"/>
  <c r="Z30" i="28"/>
  <c r="AE30" i="28"/>
  <c r="Q21" i="28"/>
  <c r="AF30" i="28"/>
  <c r="J61" i="29"/>
  <c r="D10" i="29"/>
  <c r="D20" i="29" s="1"/>
  <c r="D36" i="29" s="1"/>
  <c r="I61" i="29"/>
  <c r="C25" i="29"/>
  <c r="B23" i="29"/>
  <c r="C10" i="29"/>
  <c r="F30" i="29"/>
  <c r="G30" i="29"/>
  <c r="H30" i="29"/>
  <c r="I30" i="29"/>
  <c r="E10" i="29"/>
  <c r="E20" i="29" s="1"/>
  <c r="E38" i="29" s="1"/>
  <c r="B106" i="29"/>
  <c r="F10" i="29"/>
  <c r="F20" i="29" s="1"/>
  <c r="F38" i="29" s="1"/>
  <c r="J30" i="29"/>
  <c r="G10" i="29"/>
  <c r="G20" i="29" s="1"/>
  <c r="G23" i="29" s="1"/>
  <c r="K30" i="29"/>
  <c r="K10" i="29"/>
  <c r="L10" i="29"/>
  <c r="E30" i="29"/>
  <c r="J10" i="29"/>
  <c r="F30" i="28"/>
  <c r="G30" i="28"/>
  <c r="R21" i="28"/>
  <c r="H30" i="28"/>
  <c r="AC30" i="28"/>
  <c r="X32" i="28"/>
  <c r="B106" i="28"/>
  <c r="U33" i="28" s="1"/>
  <c r="W32" i="28"/>
  <c r="AG30" i="28"/>
  <c r="AH30" i="28"/>
  <c r="I30" i="28"/>
  <c r="G62" i="28"/>
  <c r="I11" i="28" s="1"/>
  <c r="B37" i="29"/>
  <c r="H10" i="29"/>
  <c r="H20" i="29" s="1"/>
  <c r="H31" i="29" s="1"/>
  <c r="D25" i="29"/>
  <c r="B31" i="29"/>
  <c r="I10" i="29"/>
  <c r="E87" i="29"/>
  <c r="H21" i="29"/>
  <c r="B38" i="29"/>
  <c r="I21" i="29"/>
  <c r="L30" i="29"/>
  <c r="B101" i="29"/>
  <c r="AG13" i="28"/>
  <c r="AG20" i="28" s="1"/>
  <c r="AG38" i="28" s="1"/>
  <c r="P30" i="28"/>
  <c r="Q30" i="28"/>
  <c r="B38" i="28"/>
  <c r="J61" i="28"/>
  <c r="D10" i="28"/>
  <c r="D20" i="28" s="1"/>
  <c r="D23" i="28" s="1"/>
  <c r="AH13" i="28"/>
  <c r="AH20" i="28" s="1"/>
  <c r="AH31" i="28" s="1"/>
  <c r="M30" i="28"/>
  <c r="E10" i="28"/>
  <c r="E20" i="28" s="1"/>
  <c r="E37" i="28" s="1"/>
  <c r="N30" i="28"/>
  <c r="B36" i="28"/>
  <c r="F10" i="28"/>
  <c r="F20" i="28" s="1"/>
  <c r="F31" i="28" s="1"/>
  <c r="O30" i="28"/>
  <c r="L10" i="28"/>
  <c r="S30" i="28"/>
  <c r="AE13" i="28"/>
  <c r="AE20" i="28" s="1"/>
  <c r="AE23" i="28" s="1"/>
  <c r="J30" i="28"/>
  <c r="R30" i="28"/>
  <c r="B39" i="28"/>
  <c r="W12" i="28"/>
  <c r="W20" i="28" s="1"/>
  <c r="W38" i="28" s="1"/>
  <c r="X12" i="28"/>
  <c r="X20" i="28" s="1"/>
  <c r="G10" i="28"/>
  <c r="G20" i="28" s="1"/>
  <c r="G35" i="28" s="1"/>
  <c r="Y12" i="28"/>
  <c r="Y20" i="28" s="1"/>
  <c r="Y31" i="28" s="1"/>
  <c r="AD30" i="28"/>
  <c r="AF13" i="28"/>
  <c r="AF20" i="28" s="1"/>
  <c r="AF31" i="28" s="1"/>
  <c r="K30" i="28"/>
  <c r="U30" i="28"/>
  <c r="J64" i="28"/>
  <c r="E25" i="28"/>
  <c r="D28" i="28"/>
  <c r="B28" i="28"/>
  <c r="H21" i="28"/>
  <c r="G21" i="28"/>
  <c r="I21" i="28"/>
  <c r="C28" i="28"/>
  <c r="Z37" i="28"/>
  <c r="Z35" i="28"/>
  <c r="Z23" i="28"/>
  <c r="Z31" i="28"/>
  <c r="Z38" i="28"/>
  <c r="Z36" i="28"/>
  <c r="AC12" i="28"/>
  <c r="AC20" i="28" s="1"/>
  <c r="U12" i="28"/>
  <c r="U20" i="28" s="1"/>
  <c r="J63" i="28"/>
  <c r="AB12" i="28"/>
  <c r="AB20" i="28" s="1"/>
  <c r="T12" i="28"/>
  <c r="T20" i="28" s="1"/>
  <c r="AA12" i="28"/>
  <c r="AA20" i="28" s="1"/>
  <c r="S12" i="28"/>
  <c r="V12" i="28"/>
  <c r="V20" i="28" s="1"/>
  <c r="AD21" i="28"/>
  <c r="AC21" i="28"/>
  <c r="T32" i="28"/>
  <c r="U32" i="28"/>
  <c r="V32" i="28"/>
  <c r="C10" i="28"/>
  <c r="C20" i="28" s="1"/>
  <c r="K10" i="28"/>
  <c r="AD13" i="28"/>
  <c r="AD20" i="28" s="1"/>
  <c r="Y30" i="28"/>
  <c r="B101" i="28"/>
  <c r="H10" i="28"/>
  <c r="H20" i="28" s="1"/>
  <c r="AI13" i="28"/>
  <c r="AI20" i="28" s="1"/>
  <c r="V30" i="28"/>
  <c r="I10" i="28"/>
  <c r="AJ13" i="28"/>
  <c r="AJ20" i="28" s="1"/>
  <c r="AB30" i="28"/>
  <c r="T30" i="28"/>
  <c r="AA30" i="28"/>
  <c r="J10" i="28"/>
  <c r="AK13" i="28"/>
  <c r="AK20" i="28" s="1"/>
  <c r="B23" i="28"/>
  <c r="X30" i="28"/>
  <c r="D36" i="28" l="1"/>
  <c r="D35" i="29"/>
  <c r="D37" i="29"/>
  <c r="D23" i="29"/>
  <c r="C28" i="29"/>
  <c r="B40" i="28"/>
  <c r="B41" i="28" s="1"/>
  <c r="B48" i="28" s="1"/>
  <c r="B52" i="28" s="1"/>
  <c r="N11" i="28"/>
  <c r="N20" i="28" s="1"/>
  <c r="N35" i="28" s="1"/>
  <c r="Q11" i="28"/>
  <c r="Q20" i="28" s="1"/>
  <c r="Q38" i="28" s="1"/>
  <c r="P11" i="28"/>
  <c r="P20" i="28" s="1"/>
  <c r="P36" i="28" s="1"/>
  <c r="J11" i="28"/>
  <c r="S11" i="28"/>
  <c r="S20" i="28" s="1"/>
  <c r="M11" i="28"/>
  <c r="M20" i="28" s="1"/>
  <c r="M35" i="28" s="1"/>
  <c r="O11" i="28"/>
  <c r="O20" i="28" s="1"/>
  <c r="O23" i="28" s="1"/>
  <c r="M11" i="29"/>
  <c r="M20" i="29" s="1"/>
  <c r="M37" i="29" s="1"/>
  <c r="J62" i="29"/>
  <c r="J65" i="29" s="1"/>
  <c r="D38" i="29"/>
  <c r="D39" i="29" s="1"/>
  <c r="N30" i="29"/>
  <c r="D31" i="29"/>
  <c r="I62" i="29"/>
  <c r="I65" i="29" s="1"/>
  <c r="N21" i="29"/>
  <c r="N34" i="29"/>
  <c r="C20" i="29"/>
  <c r="C35" i="29" s="1"/>
  <c r="N10" i="29"/>
  <c r="E31" i="29"/>
  <c r="Y36" i="28"/>
  <c r="E23" i="28"/>
  <c r="E31" i="28"/>
  <c r="Y23" i="28"/>
  <c r="E35" i="28"/>
  <c r="Y38" i="28"/>
  <c r="Y35" i="28"/>
  <c r="E23" i="29"/>
  <c r="H37" i="29"/>
  <c r="F23" i="29"/>
  <c r="E37" i="29"/>
  <c r="H35" i="29"/>
  <c r="E36" i="29"/>
  <c r="E35" i="29"/>
  <c r="G36" i="29"/>
  <c r="F37" i="29"/>
  <c r="F35" i="29"/>
  <c r="H38" i="29"/>
  <c r="G31" i="29"/>
  <c r="H36" i="29"/>
  <c r="G35" i="29"/>
  <c r="F36" i="29"/>
  <c r="G38" i="29"/>
  <c r="F31" i="29"/>
  <c r="G37" i="29"/>
  <c r="K11" i="28"/>
  <c r="K20" i="28" s="1"/>
  <c r="K37" i="28" s="1"/>
  <c r="E36" i="28"/>
  <c r="Y37" i="28"/>
  <c r="L11" i="28"/>
  <c r="L20" i="28" s="1"/>
  <c r="R11" i="28"/>
  <c r="R20" i="28" s="1"/>
  <c r="R35" i="28" s="1"/>
  <c r="E38" i="28"/>
  <c r="J62" i="28"/>
  <c r="J65" i="28" s="1"/>
  <c r="AH33" i="28"/>
  <c r="AI33" i="28"/>
  <c r="P33" i="28"/>
  <c r="X33" i="28"/>
  <c r="R33" i="28"/>
  <c r="AE33" i="28"/>
  <c r="V33" i="28"/>
  <c r="T33" i="28"/>
  <c r="P38" i="28"/>
  <c r="O33" i="28"/>
  <c r="AB33" i="28"/>
  <c r="AK33" i="28"/>
  <c r="W33" i="28"/>
  <c r="AF23" i="28"/>
  <c r="AG33" i="28"/>
  <c r="AD33" i="28"/>
  <c r="P37" i="28"/>
  <c r="F35" i="28"/>
  <c r="Y33" i="28"/>
  <c r="Z33" i="28"/>
  <c r="Z39" i="28" s="1"/>
  <c r="AJ33" i="28"/>
  <c r="W37" i="28"/>
  <c r="AC33" i="28"/>
  <c r="AA33" i="28"/>
  <c r="Q33" i="28"/>
  <c r="N33" i="28"/>
  <c r="J20" i="28"/>
  <c r="J37" i="28" s="1"/>
  <c r="AF33" i="28"/>
  <c r="F37" i="28"/>
  <c r="S33" i="28"/>
  <c r="AE35" i="28"/>
  <c r="G23" i="28"/>
  <c r="AE36" i="28"/>
  <c r="AG37" i="28"/>
  <c r="AG23" i="28"/>
  <c r="AE37" i="28"/>
  <c r="AG36" i="28"/>
  <c r="AH37" i="28"/>
  <c r="AG35" i="28"/>
  <c r="G31" i="28"/>
  <c r="AE38" i="28"/>
  <c r="D37" i="28"/>
  <c r="AE31" i="28"/>
  <c r="I20" i="28"/>
  <c r="I38" i="28" s="1"/>
  <c r="G36" i="28"/>
  <c r="D31" i="28"/>
  <c r="W35" i="28"/>
  <c r="G37" i="28"/>
  <c r="G38" i="28"/>
  <c r="D38" i="28"/>
  <c r="AG31" i="28"/>
  <c r="D35" i="28"/>
  <c r="W23" i="28"/>
  <c r="H23" i="29"/>
  <c r="B39" i="29"/>
  <c r="D28" i="29"/>
  <c r="E25" i="29"/>
  <c r="I11" i="29"/>
  <c r="J11" i="29"/>
  <c r="J20" i="29" s="1"/>
  <c r="K11" i="29"/>
  <c r="K20" i="29" s="1"/>
  <c r="L11" i="29"/>
  <c r="L20" i="29" s="1"/>
  <c r="F23" i="28"/>
  <c r="X36" i="28"/>
  <c r="X37" i="28"/>
  <c r="AH36" i="28"/>
  <c r="X23" i="28"/>
  <c r="AF36" i="28"/>
  <c r="AH38" i="28"/>
  <c r="X38" i="28"/>
  <c r="AF37" i="28"/>
  <c r="F36" i="28"/>
  <c r="W31" i="28"/>
  <c r="AH23" i="28"/>
  <c r="X31" i="28"/>
  <c r="F38" i="28"/>
  <c r="W36" i="28"/>
  <c r="X35" i="28"/>
  <c r="AF38" i="28"/>
  <c r="AF35" i="28"/>
  <c r="AH35" i="28"/>
  <c r="P23" i="28"/>
  <c r="AK38" i="28"/>
  <c r="AK36" i="28"/>
  <c r="AK31" i="28"/>
  <c r="AK37" i="28"/>
  <c r="AK35" i="28"/>
  <c r="AK23" i="28"/>
  <c r="AC38" i="28"/>
  <c r="AC36" i="28"/>
  <c r="AC35" i="28"/>
  <c r="AC31" i="28"/>
  <c r="AC23" i="28"/>
  <c r="AC37" i="28"/>
  <c r="AD38" i="28"/>
  <c r="AD36" i="28"/>
  <c r="AD31" i="28"/>
  <c r="AD35" i="28"/>
  <c r="AD37" i="28"/>
  <c r="AD23" i="28"/>
  <c r="AI37" i="28"/>
  <c r="AI35" i="28"/>
  <c r="AI38" i="28"/>
  <c r="AI23" i="28"/>
  <c r="AI31" i="28"/>
  <c r="AI36" i="28"/>
  <c r="V38" i="28"/>
  <c r="V36" i="28"/>
  <c r="V37" i="28"/>
  <c r="V31" i="28"/>
  <c r="V23" i="28"/>
  <c r="V35" i="28"/>
  <c r="H31" i="28"/>
  <c r="H37" i="28"/>
  <c r="H36" i="28"/>
  <c r="H23" i="28"/>
  <c r="H38" i="28"/>
  <c r="H35" i="28"/>
  <c r="AB31" i="28"/>
  <c r="AB36" i="28"/>
  <c r="AB35" i="28"/>
  <c r="AB38" i="28"/>
  <c r="AB23" i="28"/>
  <c r="AB37" i="28"/>
  <c r="F25" i="28"/>
  <c r="E28" i="28"/>
  <c r="T38" i="28"/>
  <c r="T37" i="28"/>
  <c r="T36" i="28"/>
  <c r="T35" i="28"/>
  <c r="T23" i="28"/>
  <c r="T31" i="28"/>
  <c r="Q31" i="28"/>
  <c r="Q23" i="28"/>
  <c r="Q36" i="28"/>
  <c r="AA37" i="28"/>
  <c r="AA35" i="28"/>
  <c r="AA31" i="28"/>
  <c r="AA23" i="28"/>
  <c r="AA36" i="28"/>
  <c r="AA38" i="28"/>
  <c r="C37" i="28"/>
  <c r="C36" i="28"/>
  <c r="C23" i="28"/>
  <c r="C31" i="28"/>
  <c r="C38" i="28"/>
  <c r="AJ38" i="28"/>
  <c r="AJ37" i="28"/>
  <c r="AJ36" i="28"/>
  <c r="AJ31" i="28"/>
  <c r="AJ35" i="28"/>
  <c r="AJ23" i="28"/>
  <c r="U38" i="28"/>
  <c r="U36" i="28"/>
  <c r="U37" i="28"/>
  <c r="U23" i="28"/>
  <c r="U35" i="28"/>
  <c r="U31" i="28"/>
  <c r="N37" i="28" l="1"/>
  <c r="Q35" i="28"/>
  <c r="N23" i="28"/>
  <c r="Q37" i="28"/>
  <c r="N36" i="28"/>
  <c r="N38" i="28"/>
  <c r="N31" i="28"/>
  <c r="N39" i="28" s="1"/>
  <c r="M23" i="29"/>
  <c r="M31" i="29"/>
  <c r="M35" i="29"/>
  <c r="M38" i="29"/>
  <c r="M36" i="29"/>
  <c r="M39" i="29" s="1"/>
  <c r="M38" i="28"/>
  <c r="P35" i="28"/>
  <c r="P31" i="28"/>
  <c r="P39" i="28" s="1"/>
  <c r="S38" i="28"/>
  <c r="S23" i="28"/>
  <c r="S36" i="28"/>
  <c r="O35" i="28"/>
  <c r="M31" i="28"/>
  <c r="Y39" i="28"/>
  <c r="O37" i="28"/>
  <c r="O31" i="28"/>
  <c r="O36" i="28"/>
  <c r="M36" i="28"/>
  <c r="M37" i="28"/>
  <c r="M23" i="28"/>
  <c r="O38" i="28"/>
  <c r="I37" i="28"/>
  <c r="S31" i="28"/>
  <c r="S37" i="28"/>
  <c r="S35" i="28"/>
  <c r="I20" i="29"/>
  <c r="I38" i="29" s="1"/>
  <c r="N11" i="29"/>
  <c r="C23" i="29"/>
  <c r="C37" i="29"/>
  <c r="C31" i="29"/>
  <c r="C38" i="29"/>
  <c r="C36" i="29"/>
  <c r="B40" i="29"/>
  <c r="E39" i="29"/>
  <c r="K36" i="28"/>
  <c r="K31" i="28"/>
  <c r="K23" i="28"/>
  <c r="I35" i="28"/>
  <c r="K38" i="28"/>
  <c r="K35" i="28"/>
  <c r="I23" i="28"/>
  <c r="E39" i="28"/>
  <c r="E40" i="28" s="1"/>
  <c r="E41" i="28" s="1"/>
  <c r="E48" i="28" s="1"/>
  <c r="E52" i="28" s="1"/>
  <c r="R38" i="28"/>
  <c r="R36" i="28"/>
  <c r="R37" i="28"/>
  <c r="H39" i="29"/>
  <c r="G39" i="29"/>
  <c r="F39" i="29"/>
  <c r="D40" i="29"/>
  <c r="D41" i="29" s="1"/>
  <c r="D48" i="29" s="1"/>
  <c r="D52" i="29" s="1"/>
  <c r="L31" i="28"/>
  <c r="L35" i="28"/>
  <c r="L38" i="28"/>
  <c r="L23" i="28"/>
  <c r="L36" i="28"/>
  <c r="L37" i="28"/>
  <c r="G39" i="28"/>
  <c r="R23" i="28"/>
  <c r="R31" i="28"/>
  <c r="J36" i="28"/>
  <c r="AG39" i="28"/>
  <c r="J31" i="28"/>
  <c r="AE39" i="28"/>
  <c r="J23" i="28"/>
  <c r="J38" i="28"/>
  <c r="J35" i="28"/>
  <c r="D39" i="28"/>
  <c r="D40" i="28" s="1"/>
  <c r="D41" i="28" s="1"/>
  <c r="D48" i="28" s="1"/>
  <c r="D52" i="28" s="1"/>
  <c r="AF39" i="28"/>
  <c r="I31" i="28"/>
  <c r="I36" i="28"/>
  <c r="X39" i="28"/>
  <c r="T39" i="28"/>
  <c r="AA39" i="28"/>
  <c r="W39" i="28"/>
  <c r="AH39" i="28"/>
  <c r="F39" i="28"/>
  <c r="I36" i="29"/>
  <c r="I23" i="29"/>
  <c r="K37" i="29"/>
  <c r="K35" i="29"/>
  <c r="K36" i="29"/>
  <c r="K31" i="29"/>
  <c r="K38" i="29"/>
  <c r="K23" i="29"/>
  <c r="J38" i="29"/>
  <c r="J37" i="29"/>
  <c r="J31" i="29"/>
  <c r="J36" i="29"/>
  <c r="J35" i="29"/>
  <c r="J23" i="29"/>
  <c r="E28" i="29"/>
  <c r="F25" i="29"/>
  <c r="L38" i="29"/>
  <c r="L23" i="29"/>
  <c r="L31" i="29"/>
  <c r="L36" i="29"/>
  <c r="L37" i="29"/>
  <c r="L35" i="29"/>
  <c r="Q39" i="28"/>
  <c r="AB39" i="28"/>
  <c r="V39" i="28"/>
  <c r="F28" i="28"/>
  <c r="G25" i="28"/>
  <c r="B53" i="28"/>
  <c r="C51" i="28" s="1"/>
  <c r="AK39" i="28"/>
  <c r="U39" i="28"/>
  <c r="AJ39" i="28"/>
  <c r="AC39" i="28"/>
  <c r="C39" i="28"/>
  <c r="C40" i="28" s="1"/>
  <c r="C41" i="28" s="1"/>
  <c r="C48" i="28" s="1"/>
  <c r="C52" i="28" s="1"/>
  <c r="H39" i="28"/>
  <c r="AI39" i="28"/>
  <c r="AD39" i="28"/>
  <c r="M39" i="28" l="1"/>
  <c r="I37" i="29"/>
  <c r="N20" i="29"/>
  <c r="I31" i="29"/>
  <c r="N31" i="29" s="1"/>
  <c r="I35" i="29"/>
  <c r="I39" i="29" s="1"/>
  <c r="O39" i="28"/>
  <c r="S39" i="28"/>
  <c r="K39" i="28"/>
  <c r="N38" i="29"/>
  <c r="C39" i="29"/>
  <c r="N23" i="29"/>
  <c r="E40" i="29"/>
  <c r="E41" i="29" s="1"/>
  <c r="E48" i="29" s="1"/>
  <c r="E52" i="29" s="1"/>
  <c r="B41" i="29"/>
  <c r="N37" i="29"/>
  <c r="N36" i="29"/>
  <c r="R39" i="28"/>
  <c r="L39" i="28"/>
  <c r="J39" i="28"/>
  <c r="I39" i="28"/>
  <c r="F40" i="28"/>
  <c r="F41" i="28" s="1"/>
  <c r="F48" i="28" s="1"/>
  <c r="F52" i="28" s="1"/>
  <c r="K39" i="29"/>
  <c r="F28" i="29"/>
  <c r="F40" i="29" s="1"/>
  <c r="F41" i="29" s="1"/>
  <c r="F48" i="29" s="1"/>
  <c r="F52" i="29" s="1"/>
  <c r="G25" i="29"/>
  <c r="L39" i="29"/>
  <c r="J39" i="29"/>
  <c r="C53" i="28"/>
  <c r="D51" i="28" s="1"/>
  <c r="D53" i="28" s="1"/>
  <c r="E51" i="28" s="1"/>
  <c r="E53" i="28" s="1"/>
  <c r="F51" i="28" s="1"/>
  <c r="G28" i="28"/>
  <c r="G40" i="28" s="1"/>
  <c r="G41" i="28" s="1"/>
  <c r="G48" i="28" s="1"/>
  <c r="G52" i="28" s="1"/>
  <c r="H25" i="28"/>
  <c r="N35" i="29" l="1"/>
  <c r="B48" i="29"/>
  <c r="C40" i="29"/>
  <c r="N39" i="29"/>
  <c r="F53" i="28"/>
  <c r="G51" i="28" s="1"/>
  <c r="H25" i="29"/>
  <c r="G28" i="29"/>
  <c r="G40" i="29" s="1"/>
  <c r="G41" i="29" s="1"/>
  <c r="G48" i="29" s="1"/>
  <c r="G52" i="29" s="1"/>
  <c r="G53" i="28"/>
  <c r="H51" i="28" s="1"/>
  <c r="H28" i="28"/>
  <c r="H40" i="28" s="1"/>
  <c r="H41" i="28" s="1"/>
  <c r="H48" i="28" s="1"/>
  <c r="H52" i="28" s="1"/>
  <c r="I25" i="28"/>
  <c r="H53" i="28" l="1"/>
  <c r="I51" i="28" s="1"/>
  <c r="C41" i="29"/>
  <c r="B52" i="29"/>
  <c r="H28" i="29"/>
  <c r="H40" i="29" s="1"/>
  <c r="H41" i="29" s="1"/>
  <c r="H48" i="29" s="1"/>
  <c r="H52" i="29" s="1"/>
  <c r="I25" i="29"/>
  <c r="J25" i="28"/>
  <c r="I28" i="28"/>
  <c r="I40" i="28" s="1"/>
  <c r="I41" i="28" s="1"/>
  <c r="I48" i="28" s="1"/>
  <c r="I52" i="28" s="1"/>
  <c r="I53" i="28" l="1"/>
  <c r="J51" i="28" s="1"/>
  <c r="B57" i="28"/>
  <c r="B53" i="29"/>
  <c r="C51" i="29" s="1"/>
  <c r="C48" i="29"/>
  <c r="I28" i="29"/>
  <c r="I40" i="29" s="1"/>
  <c r="I41" i="29" s="1"/>
  <c r="I48" i="29" s="1"/>
  <c r="I52" i="29" s="1"/>
  <c r="J25" i="29"/>
  <c r="K25" i="28"/>
  <c r="J28" i="28"/>
  <c r="J40" i="28" s="1"/>
  <c r="J41" i="28" s="1"/>
  <c r="J48" i="28" s="1"/>
  <c r="J52" i="28" s="1"/>
  <c r="J53" i="28" s="1"/>
  <c r="K51" i="28" s="1"/>
  <c r="C52" i="29" l="1"/>
  <c r="C53" i="29" s="1"/>
  <c r="D51" i="29" s="1"/>
  <c r="D53" i="29" s="1"/>
  <c r="E51" i="29" s="1"/>
  <c r="E53" i="29" s="1"/>
  <c r="F51" i="29" s="1"/>
  <c r="F53" i="29" s="1"/>
  <c r="G51" i="29" s="1"/>
  <c r="G53" i="29" s="1"/>
  <c r="H51" i="29" s="1"/>
  <c r="H53" i="29" s="1"/>
  <c r="I51" i="29" s="1"/>
  <c r="I53" i="29" s="1"/>
  <c r="J51" i="29" s="1"/>
  <c r="K25" i="29"/>
  <c r="J28" i="29"/>
  <c r="J40" i="29" s="1"/>
  <c r="J41" i="29" s="1"/>
  <c r="J48" i="29" s="1"/>
  <c r="J52" i="29" s="1"/>
  <c r="K28" i="28"/>
  <c r="K40" i="28" s="1"/>
  <c r="K41" i="28" s="1"/>
  <c r="K48" i="28" s="1"/>
  <c r="K52" i="28" s="1"/>
  <c r="K53" i="28" s="1"/>
  <c r="L51" i="28" s="1"/>
  <c r="L25" i="28"/>
  <c r="J53" i="29" l="1"/>
  <c r="K51" i="29" s="1"/>
  <c r="L25" i="29"/>
  <c r="K28" i="29"/>
  <c r="K40" i="29" s="1"/>
  <c r="M25" i="28"/>
  <c r="L28" i="28"/>
  <c r="L40" i="28" s="1"/>
  <c r="L41" i="28" s="1"/>
  <c r="L48" i="28" s="1"/>
  <c r="L52" i="28" s="1"/>
  <c r="L53" i="28" s="1"/>
  <c r="M51" i="28" s="1"/>
  <c r="K41" i="29" l="1"/>
  <c r="M25" i="29"/>
  <c r="N25" i="29" s="1"/>
  <c r="L28" i="29"/>
  <c r="L40" i="29" s="1"/>
  <c r="L41" i="29" s="1"/>
  <c r="L48" i="29" s="1"/>
  <c r="L52" i="29" s="1"/>
  <c r="M28" i="28"/>
  <c r="M40" i="28" s="1"/>
  <c r="M41" i="28" s="1"/>
  <c r="M48" i="28" s="1"/>
  <c r="M52" i="28" s="1"/>
  <c r="M53" i="28" s="1"/>
  <c r="N51" i="28" s="1"/>
  <c r="N25" i="28"/>
  <c r="K48" i="29" l="1"/>
  <c r="M28" i="29"/>
  <c r="N28" i="28"/>
  <c r="N40" i="28" s="1"/>
  <c r="N41" i="28" s="1"/>
  <c r="N48" i="28" s="1"/>
  <c r="N52" i="28" s="1"/>
  <c r="N53" i="28" s="1"/>
  <c r="O51" i="28" s="1"/>
  <c r="O25" i="28"/>
  <c r="M40" i="29" l="1"/>
  <c r="N28" i="29"/>
  <c r="M41" i="29"/>
  <c r="N40" i="29"/>
  <c r="K52" i="29"/>
  <c r="P25" i="28"/>
  <c r="O28" i="28"/>
  <c r="O40" i="28" s="1"/>
  <c r="O41" i="28" s="1"/>
  <c r="O48" i="28" s="1"/>
  <c r="O52" i="28" s="1"/>
  <c r="O53" i="28" s="1"/>
  <c r="P51" i="28" s="1"/>
  <c r="K53" i="29" l="1"/>
  <c r="L51" i="29" s="1"/>
  <c r="L53" i="29" s="1"/>
  <c r="M51" i="29" s="1"/>
  <c r="M48" i="29"/>
  <c r="N41" i="29"/>
  <c r="P28" i="28"/>
  <c r="P40" i="28" s="1"/>
  <c r="P41" i="28" s="1"/>
  <c r="P48" i="28" s="1"/>
  <c r="P52" i="28" s="1"/>
  <c r="P53" i="28" s="1"/>
  <c r="Q51" i="28" s="1"/>
  <c r="Q25" i="28"/>
  <c r="M52" i="29" l="1"/>
  <c r="B57" i="29" s="1"/>
  <c r="N48" i="29"/>
  <c r="M53" i="29"/>
  <c r="R25" i="28"/>
  <c r="Q28" i="28"/>
  <c r="Q40" i="28" s="1"/>
  <c r="Q41" i="28" s="1"/>
  <c r="Q48" i="28" s="1"/>
  <c r="Q52" i="28" s="1"/>
  <c r="Q53" i="28" s="1"/>
  <c r="R51" i="28" s="1"/>
  <c r="B55" i="29" l="1"/>
  <c r="N52" i="29"/>
  <c r="N53" i="29" s="1"/>
  <c r="R28" i="28"/>
  <c r="R40" i="28" s="1"/>
  <c r="R41" i="28" s="1"/>
  <c r="R48" i="28" s="1"/>
  <c r="R52" i="28" s="1"/>
  <c r="R53" i="28" s="1"/>
  <c r="S51" i="28" s="1"/>
  <c r="S25" i="28"/>
  <c r="S28" i="28" l="1"/>
  <c r="S40" i="28" s="1"/>
  <c r="S41" i="28" s="1"/>
  <c r="S48" i="28" s="1"/>
  <c r="S52" i="28" s="1"/>
  <c r="S53" i="28" s="1"/>
  <c r="T51" i="28" s="1"/>
  <c r="T25" i="28"/>
  <c r="U25" i="28" l="1"/>
  <c r="T28" i="28"/>
  <c r="T40" i="28" s="1"/>
  <c r="T41" i="28" s="1"/>
  <c r="T48" i="28" s="1"/>
  <c r="T52" i="28" s="1"/>
  <c r="T53" i="28" s="1"/>
  <c r="U51" i="28" s="1"/>
  <c r="U28" i="28" l="1"/>
  <c r="U40" i="28" s="1"/>
  <c r="U41" i="28" s="1"/>
  <c r="U48" i="28" s="1"/>
  <c r="U52" i="28" s="1"/>
  <c r="U53" i="28" s="1"/>
  <c r="V51" i="28" s="1"/>
  <c r="V25" i="28"/>
  <c r="V28" i="28" l="1"/>
  <c r="V40" i="28" s="1"/>
  <c r="V41" i="28" s="1"/>
  <c r="V48" i="28" s="1"/>
  <c r="V52" i="28" s="1"/>
  <c r="V53" i="28" s="1"/>
  <c r="W51" i="28" s="1"/>
  <c r="W25" i="28"/>
  <c r="X25" i="28" l="1"/>
  <c r="W28" i="28"/>
  <c r="W40" i="28" s="1"/>
  <c r="W41" i="28" s="1"/>
  <c r="W48" i="28" s="1"/>
  <c r="W52" i="28" s="1"/>
  <c r="W53" i="28" s="1"/>
  <c r="X51" i="28" s="1"/>
  <c r="Y25" i="28" l="1"/>
  <c r="X28" i="28"/>
  <c r="X40" i="28" s="1"/>
  <c r="X41" i="28" s="1"/>
  <c r="X48" i="28" s="1"/>
  <c r="X52" i="28" s="1"/>
  <c r="X53" i="28" s="1"/>
  <c r="Y51" i="28" s="1"/>
  <c r="Z25" i="28" l="1"/>
  <c r="Y28" i="28"/>
  <c r="Y40" i="28" s="1"/>
  <c r="Y41" i="28" s="1"/>
  <c r="Y48" i="28" s="1"/>
  <c r="Y52" i="28" s="1"/>
  <c r="Y53" i="28" s="1"/>
  <c r="Z51" i="28" s="1"/>
  <c r="Z28" i="28" l="1"/>
  <c r="Z40" i="28" s="1"/>
  <c r="Z41" i="28" s="1"/>
  <c r="Z48" i="28" s="1"/>
  <c r="Z52" i="28" s="1"/>
  <c r="Z53" i="28" s="1"/>
  <c r="AA51" i="28" s="1"/>
  <c r="AA25" i="28"/>
  <c r="AA28" i="28" l="1"/>
  <c r="AA40" i="28" s="1"/>
  <c r="AA41" i="28" s="1"/>
  <c r="AA48" i="28" s="1"/>
  <c r="AA52" i="28" s="1"/>
  <c r="AA53" i="28" s="1"/>
  <c r="AB51" i="28" s="1"/>
  <c r="AB25" i="28"/>
  <c r="AB28" i="28" l="1"/>
  <c r="AB40" i="28" s="1"/>
  <c r="AB41" i="28" s="1"/>
  <c r="AB48" i="28" s="1"/>
  <c r="AB52" i="28" s="1"/>
  <c r="AB53" i="28" s="1"/>
  <c r="AC51" i="28" s="1"/>
  <c r="AC25" i="28"/>
  <c r="AC28" i="28" l="1"/>
  <c r="AC40" i="28" s="1"/>
  <c r="AC41" i="28" s="1"/>
  <c r="AC48" i="28" s="1"/>
  <c r="AC52" i="28" s="1"/>
  <c r="AC53" i="28" s="1"/>
  <c r="AD51" i="28" s="1"/>
  <c r="AD25" i="28"/>
  <c r="AD28" i="28" l="1"/>
  <c r="AD40" i="28" s="1"/>
  <c r="AD41" i="28" s="1"/>
  <c r="AD48" i="28" s="1"/>
  <c r="AD52" i="28" s="1"/>
  <c r="AD53" i="28" s="1"/>
  <c r="AE51" i="28" s="1"/>
  <c r="AE25" i="28"/>
  <c r="AF25" i="28" l="1"/>
  <c r="AE28" i="28"/>
  <c r="AE40" i="28" s="1"/>
  <c r="AE41" i="28" s="1"/>
  <c r="AE48" i="28" s="1"/>
  <c r="AE52" i="28" s="1"/>
  <c r="AE53" i="28" s="1"/>
  <c r="AF51" i="28" s="1"/>
  <c r="AG25" i="28" l="1"/>
  <c r="AF28" i="28"/>
  <c r="AF40" i="28" s="1"/>
  <c r="AF41" i="28" s="1"/>
  <c r="AF48" i="28" s="1"/>
  <c r="AF52" i="28" s="1"/>
  <c r="AF53" i="28" s="1"/>
  <c r="AG51" i="28" s="1"/>
  <c r="AH25" i="28" l="1"/>
  <c r="AG28" i="28"/>
  <c r="AG40" i="28" s="1"/>
  <c r="AG41" i="28" s="1"/>
  <c r="AG48" i="28" s="1"/>
  <c r="AG52" i="28" s="1"/>
  <c r="AG53" i="28" s="1"/>
  <c r="AH51" i="28" s="1"/>
  <c r="AI25" i="28" l="1"/>
  <c r="AH28" i="28"/>
  <c r="AH40" i="28" s="1"/>
  <c r="AH41" i="28" s="1"/>
  <c r="AH48" i="28" s="1"/>
  <c r="AH52" i="28" s="1"/>
  <c r="AH53" i="28" s="1"/>
  <c r="AI51" i="28" s="1"/>
  <c r="AJ25" i="28" l="1"/>
  <c r="AI28" i="28"/>
  <c r="AI40" i="28" s="1"/>
  <c r="AI41" i="28" s="1"/>
  <c r="AI48" i="28" s="1"/>
  <c r="AI52" i="28" s="1"/>
  <c r="AI53" i="28" s="1"/>
  <c r="AJ51" i="28" s="1"/>
  <c r="AJ28" i="28" l="1"/>
  <c r="AJ40" i="28" s="1"/>
  <c r="AJ41" i="28" s="1"/>
  <c r="AJ48" i="28" s="1"/>
  <c r="AJ52" i="28" s="1"/>
  <c r="AJ53" i="28" s="1"/>
  <c r="AK51" i="28" s="1"/>
  <c r="AK25" i="28"/>
  <c r="AK28" i="28" s="1"/>
  <c r="AK40" i="28" s="1"/>
  <c r="AK41" i="28" s="1"/>
  <c r="AK48" i="28" s="1"/>
  <c r="AK52" i="28" s="1"/>
  <c r="B55" i="28" s="1"/>
  <c r="AK53" i="28" l="1"/>
  <c r="I35" i="25" l="1"/>
  <c r="G35" i="25"/>
  <c r="F35" i="25"/>
  <c r="E35" i="25"/>
  <c r="C45" i="25" s="1"/>
  <c r="C35" i="25"/>
  <c r="B35" i="25"/>
  <c r="G34" i="25"/>
  <c r="F34" i="25"/>
  <c r="C34" i="25"/>
  <c r="B34" i="25"/>
  <c r="G33" i="25"/>
  <c r="G36" i="25" s="1"/>
  <c r="F33" i="25"/>
  <c r="F36" i="25" s="1"/>
  <c r="C33" i="25"/>
  <c r="C36" i="25" s="1"/>
  <c r="B33" i="25"/>
  <c r="B36" i="25" s="1"/>
  <c r="G27" i="25"/>
  <c r="F27" i="25"/>
  <c r="C27" i="25"/>
  <c r="B27" i="25"/>
  <c r="I26" i="25"/>
  <c r="H26" i="25"/>
  <c r="E26" i="25"/>
  <c r="D26" i="25"/>
  <c r="I25" i="25"/>
  <c r="H25" i="25"/>
  <c r="E25" i="25"/>
  <c r="D25" i="25"/>
  <c r="I24" i="25"/>
  <c r="I27" i="25" s="1"/>
  <c r="H24" i="25"/>
  <c r="H27" i="25" s="1"/>
  <c r="E24" i="25"/>
  <c r="E27" i="25" s="1"/>
  <c r="D24" i="25"/>
  <c r="D27" i="25" s="1"/>
  <c r="G18" i="25"/>
  <c r="F18" i="25"/>
  <c r="C18" i="25"/>
  <c r="B18" i="25"/>
  <c r="I17" i="25"/>
  <c r="H17" i="25"/>
  <c r="E17" i="25"/>
  <c r="D17" i="25"/>
  <c r="I16" i="25"/>
  <c r="H16" i="25"/>
  <c r="E16" i="25"/>
  <c r="D16" i="25"/>
  <c r="I15" i="25"/>
  <c r="I18" i="25" s="1"/>
  <c r="H15" i="25"/>
  <c r="H18" i="25" s="1"/>
  <c r="E15" i="25"/>
  <c r="E18" i="25" s="1"/>
  <c r="D15" i="25"/>
  <c r="D18" i="25" s="1"/>
  <c r="G9" i="25"/>
  <c r="F9" i="25"/>
  <c r="C9" i="25"/>
  <c r="B9" i="25"/>
  <c r="I8" i="25"/>
  <c r="H8" i="25"/>
  <c r="H35" i="25" s="1"/>
  <c r="E8" i="25"/>
  <c r="D8" i="25"/>
  <c r="D35" i="25" s="1"/>
  <c r="B45" i="25" s="1"/>
  <c r="I7" i="25"/>
  <c r="I34" i="25" s="1"/>
  <c r="H7" i="25"/>
  <c r="H34" i="25" s="1"/>
  <c r="E7" i="25"/>
  <c r="E34" i="25" s="1"/>
  <c r="C44" i="25" s="1"/>
  <c r="D7" i="25"/>
  <c r="D34" i="25" s="1"/>
  <c r="B44" i="25" s="1"/>
  <c r="I6" i="25"/>
  <c r="I33" i="25" s="1"/>
  <c r="H6" i="25"/>
  <c r="H33" i="25" s="1"/>
  <c r="E6" i="25"/>
  <c r="E33" i="25" s="1"/>
  <c r="D6" i="25"/>
  <c r="D33" i="25" s="1"/>
  <c r="G84" i="14"/>
  <c r="M1" i="22"/>
  <c r="M1" i="23"/>
  <c r="M9" i="23" s="1"/>
  <c r="D9" i="23"/>
  <c r="D13" i="23" s="1"/>
  <c r="J16" i="23"/>
  <c r="K16" i="23"/>
  <c r="L16" i="23"/>
  <c r="F58" i="23"/>
  <c r="E21" i="23" s="1"/>
  <c r="F21" i="23" s="1"/>
  <c r="D58" i="23"/>
  <c r="E56" i="23"/>
  <c r="E20" i="23" s="1"/>
  <c r="F20" i="23" s="1"/>
  <c r="G20" i="23" s="1"/>
  <c r="B56" i="23"/>
  <c r="B53" i="23"/>
  <c r="C52" i="23"/>
  <c r="C44" i="23"/>
  <c r="C42" i="23"/>
  <c r="B39" i="23"/>
  <c r="B38" i="23"/>
  <c r="N36" i="23" s="1"/>
  <c r="L10" i="23"/>
  <c r="A28" i="23"/>
  <c r="C16" i="23"/>
  <c r="B16" i="23" s="1"/>
  <c r="G13" i="23"/>
  <c r="C13" i="23"/>
  <c r="B13" i="23"/>
  <c r="B12" i="23"/>
  <c r="I11" i="23"/>
  <c r="L9" i="23"/>
  <c r="K9" i="23"/>
  <c r="J9" i="23"/>
  <c r="J13" i="23" s="1"/>
  <c r="I9" i="23"/>
  <c r="I13" i="23" s="1"/>
  <c r="H9" i="23"/>
  <c r="H13" i="23" s="1"/>
  <c r="G9" i="23"/>
  <c r="F9" i="23"/>
  <c r="F13" i="23" s="1"/>
  <c r="E9" i="23"/>
  <c r="E13" i="23" s="1"/>
  <c r="C7" i="23"/>
  <c r="D7" i="23" s="1"/>
  <c r="E7" i="23" s="1"/>
  <c r="F7" i="23" s="1"/>
  <c r="G7" i="23" s="1"/>
  <c r="H7" i="23" s="1"/>
  <c r="I7" i="23" s="1"/>
  <c r="J7" i="23" s="1"/>
  <c r="K7" i="23" s="1"/>
  <c r="L7" i="23" s="1"/>
  <c r="M7" i="23" s="1"/>
  <c r="H45" i="25" l="1"/>
  <c r="F45" i="25"/>
  <c r="D45" i="25"/>
  <c r="D36" i="25"/>
  <c r="B43" i="25"/>
  <c r="E36" i="25"/>
  <c r="C43" i="25"/>
  <c r="H36" i="25"/>
  <c r="I45" i="25"/>
  <c r="G45" i="25"/>
  <c r="E45" i="25"/>
  <c r="I36" i="25"/>
  <c r="H44" i="25"/>
  <c r="F44" i="25"/>
  <c r="D44" i="25"/>
  <c r="I44" i="25"/>
  <c r="G44" i="25"/>
  <c r="E44" i="25"/>
  <c r="I9" i="25"/>
  <c r="D9" i="25"/>
  <c r="E9" i="25"/>
  <c r="H9" i="25"/>
  <c r="L13" i="23"/>
  <c r="K10" i="23"/>
  <c r="K13" i="23" s="1"/>
  <c r="M10" i="23"/>
  <c r="M13" i="23" s="1"/>
  <c r="N34" i="23"/>
  <c r="N35" i="23"/>
  <c r="I43" i="25" l="1"/>
  <c r="G43" i="25"/>
  <c r="E43" i="25"/>
  <c r="H43" i="25"/>
  <c r="F43" i="25"/>
  <c r="D43" i="25"/>
  <c r="C53" i="22"/>
  <c r="G35" i="22"/>
  <c r="A28" i="22"/>
  <c r="F58" i="22"/>
  <c r="D58" i="22"/>
  <c r="E56" i="22"/>
  <c r="B56" i="22"/>
  <c r="B53" i="22"/>
  <c r="C52" i="22"/>
  <c r="B16" i="22" s="1"/>
  <c r="C44" i="22"/>
  <c r="C42" i="22"/>
  <c r="B12" i="22" s="1"/>
  <c r="B13" i="22" s="1"/>
  <c r="B39" i="22"/>
  <c r="B38" i="22"/>
  <c r="E9" i="22" s="1"/>
  <c r="C16" i="22"/>
  <c r="I11" i="22"/>
  <c r="C7" i="22"/>
  <c r="D7" i="22" s="1"/>
  <c r="E7" i="22" s="1"/>
  <c r="F7" i="22" s="1"/>
  <c r="G7" i="22" s="1"/>
  <c r="H7" i="22" s="1"/>
  <c r="I7" i="22" s="1"/>
  <c r="J7" i="22" s="1"/>
  <c r="K7" i="22" s="1"/>
  <c r="L7" i="22" s="1"/>
  <c r="M7" i="22" s="1"/>
  <c r="C13" i="21"/>
  <c r="B13" i="21" s="1"/>
  <c r="C49" i="21"/>
  <c r="D55" i="21"/>
  <c r="B53" i="21"/>
  <c r="F55" i="21"/>
  <c r="E18" i="21" s="1"/>
  <c r="E53" i="21"/>
  <c r="E17" i="21" s="1"/>
  <c r="I8" i="21"/>
  <c r="M10" i="22" l="1"/>
  <c r="M9" i="22"/>
  <c r="D9" i="22"/>
  <c r="D13" i="22" s="1"/>
  <c r="I9" i="22"/>
  <c r="I13" i="22" s="1"/>
  <c r="E21" i="22"/>
  <c r="F21" i="22" s="1"/>
  <c r="L9" i="22"/>
  <c r="K9" i="22"/>
  <c r="K13" i="22" s="1"/>
  <c r="J9" i="22"/>
  <c r="J13" i="22" s="1"/>
  <c r="H9" i="22"/>
  <c r="H13" i="22" s="1"/>
  <c r="K10" i="22"/>
  <c r="E20" i="22"/>
  <c r="F20" i="22" s="1"/>
  <c r="G20" i="22" s="1"/>
  <c r="L10" i="22"/>
  <c r="G9" i="22"/>
  <c r="G13" i="22" s="1"/>
  <c r="F9" i="22"/>
  <c r="F13" i="22" s="1"/>
  <c r="L16" i="22"/>
  <c r="J16" i="22"/>
  <c r="K16" i="22"/>
  <c r="N34" i="22"/>
  <c r="N35" i="22"/>
  <c r="E13" i="22"/>
  <c r="N36" i="22"/>
  <c r="N37" i="22" s="1"/>
  <c r="B50" i="21"/>
  <c r="C50" i="21" s="1"/>
  <c r="C39" i="21"/>
  <c r="B9" i="21" s="1"/>
  <c r="B36" i="21"/>
  <c r="B35" i="21"/>
  <c r="F18" i="21"/>
  <c r="F17" i="21"/>
  <c r="G17" i="21" s="1"/>
  <c r="E16" i="21"/>
  <c r="D16" i="21"/>
  <c r="C16" i="21"/>
  <c r="C41" i="21"/>
  <c r="H10" i="21"/>
  <c r="E6" i="21"/>
  <c r="C4" i="21"/>
  <c r="D4" i="21" s="1"/>
  <c r="E4" i="21" s="1"/>
  <c r="F4" i="21" s="1"/>
  <c r="G4" i="21" s="1"/>
  <c r="H4" i="21" s="1"/>
  <c r="I4" i="21" s="1"/>
  <c r="J4" i="21" s="1"/>
  <c r="K4" i="21" s="1"/>
  <c r="L4" i="21" s="1"/>
  <c r="M4" i="21" s="1"/>
  <c r="C1" i="21"/>
  <c r="F13" i="21" l="1"/>
  <c r="E13" i="21"/>
  <c r="D13" i="21"/>
  <c r="D10" i="21"/>
  <c r="N32" i="21"/>
  <c r="G6" i="21"/>
  <c r="G10" i="21" s="1"/>
  <c r="L13" i="22"/>
  <c r="M13" i="22"/>
  <c r="N31" i="21"/>
  <c r="N33" i="21"/>
  <c r="M6" i="21" s="1"/>
  <c r="M10" i="21" s="1"/>
  <c r="D6" i="21"/>
  <c r="C10" i="21" s="1"/>
  <c r="I10" i="21"/>
  <c r="B10" i="21"/>
  <c r="F6" i="21"/>
  <c r="L6" i="21"/>
  <c r="L10" i="21" s="1"/>
  <c r="J10" i="21"/>
  <c r="K10" i="21"/>
  <c r="E10" i="21" l="1"/>
  <c r="F10" i="21"/>
  <c r="H19" i="21" l="1"/>
  <c r="H22" i="21" s="1"/>
  <c r="I19" i="21" l="1"/>
  <c r="I22" i="21" s="1"/>
  <c r="J19" i="21" l="1"/>
  <c r="J22" i="21" s="1"/>
  <c r="K19" i="21" l="1"/>
  <c r="K22" i="21" s="1"/>
  <c r="M19" i="21" l="1"/>
  <c r="M22" i="21" s="1"/>
  <c r="L19" i="21"/>
  <c r="L22" i="21" s="1"/>
  <c r="N81" i="19" l="1"/>
  <c r="N83" i="19"/>
  <c r="L70" i="19"/>
  <c r="P85" i="19"/>
  <c r="P84" i="19"/>
  <c r="P83" i="19"/>
  <c r="P82" i="19"/>
  <c r="P81" i="19"/>
  <c r="P80" i="19"/>
  <c r="P74" i="19"/>
  <c r="P79" i="19"/>
  <c r="L63" i="19"/>
  <c r="M30" i="19"/>
  <c r="O30" i="19" s="1"/>
  <c r="M29" i="19"/>
  <c r="O29" i="19" s="1"/>
  <c r="L65" i="19"/>
  <c r="L92" i="19" s="1"/>
  <c r="L90" i="19"/>
  <c r="P60" i="19"/>
  <c r="N60" i="19"/>
  <c r="L60" i="19"/>
  <c r="L87" i="19" s="1"/>
  <c r="P59" i="19"/>
  <c r="N59" i="19"/>
  <c r="L59" i="19"/>
  <c r="L86" i="19" s="1"/>
  <c r="P58" i="19"/>
  <c r="N58" i="19"/>
  <c r="M58" i="19"/>
  <c r="L58" i="19"/>
  <c r="L85" i="19" s="1"/>
  <c r="P57" i="19"/>
  <c r="N57" i="19"/>
  <c r="L57" i="19"/>
  <c r="L84" i="19" s="1"/>
  <c r="N56" i="19"/>
  <c r="L56" i="19"/>
  <c r="L83" i="19" s="1"/>
  <c r="P55" i="19"/>
  <c r="N55" i="19"/>
  <c r="L55" i="19"/>
  <c r="L82" i="19" s="1"/>
  <c r="P54" i="19"/>
  <c r="N54" i="19"/>
  <c r="L54" i="19"/>
  <c r="L81" i="19" s="1"/>
  <c r="P53" i="19"/>
  <c r="N53" i="19"/>
  <c r="N80" i="19" s="1"/>
  <c r="M53" i="19"/>
  <c r="L53" i="19"/>
  <c r="L80" i="19" s="1"/>
  <c r="P52" i="19"/>
  <c r="N52" i="19"/>
  <c r="N79" i="19" s="1"/>
  <c r="L52" i="19"/>
  <c r="L79" i="19" s="1"/>
  <c r="N51" i="19"/>
  <c r="N78" i="19" s="1"/>
  <c r="L51" i="19"/>
  <c r="L78" i="19" s="1"/>
  <c r="P47" i="19"/>
  <c r="N47" i="19"/>
  <c r="L47" i="19"/>
  <c r="L74" i="19" s="1"/>
  <c r="L46" i="19"/>
  <c r="L73" i="19" s="1"/>
  <c r="L45" i="19"/>
  <c r="L72" i="19" s="1"/>
  <c r="N44" i="19"/>
  <c r="L44" i="19"/>
  <c r="L71" i="19" s="1"/>
  <c r="O28" i="19"/>
  <c r="O58" i="19" s="1"/>
  <c r="O85" i="19" s="1"/>
  <c r="M27" i="19"/>
  <c r="M26" i="19"/>
  <c r="O22" i="19"/>
  <c r="O47" i="19" s="1"/>
  <c r="O74" i="19" s="1"/>
  <c r="O21" i="19"/>
  <c r="O46" i="19" s="1"/>
  <c r="O73" i="19" s="1"/>
  <c r="N21" i="19"/>
  <c r="N46" i="19" s="1"/>
  <c r="N73" i="19" s="1"/>
  <c r="O20" i="19"/>
  <c r="N20" i="19"/>
  <c r="N45" i="19" s="1"/>
  <c r="N72" i="19" s="1"/>
  <c r="M13" i="19"/>
  <c r="M7" i="19"/>
  <c r="N21" i="18"/>
  <c r="N20" i="18"/>
  <c r="O20" i="18"/>
  <c r="O45" i="18" s="1"/>
  <c r="O72" i="18" s="1"/>
  <c r="O89" i="18"/>
  <c r="L86" i="18"/>
  <c r="L84" i="18"/>
  <c r="L81" i="18"/>
  <c r="L73" i="18"/>
  <c r="L71" i="18"/>
  <c r="L65" i="18"/>
  <c r="L92" i="18" s="1"/>
  <c r="L63" i="18"/>
  <c r="L90" i="18" s="1"/>
  <c r="P60" i="18"/>
  <c r="N60" i="18"/>
  <c r="L60" i="18"/>
  <c r="L87" i="18" s="1"/>
  <c r="P59" i="18"/>
  <c r="N59" i="18"/>
  <c r="L59" i="18"/>
  <c r="P58" i="18"/>
  <c r="N58" i="18"/>
  <c r="M58" i="18"/>
  <c r="L58" i="18"/>
  <c r="L85" i="18" s="1"/>
  <c r="P57" i="18"/>
  <c r="N57" i="18"/>
  <c r="L57" i="18"/>
  <c r="N56" i="18"/>
  <c r="N83" i="18" s="1"/>
  <c r="L56" i="18"/>
  <c r="L83" i="18" s="1"/>
  <c r="P55" i="18"/>
  <c r="N55" i="18"/>
  <c r="L55" i="18"/>
  <c r="L82" i="18" s="1"/>
  <c r="P54" i="18"/>
  <c r="N54" i="18"/>
  <c r="N81" i="18" s="1"/>
  <c r="L54" i="18"/>
  <c r="P53" i="18"/>
  <c r="N53" i="18"/>
  <c r="N80" i="18" s="1"/>
  <c r="M53" i="18"/>
  <c r="L53" i="18"/>
  <c r="L80" i="18" s="1"/>
  <c r="P52" i="18"/>
  <c r="N52" i="18"/>
  <c r="N79" i="18" s="1"/>
  <c r="L52" i="18"/>
  <c r="L79" i="18" s="1"/>
  <c r="N51" i="18"/>
  <c r="N78" i="18" s="1"/>
  <c r="L51" i="18"/>
  <c r="L78" i="18" s="1"/>
  <c r="P47" i="18"/>
  <c r="O47" i="18"/>
  <c r="O74" i="18" s="1"/>
  <c r="N47" i="18"/>
  <c r="L47" i="18"/>
  <c r="L74" i="18" s="1"/>
  <c r="N46" i="18"/>
  <c r="N73" i="18" s="1"/>
  <c r="L46" i="18"/>
  <c r="N45" i="18"/>
  <c r="N72" i="18" s="1"/>
  <c r="L45" i="18"/>
  <c r="L72" i="18" s="1"/>
  <c r="N44" i="18"/>
  <c r="M44" i="18"/>
  <c r="L44" i="18"/>
  <c r="O28" i="18"/>
  <c r="O58" i="18" s="1"/>
  <c r="O85" i="18" s="1"/>
  <c r="M27" i="18"/>
  <c r="O27" i="18" s="1"/>
  <c r="O57" i="18" s="1"/>
  <c r="O84" i="18" s="1"/>
  <c r="O26" i="18"/>
  <c r="O56" i="18" s="1"/>
  <c r="O83" i="18" s="1"/>
  <c r="M26" i="18"/>
  <c r="M56" i="18" s="1"/>
  <c r="M83" i="18" s="1"/>
  <c r="O22" i="18"/>
  <c r="O21" i="18"/>
  <c r="M13" i="18"/>
  <c r="M55" i="18" s="1"/>
  <c r="O7" i="18"/>
  <c r="M7" i="18"/>
  <c r="B17" i="23" l="1"/>
  <c r="B14" i="21"/>
  <c r="B17" i="22"/>
  <c r="M44" i="19"/>
  <c r="O7" i="19"/>
  <c r="M55" i="19"/>
  <c r="O13" i="19"/>
  <c r="O55" i="19" s="1"/>
  <c r="O82" i="19" s="1"/>
  <c r="O45" i="19"/>
  <c r="O72" i="19" s="1"/>
  <c r="O23" i="19"/>
  <c r="M56" i="19"/>
  <c r="M83" i="19" s="1"/>
  <c r="O26" i="19"/>
  <c r="O56" i="19" s="1"/>
  <c r="O83" i="19" s="1"/>
  <c r="M57" i="19"/>
  <c r="O27" i="19"/>
  <c r="O57" i="19" s="1"/>
  <c r="O84" i="19" s="1"/>
  <c r="O23" i="18"/>
  <c r="O46" i="18"/>
  <c r="O73" i="18" s="1"/>
  <c r="O13" i="18"/>
  <c r="O55" i="18" s="1"/>
  <c r="O82" i="18" s="1"/>
  <c r="O44" i="18"/>
  <c r="M57" i="18"/>
  <c r="C14" i="21" l="1"/>
  <c r="B19" i="21"/>
  <c r="B22" i="21" s="1"/>
  <c r="C17" i="22"/>
  <c r="B22" i="22"/>
  <c r="B25" i="22" s="1"/>
  <c r="B26" i="22" s="1"/>
  <c r="C24" i="22" s="1"/>
  <c r="C17" i="23"/>
  <c r="B22" i="23"/>
  <c r="B25" i="23" s="1"/>
  <c r="O44" i="19"/>
  <c r="O48" i="18"/>
  <c r="O71" i="18"/>
  <c r="L92" i="16"/>
  <c r="L72" i="16"/>
  <c r="N72" i="16"/>
  <c r="L73" i="16"/>
  <c r="N73" i="16"/>
  <c r="L74" i="16"/>
  <c r="O74" i="16"/>
  <c r="L78" i="16"/>
  <c r="N78" i="16"/>
  <c r="L79" i="16"/>
  <c r="N79" i="16"/>
  <c r="L80" i="16"/>
  <c r="N80" i="16"/>
  <c r="L81" i="16"/>
  <c r="N81" i="16"/>
  <c r="L82" i="16"/>
  <c r="O82" i="16"/>
  <c r="L83" i="16"/>
  <c r="M83" i="16"/>
  <c r="N83" i="16"/>
  <c r="O83" i="16"/>
  <c r="L84" i="16"/>
  <c r="O84" i="16"/>
  <c r="L85" i="16"/>
  <c r="O85" i="16"/>
  <c r="L86" i="16"/>
  <c r="L87" i="16"/>
  <c r="O89" i="16"/>
  <c r="L90" i="16"/>
  <c r="L71" i="16"/>
  <c r="O71" i="16"/>
  <c r="O21" i="16"/>
  <c r="O46" i="16" s="1"/>
  <c r="O73" i="16" s="1"/>
  <c r="O20" i="16"/>
  <c r="O45" i="16" s="1"/>
  <c r="O72" i="16" s="1"/>
  <c r="M26" i="16"/>
  <c r="L65" i="16"/>
  <c r="L63" i="16"/>
  <c r="N51" i="16"/>
  <c r="N52" i="16"/>
  <c r="P52" i="16"/>
  <c r="N53" i="16"/>
  <c r="P53" i="16"/>
  <c r="P54" i="16"/>
  <c r="N55" i="16"/>
  <c r="P55" i="16"/>
  <c r="N57" i="16"/>
  <c r="P57" i="16"/>
  <c r="M58" i="16"/>
  <c r="N58" i="16"/>
  <c r="P58" i="16"/>
  <c r="N59" i="16"/>
  <c r="P59" i="16"/>
  <c r="N60" i="16"/>
  <c r="P60" i="16"/>
  <c r="L60" i="16"/>
  <c r="L59" i="16"/>
  <c r="L58" i="16"/>
  <c r="L57" i="16"/>
  <c r="L56" i="16"/>
  <c r="L55" i="16"/>
  <c r="L54" i="16"/>
  <c r="L53" i="16"/>
  <c r="L52" i="16"/>
  <c r="L51" i="16"/>
  <c r="N44" i="16"/>
  <c r="N45" i="16"/>
  <c r="N47" i="16"/>
  <c r="P47" i="16"/>
  <c r="L47" i="16"/>
  <c r="L46" i="16"/>
  <c r="L45" i="16"/>
  <c r="L44" i="16"/>
  <c r="N46" i="16"/>
  <c r="N54" i="16"/>
  <c r="M56" i="16"/>
  <c r="O22" i="16"/>
  <c r="O47" i="16" s="1"/>
  <c r="M7" i="16"/>
  <c r="O7" i="16" s="1"/>
  <c r="O44" i="16" s="1"/>
  <c r="F26" i="17"/>
  <c r="H23" i="17"/>
  <c r="H24" i="17" s="1"/>
  <c r="G23" i="17"/>
  <c r="G24" i="17" s="1"/>
  <c r="F23" i="17"/>
  <c r="F24" i="17" s="1"/>
  <c r="E23" i="17"/>
  <c r="E24" i="17" s="1"/>
  <c r="H20" i="17"/>
  <c r="G20" i="17"/>
  <c r="F20" i="17"/>
  <c r="E20" i="17"/>
  <c r="O28" i="16"/>
  <c r="O58" i="16" s="1"/>
  <c r="M27" i="16"/>
  <c r="O27" i="16" s="1"/>
  <c r="O57" i="16" s="1"/>
  <c r="M13" i="16"/>
  <c r="O13" i="16" s="1"/>
  <c r="O55" i="16" s="1"/>
  <c r="D7" i="13"/>
  <c r="D17" i="23" l="1"/>
  <c r="C22" i="23"/>
  <c r="C25" i="23" s="1"/>
  <c r="D17" i="22"/>
  <c r="C22" i="22"/>
  <c r="B26" i="23"/>
  <c r="C24" i="23" s="1"/>
  <c r="C26" i="23" s="1"/>
  <c r="D24" i="23" s="1"/>
  <c r="B23" i="21"/>
  <c r="C21" i="21" s="1"/>
  <c r="D14" i="21"/>
  <c r="C19" i="21"/>
  <c r="C22" i="21" s="1"/>
  <c r="O71" i="19"/>
  <c r="O48" i="19"/>
  <c r="O75" i="18"/>
  <c r="O48" i="16"/>
  <c r="O75" i="16" s="1"/>
  <c r="M55" i="16"/>
  <c r="M44" i="16"/>
  <c r="M57" i="16"/>
  <c r="N56" i="16"/>
  <c r="O23" i="16"/>
  <c r="O24" i="9"/>
  <c r="C32" i="4"/>
  <c r="C31" i="4"/>
  <c r="O51" i="9"/>
  <c r="O50" i="9"/>
  <c r="O43" i="9"/>
  <c r="O40" i="9"/>
  <c r="N41" i="9"/>
  <c r="O28" i="9"/>
  <c r="M24" i="9"/>
  <c r="G81" i="14"/>
  <c r="G80" i="14"/>
  <c r="G79" i="14"/>
  <c r="G78" i="14"/>
  <c r="G82" i="14" s="1"/>
  <c r="G53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73" i="14" s="1"/>
  <c r="G5" i="14"/>
  <c r="G4" i="14"/>
  <c r="G3" i="14"/>
  <c r="C23" i="21" l="1"/>
  <c r="D21" i="21" s="1"/>
  <c r="E17" i="22"/>
  <c r="D22" i="22"/>
  <c r="D25" i="22" s="1"/>
  <c r="E14" i="21"/>
  <c r="D19" i="21"/>
  <c r="D22" i="21" s="1"/>
  <c r="B27" i="21" s="1"/>
  <c r="D22" i="23"/>
  <c r="D25" i="23" s="1"/>
  <c r="E17" i="23"/>
  <c r="O75" i="19"/>
  <c r="O26" i="16"/>
  <c r="O56" i="16" s="1"/>
  <c r="M47" i="9"/>
  <c r="E14" i="4"/>
  <c r="E13" i="4"/>
  <c r="E12" i="4"/>
  <c r="C30" i="4" s="1"/>
  <c r="E11" i="4"/>
  <c r="E10" i="4"/>
  <c r="C28" i="4" s="1"/>
  <c r="E9" i="4"/>
  <c r="E8" i="4"/>
  <c r="E7" i="4"/>
  <c r="E6" i="4"/>
  <c r="J33" i="4" s="1"/>
  <c r="E5" i="4"/>
  <c r="H29" i="8"/>
  <c r="H53" i="8" s="1"/>
  <c r="H71" i="8" s="1"/>
  <c r="B43" i="8"/>
  <c r="N32" i="9"/>
  <c r="O32" i="9" s="1"/>
  <c r="N40" i="9"/>
  <c r="O11" i="9"/>
  <c r="O12" i="9"/>
  <c r="O10" i="9"/>
  <c r="O13" i="9" s="1"/>
  <c r="O6" i="9"/>
  <c r="C29" i="4"/>
  <c r="E22" i="23" l="1"/>
  <c r="E25" i="23" s="1"/>
  <c r="B30" i="23" s="1"/>
  <c r="F17" i="23"/>
  <c r="F14" i="21"/>
  <c r="E19" i="21"/>
  <c r="E22" i="21" s="1"/>
  <c r="F17" i="22"/>
  <c r="E22" i="22"/>
  <c r="E25" i="22" s="1"/>
  <c r="D26" i="23"/>
  <c r="E24" i="23" s="1"/>
  <c r="E26" i="23" s="1"/>
  <c r="F24" i="23" s="1"/>
  <c r="D23" i="21"/>
  <c r="E21" i="21" s="1"/>
  <c r="J41" i="4"/>
  <c r="J44" i="4" s="1"/>
  <c r="G17" i="22" l="1"/>
  <c r="F22" i="22"/>
  <c r="F25" i="22" s="1"/>
  <c r="G14" i="21"/>
  <c r="G19" i="21" s="1"/>
  <c r="G22" i="21" s="1"/>
  <c r="F19" i="21"/>
  <c r="F22" i="21" s="1"/>
  <c r="F22" i="23"/>
  <c r="F25" i="23" s="1"/>
  <c r="G17" i="23"/>
  <c r="F26" i="23"/>
  <c r="G24" i="23" s="1"/>
  <c r="E23" i="21"/>
  <c r="F21" i="21" s="1"/>
  <c r="C24" i="4"/>
  <c r="C25" i="4"/>
  <c r="C26" i="4"/>
  <c r="C27" i="4"/>
  <c r="L22" i="4" s="1"/>
  <c r="C23" i="4"/>
  <c r="J21" i="4" s="1"/>
  <c r="J22" i="4" s="1"/>
  <c r="A158" i="12"/>
  <c r="K155" i="12"/>
  <c r="K147" i="12"/>
  <c r="K146" i="12"/>
  <c r="N145" i="12"/>
  <c r="N144" i="12"/>
  <c r="N143" i="12"/>
  <c r="N142" i="12"/>
  <c r="N141" i="12"/>
  <c r="K139" i="12"/>
  <c r="K135" i="12"/>
  <c r="K130" i="12"/>
  <c r="K129" i="12"/>
  <c r="K128" i="12"/>
  <c r="K127" i="12"/>
  <c r="K132" i="12" s="1"/>
  <c r="A122" i="12"/>
  <c r="K121" i="12"/>
  <c r="K120" i="12"/>
  <c r="K117" i="12"/>
  <c r="A117" i="12"/>
  <c r="K116" i="12"/>
  <c r="A116" i="12"/>
  <c r="K115" i="12"/>
  <c r="A115" i="12"/>
  <c r="K114" i="12"/>
  <c r="A114" i="12"/>
  <c r="K113" i="12"/>
  <c r="A113" i="12"/>
  <c r="K112" i="12"/>
  <c r="A112" i="12"/>
  <c r="K111" i="12"/>
  <c r="A111" i="12"/>
  <c r="K110" i="12"/>
  <c r="A110" i="12"/>
  <c r="A107" i="12"/>
  <c r="L106" i="12"/>
  <c r="K106" i="12"/>
  <c r="A103" i="12"/>
  <c r="A102" i="12"/>
  <c r="A145" i="12" s="1"/>
  <c r="A101" i="12"/>
  <c r="A100" i="12"/>
  <c r="A153" i="12" s="1"/>
  <c r="A99" i="12"/>
  <c r="A144" i="12" s="1"/>
  <c r="A98" i="12"/>
  <c r="A97" i="12"/>
  <c r="A152" i="12" s="1"/>
  <c r="A96" i="12"/>
  <c r="A151" i="12" s="1"/>
  <c r="A95" i="12"/>
  <c r="A93" i="12"/>
  <c r="A92" i="12"/>
  <c r="A91" i="12"/>
  <c r="BF80" i="12"/>
  <c r="BD80" i="12"/>
  <c r="BA80" i="12"/>
  <c r="BD74" i="12"/>
  <c r="BA74" i="12"/>
  <c r="R67" i="12"/>
  <c r="Q67" i="12"/>
  <c r="P67" i="12"/>
  <c r="O67" i="12"/>
  <c r="N67" i="12"/>
  <c r="M67" i="12"/>
  <c r="L67" i="12"/>
  <c r="R65" i="12"/>
  <c r="Q65" i="12"/>
  <c r="P65" i="12"/>
  <c r="O65" i="12"/>
  <c r="N65" i="12"/>
  <c r="M65" i="12"/>
  <c r="L65" i="12"/>
  <c r="R64" i="12"/>
  <c r="Q64" i="12"/>
  <c r="P64" i="12"/>
  <c r="O64" i="12"/>
  <c r="N64" i="12"/>
  <c r="N70" i="12" s="1"/>
  <c r="M64" i="12"/>
  <c r="L64" i="12"/>
  <c r="R63" i="12"/>
  <c r="Q63" i="12"/>
  <c r="P63" i="12"/>
  <c r="O63" i="12"/>
  <c r="N63" i="12"/>
  <c r="N69" i="12" s="1"/>
  <c r="O69" i="12" s="1"/>
  <c r="P69" i="12" s="1"/>
  <c r="Q69" i="12" s="1"/>
  <c r="R69" i="12" s="1"/>
  <c r="M63" i="12"/>
  <c r="L63" i="12"/>
  <c r="R53" i="12"/>
  <c r="Q53" i="12"/>
  <c r="P53" i="12"/>
  <c r="O53" i="12"/>
  <c r="N53" i="12"/>
  <c r="R27" i="12"/>
  <c r="Q27" i="12"/>
  <c r="P27" i="12"/>
  <c r="O27" i="12"/>
  <c r="N27" i="12"/>
  <c r="M27" i="12"/>
  <c r="L27" i="12"/>
  <c r="K27" i="12"/>
  <c r="H27" i="12"/>
  <c r="G27" i="12"/>
  <c r="F27" i="12"/>
  <c r="E27" i="12"/>
  <c r="D27" i="12"/>
  <c r="C27" i="12"/>
  <c r="B27" i="12"/>
  <c r="R24" i="12"/>
  <c r="Q24" i="12"/>
  <c r="P24" i="12"/>
  <c r="O24" i="12"/>
  <c r="N24" i="12"/>
  <c r="M24" i="12"/>
  <c r="L24" i="12"/>
  <c r="K24" i="12"/>
  <c r="H24" i="12"/>
  <c r="G24" i="12"/>
  <c r="F24" i="12"/>
  <c r="E24" i="12"/>
  <c r="D24" i="12"/>
  <c r="C24" i="12"/>
  <c r="B24" i="12"/>
  <c r="R23" i="12"/>
  <c r="Q23" i="12"/>
  <c r="P23" i="12"/>
  <c r="O23" i="12"/>
  <c r="N23" i="12"/>
  <c r="M23" i="12"/>
  <c r="L23" i="12"/>
  <c r="K23" i="12"/>
  <c r="H23" i="12"/>
  <c r="G23" i="12"/>
  <c r="F23" i="12"/>
  <c r="E23" i="12"/>
  <c r="D23" i="12"/>
  <c r="C23" i="12"/>
  <c r="B23" i="12"/>
  <c r="R22" i="12"/>
  <c r="Q22" i="12"/>
  <c r="P22" i="12"/>
  <c r="O22" i="12"/>
  <c r="N22" i="12"/>
  <c r="M22" i="12"/>
  <c r="L22" i="12"/>
  <c r="K22" i="12"/>
  <c r="H22" i="12"/>
  <c r="G22" i="12"/>
  <c r="F22" i="12"/>
  <c r="E22" i="12"/>
  <c r="D22" i="12"/>
  <c r="C22" i="12"/>
  <c r="B22" i="12"/>
  <c r="R21" i="12"/>
  <c r="Q21" i="12"/>
  <c r="P21" i="12"/>
  <c r="O21" i="12"/>
  <c r="N21" i="12"/>
  <c r="M21" i="12"/>
  <c r="L21" i="12"/>
  <c r="K21" i="12"/>
  <c r="H21" i="12"/>
  <c r="G21" i="12"/>
  <c r="F21" i="12"/>
  <c r="E21" i="12"/>
  <c r="D21" i="12"/>
  <c r="C21" i="12"/>
  <c r="B21" i="12"/>
  <c r="R20" i="12"/>
  <c r="Q20" i="12"/>
  <c r="P20" i="12"/>
  <c r="O20" i="12"/>
  <c r="N20" i="12"/>
  <c r="M20" i="12"/>
  <c r="L20" i="12"/>
  <c r="K20" i="12"/>
  <c r="H20" i="12"/>
  <c r="G20" i="12"/>
  <c r="F20" i="12"/>
  <c r="E20" i="12"/>
  <c r="D20" i="12"/>
  <c r="C20" i="12"/>
  <c r="B20" i="12"/>
  <c r="R19" i="12"/>
  <c r="Q19" i="12"/>
  <c r="P19" i="12"/>
  <c r="O19" i="12"/>
  <c r="N19" i="12"/>
  <c r="M19" i="12"/>
  <c r="L19" i="12"/>
  <c r="K19" i="12"/>
  <c r="H19" i="12"/>
  <c r="G19" i="12"/>
  <c r="F19" i="12"/>
  <c r="E19" i="12"/>
  <c r="D19" i="12"/>
  <c r="C19" i="12"/>
  <c r="B19" i="12"/>
  <c r="R18" i="12"/>
  <c r="Q18" i="12"/>
  <c r="P18" i="12"/>
  <c r="O18" i="12"/>
  <c r="N18" i="12"/>
  <c r="M18" i="12"/>
  <c r="L18" i="12"/>
  <c r="K18" i="12"/>
  <c r="H18" i="12"/>
  <c r="G18" i="12"/>
  <c r="F18" i="12"/>
  <c r="E18" i="12"/>
  <c r="D18" i="12"/>
  <c r="C18" i="12"/>
  <c r="B18" i="12"/>
  <c r="R17" i="12"/>
  <c r="Q17" i="12"/>
  <c r="P17" i="12"/>
  <c r="O17" i="12"/>
  <c r="N17" i="12"/>
  <c r="M17" i="12"/>
  <c r="L17" i="12"/>
  <c r="K17" i="12"/>
  <c r="H17" i="12"/>
  <c r="G17" i="12"/>
  <c r="F17" i="12"/>
  <c r="E17" i="12"/>
  <c r="D17" i="12"/>
  <c r="C17" i="12"/>
  <c r="B17" i="12"/>
  <c r="R16" i="12"/>
  <c r="Q16" i="12"/>
  <c r="P16" i="12"/>
  <c r="O16" i="12"/>
  <c r="N16" i="12"/>
  <c r="M16" i="12"/>
  <c r="L16" i="12"/>
  <c r="K16" i="12"/>
  <c r="H16" i="12"/>
  <c r="G16" i="12"/>
  <c r="F16" i="12"/>
  <c r="E16" i="12"/>
  <c r="D16" i="12"/>
  <c r="C16" i="12"/>
  <c r="B16" i="12"/>
  <c r="R15" i="12"/>
  <c r="Q15" i="12"/>
  <c r="P15" i="12"/>
  <c r="O15" i="12"/>
  <c r="N15" i="12"/>
  <c r="M15" i="12"/>
  <c r="L15" i="12"/>
  <c r="K15" i="12"/>
  <c r="R14" i="12"/>
  <c r="Q14" i="12"/>
  <c r="P14" i="12"/>
  <c r="O14" i="12"/>
  <c r="N14" i="12"/>
  <c r="M14" i="12"/>
  <c r="L14" i="12"/>
  <c r="K14" i="12"/>
  <c r="H14" i="12"/>
  <c r="G14" i="12"/>
  <c r="F14" i="12"/>
  <c r="E14" i="12"/>
  <c r="D14" i="12"/>
  <c r="C14" i="12"/>
  <c r="B14" i="12"/>
  <c r="R13" i="12"/>
  <c r="Q13" i="12"/>
  <c r="P13" i="12"/>
  <c r="O13" i="12"/>
  <c r="N13" i="12"/>
  <c r="M13" i="12"/>
  <c r="L13" i="12"/>
  <c r="K13" i="12"/>
  <c r="H13" i="12"/>
  <c r="G13" i="12"/>
  <c r="F13" i="12"/>
  <c r="E13" i="12"/>
  <c r="D13" i="12"/>
  <c r="C13" i="12"/>
  <c r="B13" i="12"/>
  <c r="R12" i="12"/>
  <c r="Q12" i="12"/>
  <c r="P12" i="12"/>
  <c r="O12" i="12"/>
  <c r="N12" i="12"/>
  <c r="M12" i="12"/>
  <c r="L12" i="12"/>
  <c r="K12" i="12"/>
  <c r="H12" i="12"/>
  <c r="G12" i="12"/>
  <c r="F12" i="12"/>
  <c r="E12" i="12"/>
  <c r="D12" i="12"/>
  <c r="C12" i="12"/>
  <c r="B12" i="12"/>
  <c r="S8" i="12"/>
  <c r="R7" i="12"/>
  <c r="Q7" i="12"/>
  <c r="P7" i="12"/>
  <c r="O7" i="12"/>
  <c r="N7" i="12"/>
  <c r="M7" i="12"/>
  <c r="L7" i="12"/>
  <c r="K7" i="12"/>
  <c r="H7" i="12"/>
  <c r="G7" i="12"/>
  <c r="F7" i="12"/>
  <c r="E7" i="12"/>
  <c r="D7" i="12"/>
  <c r="C7" i="12"/>
  <c r="B7" i="12"/>
  <c r="R6" i="12"/>
  <c r="Q6" i="12"/>
  <c r="P6" i="12"/>
  <c r="O6" i="12"/>
  <c r="N6" i="12"/>
  <c r="M6" i="12"/>
  <c r="L6" i="12"/>
  <c r="L9" i="12" s="1"/>
  <c r="K6" i="12"/>
  <c r="K9" i="12" s="1"/>
  <c r="H6" i="12"/>
  <c r="G6" i="12"/>
  <c r="F6" i="12"/>
  <c r="E6" i="12"/>
  <c r="D6" i="12"/>
  <c r="C6" i="12"/>
  <c r="B6" i="12"/>
  <c r="R5" i="12"/>
  <c r="Q5" i="12"/>
  <c r="P5" i="12"/>
  <c r="O5" i="12"/>
  <c r="N5" i="12"/>
  <c r="T5" i="12" s="1"/>
  <c r="M5" i="12"/>
  <c r="S5" i="12" s="1"/>
  <c r="L5" i="12"/>
  <c r="K5" i="12"/>
  <c r="B25" i="21" l="1"/>
  <c r="G22" i="23"/>
  <c r="G25" i="23" s="1"/>
  <c r="G26" i="23" s="1"/>
  <c r="H24" i="23" s="1"/>
  <c r="H17" i="23"/>
  <c r="F23" i="21"/>
  <c r="G21" i="21" s="1"/>
  <c r="G23" i="21" s="1"/>
  <c r="H21" i="21" s="1"/>
  <c r="H23" i="21" s="1"/>
  <c r="I21" i="21" s="1"/>
  <c r="I23" i="21" s="1"/>
  <c r="J21" i="21" s="1"/>
  <c r="J23" i="21" s="1"/>
  <c r="K21" i="21" s="1"/>
  <c r="K23" i="21" s="1"/>
  <c r="L21" i="21" s="1"/>
  <c r="L23" i="21" s="1"/>
  <c r="M21" i="21" s="1"/>
  <c r="M23" i="21" s="1"/>
  <c r="G22" i="22"/>
  <c r="G25" i="22" s="1"/>
  <c r="H17" i="22"/>
  <c r="K25" i="12"/>
  <c r="R62" i="12"/>
  <c r="Q68" i="12"/>
  <c r="O62" i="12"/>
  <c r="P62" i="12"/>
  <c r="K29" i="12"/>
  <c r="L25" i="12"/>
  <c r="Q62" i="12"/>
  <c r="M59" i="19"/>
  <c r="M60" i="19"/>
  <c r="O60" i="19"/>
  <c r="O87" i="19" s="1"/>
  <c r="M30" i="18"/>
  <c r="M30" i="16"/>
  <c r="M29" i="18"/>
  <c r="M29" i="16"/>
  <c r="P9" i="12"/>
  <c r="F9" i="12"/>
  <c r="H9" i="12"/>
  <c r="R9" i="12"/>
  <c r="R10" i="12" s="1"/>
  <c r="N68" i="12"/>
  <c r="N66" i="12"/>
  <c r="C9" i="12"/>
  <c r="M9" i="12"/>
  <c r="M10" i="12" s="1"/>
  <c r="S7" i="12"/>
  <c r="S20" i="12"/>
  <c r="O68" i="12"/>
  <c r="P68" i="12"/>
  <c r="S15" i="12"/>
  <c r="B9" i="12"/>
  <c r="R66" i="12"/>
  <c r="G9" i="12"/>
  <c r="Q9" i="12"/>
  <c r="Q10" i="12" s="1"/>
  <c r="S16" i="12"/>
  <c r="S24" i="12"/>
  <c r="T6" i="12"/>
  <c r="S19" i="12"/>
  <c r="S6" i="12"/>
  <c r="T22" i="12"/>
  <c r="K101" i="12" s="1"/>
  <c r="K136" i="12" s="1"/>
  <c r="T12" i="12"/>
  <c r="K91" i="12" s="1"/>
  <c r="T13" i="12"/>
  <c r="K92" i="12" s="1"/>
  <c r="T21" i="12"/>
  <c r="K100" i="12" s="1"/>
  <c r="K153" i="12" s="1"/>
  <c r="O70" i="12"/>
  <c r="T14" i="12"/>
  <c r="K93" i="12" s="1"/>
  <c r="K140" i="12" s="1"/>
  <c r="T15" i="12"/>
  <c r="K94" i="12" s="1"/>
  <c r="K134" i="12" s="1"/>
  <c r="R68" i="12"/>
  <c r="S23" i="12"/>
  <c r="S13" i="12"/>
  <c r="S21" i="12"/>
  <c r="S14" i="12"/>
  <c r="T20" i="12"/>
  <c r="K99" i="12" s="1"/>
  <c r="K144" i="12" s="1"/>
  <c r="D9" i="12"/>
  <c r="M53" i="9"/>
  <c r="O53" i="9" s="1"/>
  <c r="T17" i="12"/>
  <c r="K96" i="12" s="1"/>
  <c r="K151" i="12" s="1"/>
  <c r="T19" i="12"/>
  <c r="K98" i="12" s="1"/>
  <c r="K119" i="12" s="1"/>
  <c r="T23" i="12"/>
  <c r="K102" i="12" s="1"/>
  <c r="K145" i="12" s="1"/>
  <c r="Q66" i="12"/>
  <c r="E9" i="12"/>
  <c r="S17" i="12"/>
  <c r="T16" i="12"/>
  <c r="K95" i="12" s="1"/>
  <c r="K154" i="12" s="1"/>
  <c r="G25" i="12"/>
  <c r="T24" i="12"/>
  <c r="K103" i="12" s="1"/>
  <c r="K122" i="12" s="1"/>
  <c r="E25" i="12"/>
  <c r="B25" i="12"/>
  <c r="M25" i="12"/>
  <c r="M52" i="9"/>
  <c r="D25" i="12"/>
  <c r="N9" i="12"/>
  <c r="N10" i="12" s="1"/>
  <c r="R25" i="12"/>
  <c r="R29" i="12" s="1"/>
  <c r="R30" i="12" s="1"/>
  <c r="Q25" i="12"/>
  <c r="S22" i="12"/>
  <c r="O9" i="12"/>
  <c r="O10" i="12" s="1"/>
  <c r="H25" i="12"/>
  <c r="P25" i="12"/>
  <c r="P70" i="12"/>
  <c r="Q70" i="12" s="1"/>
  <c r="R70" i="12" s="1"/>
  <c r="F25" i="12"/>
  <c r="C25" i="12"/>
  <c r="T18" i="12"/>
  <c r="K97" i="12" s="1"/>
  <c r="K152" i="12" s="1"/>
  <c r="P66" i="12"/>
  <c r="L29" i="12"/>
  <c r="L30" i="12" s="1"/>
  <c r="P10" i="12"/>
  <c r="K34" i="12"/>
  <c r="O25" i="12"/>
  <c r="N62" i="12"/>
  <c r="O66" i="12"/>
  <c r="O142" i="12"/>
  <c r="N25" i="12"/>
  <c r="T7" i="12"/>
  <c r="S18" i="12"/>
  <c r="S12" i="12"/>
  <c r="F29" i="12" l="1"/>
  <c r="H29" i="12"/>
  <c r="H22" i="22"/>
  <c r="H25" i="22" s="1"/>
  <c r="I17" i="22"/>
  <c r="I17" i="23"/>
  <c r="H22" i="23"/>
  <c r="H25" i="23" s="1"/>
  <c r="H26" i="23" s="1"/>
  <c r="I24" i="23" s="1"/>
  <c r="P29" i="12"/>
  <c r="P30" i="12" s="1"/>
  <c r="C29" i="12"/>
  <c r="O59" i="19"/>
  <c r="O30" i="16"/>
  <c r="O60" i="16" s="1"/>
  <c r="O87" i="16" s="1"/>
  <c r="M60" i="16"/>
  <c r="O29" i="16"/>
  <c r="M59" i="16"/>
  <c r="G29" i="12"/>
  <c r="M59" i="18"/>
  <c r="O29" i="18"/>
  <c r="O30" i="18"/>
  <c r="O60" i="18" s="1"/>
  <c r="O87" i="18" s="1"/>
  <c r="M60" i="18"/>
  <c r="M29" i="12"/>
  <c r="M30" i="12" s="1"/>
  <c r="B29" i="12"/>
  <c r="S9" i="12"/>
  <c r="S10" i="12" s="1"/>
  <c r="D29" i="12"/>
  <c r="N29" i="12"/>
  <c r="N30" i="12" s="1"/>
  <c r="T9" i="12"/>
  <c r="T10" i="12" s="1"/>
  <c r="Q29" i="12"/>
  <c r="Q30" i="12" s="1"/>
  <c r="O52" i="9"/>
  <c r="S25" i="12"/>
  <c r="O29" i="12"/>
  <c r="O30" i="12" s="1"/>
  <c r="K141" i="12"/>
  <c r="O143" i="12" s="1"/>
  <c r="E29" i="12"/>
  <c r="T25" i="12"/>
  <c r="K124" i="12"/>
  <c r="O141" i="12" s="1"/>
  <c r="K40" i="12"/>
  <c r="K38" i="12" s="1"/>
  <c r="K35" i="12" s="1"/>
  <c r="K104" i="12"/>
  <c r="K148" i="12"/>
  <c r="K156" i="12"/>
  <c r="I22" i="23" l="1"/>
  <c r="I25" i="23" s="1"/>
  <c r="I26" i="23" s="1"/>
  <c r="J24" i="23" s="1"/>
  <c r="J17" i="23"/>
  <c r="J17" i="22"/>
  <c r="I22" i="22"/>
  <c r="I25" i="22" s="1"/>
  <c r="O86" i="19"/>
  <c r="O59" i="18"/>
  <c r="O59" i="16"/>
  <c r="S29" i="12"/>
  <c r="S30" i="12" s="1"/>
  <c r="L141" i="12"/>
  <c r="T29" i="12"/>
  <c r="T30" i="12" s="1"/>
  <c r="L91" i="12"/>
  <c r="L156" i="12"/>
  <c r="O145" i="12"/>
  <c r="K158" i="12"/>
  <c r="L158" i="12" s="1"/>
  <c r="O144" i="12"/>
  <c r="L148" i="12"/>
  <c r="L95" i="12"/>
  <c r="L100" i="12"/>
  <c r="L101" i="12"/>
  <c r="L93" i="12"/>
  <c r="L96" i="12"/>
  <c r="L97" i="12"/>
  <c r="L102" i="12"/>
  <c r="L99" i="12"/>
  <c r="L92" i="12"/>
  <c r="L103" i="12"/>
  <c r="L98" i="12"/>
  <c r="L132" i="12"/>
  <c r="L94" i="12"/>
  <c r="L124" i="12"/>
  <c r="O146" i="12" l="1"/>
  <c r="K17" i="22"/>
  <c r="J22" i="22"/>
  <c r="J25" i="22" s="1"/>
  <c r="K17" i="23"/>
  <c r="J22" i="23"/>
  <c r="J25" i="23" s="1"/>
  <c r="J26" i="23" s="1"/>
  <c r="K24" i="23" s="1"/>
  <c r="O86" i="16"/>
  <c r="O86" i="18"/>
  <c r="P146" i="12"/>
  <c r="P142" i="12"/>
  <c r="P141" i="12"/>
  <c r="P143" i="12"/>
  <c r="P144" i="12"/>
  <c r="P145" i="12"/>
  <c r="K160" i="12"/>
  <c r="L17" i="23" l="1"/>
  <c r="K22" i="23"/>
  <c r="K25" i="23" s="1"/>
  <c r="K26" i="23" s="1"/>
  <c r="L24" i="23" s="1"/>
  <c r="K22" i="22"/>
  <c r="K25" i="22" s="1"/>
  <c r="L17" i="22"/>
  <c r="M50" i="9"/>
  <c r="D58" i="11"/>
  <c r="D57" i="11"/>
  <c r="D56" i="11"/>
  <c r="D47" i="11"/>
  <c r="D46" i="11"/>
  <c r="D51" i="11" s="1"/>
  <c r="B38" i="11"/>
  <c r="F32" i="11"/>
  <c r="D32" i="11"/>
  <c r="F26" i="11"/>
  <c r="F38" i="11" s="1"/>
  <c r="D26" i="11"/>
  <c r="D38" i="11" s="1"/>
  <c r="J38" i="11" s="1"/>
  <c r="F16" i="11"/>
  <c r="D16" i="11"/>
  <c r="F14" i="11"/>
  <c r="D14" i="11"/>
  <c r="F12" i="11"/>
  <c r="D12" i="11"/>
  <c r="B7" i="11"/>
  <c r="F6" i="11"/>
  <c r="D6" i="11"/>
  <c r="F5" i="11"/>
  <c r="D5" i="11"/>
  <c r="F4" i="11"/>
  <c r="F18" i="11" s="1"/>
  <c r="D4" i="11"/>
  <c r="D18" i="11" s="1"/>
  <c r="B48" i="10"/>
  <c r="B44" i="10"/>
  <c r="B43" i="10"/>
  <c r="B46" i="10" s="1"/>
  <c r="B17" i="10"/>
  <c r="B42" i="10" s="1"/>
  <c r="E9" i="7"/>
  <c r="D8" i="7"/>
  <c r="F7" i="7"/>
  <c r="D7" i="7"/>
  <c r="F6" i="7"/>
  <c r="D6" i="7"/>
  <c r="D5" i="7"/>
  <c r="D9" i="7" s="1"/>
  <c r="J3" i="7"/>
  <c r="F5" i="7" s="1"/>
  <c r="C8" i="5"/>
  <c r="E6" i="5"/>
  <c r="D6" i="5"/>
  <c r="E5" i="5"/>
  <c r="D5" i="5"/>
  <c r="C2" i="5"/>
  <c r="E2" i="5" s="1"/>
  <c r="J32" i="4"/>
  <c r="J31" i="4"/>
  <c r="I17" i="4"/>
  <c r="H15" i="4"/>
  <c r="H17" i="4" s="1"/>
  <c r="G15" i="4"/>
  <c r="G17" i="4" s="1"/>
  <c r="F15" i="4"/>
  <c r="F17" i="4" s="1"/>
  <c r="E15" i="4"/>
  <c r="E17" i="4" s="1"/>
  <c r="J10" i="4"/>
  <c r="J15" i="4" s="1"/>
  <c r="J17" i="4" s="1"/>
  <c r="P5" i="4"/>
  <c r="D100" i="3"/>
  <c r="D99" i="3"/>
  <c r="C88" i="3"/>
  <c r="D87" i="3"/>
  <c r="D86" i="3"/>
  <c r="C83" i="3"/>
  <c r="D82" i="3"/>
  <c r="D83" i="3" s="1"/>
  <c r="C78" i="3"/>
  <c r="D77" i="3"/>
  <c r="H90" i="3" s="1"/>
  <c r="D76" i="3"/>
  <c r="B46" i="3"/>
  <c r="B49" i="3" s="1"/>
  <c r="C45" i="3"/>
  <c r="D45" i="3" s="1"/>
  <c r="C44" i="3"/>
  <c r="D44" i="3" s="1"/>
  <c r="D46" i="3" s="1"/>
  <c r="B42" i="3"/>
  <c r="C41" i="3"/>
  <c r="D41" i="3" s="1"/>
  <c r="C40" i="3"/>
  <c r="D40" i="3" s="1"/>
  <c r="B30" i="3"/>
  <c r="C29" i="3"/>
  <c r="D29" i="3" s="1"/>
  <c r="C28" i="3"/>
  <c r="D28" i="3" s="1"/>
  <c r="B19" i="3"/>
  <c r="D19" i="3" s="1"/>
  <c r="B35" i="2"/>
  <c r="B34" i="2"/>
  <c r="B33" i="2"/>
  <c r="B27" i="2"/>
  <c r="C26" i="2"/>
  <c r="C25" i="2"/>
  <c r="C24" i="2"/>
  <c r="B18" i="2"/>
  <c r="C17" i="2"/>
  <c r="C16" i="2"/>
  <c r="C15" i="2"/>
  <c r="B9" i="2"/>
  <c r="C8" i="2"/>
  <c r="C7" i="2"/>
  <c r="C6" i="2"/>
  <c r="D42" i="3" l="1"/>
  <c r="B54" i="10"/>
  <c r="C35" i="2"/>
  <c r="C27" i="2"/>
  <c r="C33" i="2"/>
  <c r="O41" i="9" s="1"/>
  <c r="B55" i="10"/>
  <c r="D55" i="10" s="1"/>
  <c r="N49" i="9"/>
  <c r="O49" i="9" s="1"/>
  <c r="B36" i="2"/>
  <c r="N47" i="9"/>
  <c r="O47" i="9" s="1"/>
  <c r="C34" i="2"/>
  <c r="C18" i="2"/>
  <c r="D88" i="3"/>
  <c r="D30" i="3"/>
  <c r="N48" i="9"/>
  <c r="O48" i="9" s="1"/>
  <c r="N42" i="9"/>
  <c r="H89" i="3"/>
  <c r="H92" i="3" s="1"/>
  <c r="L22" i="22"/>
  <c r="L25" i="22" s="1"/>
  <c r="M17" i="22"/>
  <c r="M22" i="22" s="1"/>
  <c r="M25" i="22" s="1"/>
  <c r="M17" i="23"/>
  <c r="M22" i="23" s="1"/>
  <c r="M25" i="23" s="1"/>
  <c r="L22" i="23"/>
  <c r="L25" i="23" s="1"/>
  <c r="L26" i="23" s="1"/>
  <c r="M24" i="23" s="1"/>
  <c r="B13" i="3"/>
  <c r="D13" i="3" s="1"/>
  <c r="M23" i="9"/>
  <c r="O23" i="9" s="1"/>
  <c r="C35" i="4"/>
  <c r="E8" i="5"/>
  <c r="B12" i="3"/>
  <c r="D12" i="3" s="1"/>
  <c r="D14" i="3" s="1"/>
  <c r="D32" i="3"/>
  <c r="J18" i="11"/>
  <c r="D53" i="11"/>
  <c r="J53" i="11" s="1"/>
  <c r="C55" i="10"/>
  <c r="B47" i="10"/>
  <c r="C54" i="10"/>
  <c r="D49" i="3"/>
  <c r="B17" i="3"/>
  <c r="D17" i="3" s="1"/>
  <c r="D54" i="10"/>
  <c r="F4" i="7"/>
  <c r="F9" i="7" s="1"/>
  <c r="D78" i="3"/>
  <c r="F8" i="7"/>
  <c r="D8" i="5"/>
  <c r="D2" i="5"/>
  <c r="B18" i="3"/>
  <c r="D18" i="3" s="1"/>
  <c r="C9" i="2"/>
  <c r="C36" i="2" l="1"/>
  <c r="D34" i="3"/>
  <c r="D90" i="3"/>
  <c r="D106" i="3" s="1"/>
  <c r="O42" i="9"/>
  <c r="O44" i="9"/>
  <c r="M26" i="23"/>
  <c r="B28" i="23"/>
  <c r="O11" i="18"/>
  <c r="O11" i="19"/>
  <c r="O11" i="16"/>
  <c r="L21" i="4"/>
  <c r="L23" i="4" s="1"/>
  <c r="D20" i="3"/>
  <c r="D22" i="3" s="1"/>
  <c r="D5" i="13" l="1"/>
  <c r="I41" i="4"/>
  <c r="M53" i="16"/>
  <c r="O53" i="16"/>
  <c r="O53" i="19"/>
  <c r="O53" i="18"/>
  <c r="M12" i="19" l="1"/>
  <c r="M12" i="18"/>
  <c r="D6" i="13"/>
  <c r="M12" i="16"/>
  <c r="O80" i="18"/>
  <c r="O80" i="19"/>
  <c r="O80" i="16"/>
  <c r="M54" i="18" l="1"/>
  <c r="M81" i="18" s="1"/>
  <c r="O12" i="18"/>
  <c r="M54" i="16"/>
  <c r="M81" i="16" s="1"/>
  <c r="O12" i="16"/>
  <c r="M54" i="19"/>
  <c r="M81" i="19" s="1"/>
  <c r="O12" i="19"/>
  <c r="O54" i="19" l="1"/>
  <c r="O54" i="16"/>
  <c r="O54" i="18"/>
  <c r="O81" i="18" l="1"/>
  <c r="O81" i="16"/>
  <c r="O81" i="19"/>
  <c r="M10" i="18"/>
  <c r="O10" i="18" s="1"/>
  <c r="M5" i="9"/>
  <c r="M22" i="9" s="1"/>
  <c r="O22" i="9" s="1"/>
  <c r="O25" i="9" s="1"/>
  <c r="P25" i="9" s="1"/>
  <c r="O5" i="9"/>
  <c r="O7" i="9" s="1"/>
  <c r="O15" i="9" s="1"/>
  <c r="M10" i="19"/>
  <c r="M25" i="19" s="1"/>
  <c r="M10" i="16"/>
  <c r="M51" i="16" s="1"/>
  <c r="M78" i="16" s="1"/>
  <c r="M51" i="19" l="1"/>
  <c r="M78" i="19" s="1"/>
  <c r="O25" i="19"/>
  <c r="O52" i="19" s="1"/>
  <c r="O79" i="19" s="1"/>
  <c r="M52" i="19"/>
  <c r="M79" i="19" s="1"/>
  <c r="M25" i="18"/>
  <c r="O25" i="18" s="1"/>
  <c r="O31" i="18" s="1"/>
  <c r="O33" i="18" s="1"/>
  <c r="O10" i="19"/>
  <c r="M51" i="18"/>
  <c r="M78" i="18" s="1"/>
  <c r="O14" i="18"/>
  <c r="O16" i="18" s="1"/>
  <c r="O51" i="18"/>
  <c r="M25" i="16"/>
  <c r="O10" i="16"/>
  <c r="M31" i="9"/>
  <c r="O31" i="19" l="1"/>
  <c r="O33" i="19" s="1"/>
  <c r="O52" i="18"/>
  <c r="O79" i="18" s="1"/>
  <c r="M52" i="18"/>
  <c r="M79" i="18" s="1"/>
  <c r="O14" i="19"/>
  <c r="O16" i="19" s="1"/>
  <c r="O51" i="19"/>
  <c r="O31" i="9"/>
  <c r="O34" i="9" s="1"/>
  <c r="O36" i="9" s="1"/>
  <c r="M46" i="9"/>
  <c r="O46" i="9" s="1"/>
  <c r="O55" i="9" s="1"/>
  <c r="O57" i="9" s="1"/>
  <c r="O51" i="16"/>
  <c r="O14" i="16"/>
  <c r="O16" i="16" s="1"/>
  <c r="O61" i="18"/>
  <c r="O78" i="18"/>
  <c r="M52" i="16"/>
  <c r="M79" i="16" s="1"/>
  <c r="O25" i="16"/>
  <c r="O35" i="18"/>
  <c r="O35" i="19" l="1"/>
  <c r="O65" i="19" s="1"/>
  <c r="O78" i="19"/>
  <c r="O61" i="19"/>
  <c r="O78" i="16"/>
  <c r="O63" i="18"/>
  <c r="O88" i="18"/>
  <c r="O52" i="16"/>
  <c r="O79" i="16" s="1"/>
  <c r="O31" i="16"/>
  <c r="O33" i="16" s="1"/>
  <c r="O35" i="16" s="1"/>
  <c r="O63" i="19" l="1"/>
  <c r="O88" i="19"/>
  <c r="O90" i="19" s="1"/>
  <c r="O92" i="19" s="1"/>
  <c r="O65" i="18"/>
  <c r="O92" i="18" s="1"/>
  <c r="O90" i="18"/>
  <c r="O61" i="16"/>
  <c r="O88" i="16" l="1"/>
  <c r="O63" i="16"/>
  <c r="O65" i="16" l="1"/>
  <c r="O92" i="16" s="1"/>
  <c r="O90" i="16"/>
  <c r="C13" i="22"/>
  <c r="C25" i="22" s="1"/>
  <c r="C26" i="22" l="1"/>
  <c r="D24" i="22" s="1"/>
  <c r="D26" i="22" s="1"/>
  <c r="E24" i="22" s="1"/>
  <c r="E26" i="22" s="1"/>
  <c r="F24" i="22" s="1"/>
  <c r="F26" i="22" s="1"/>
  <c r="G24" i="22" s="1"/>
  <c r="G26" i="22" s="1"/>
  <c r="H24" i="22" s="1"/>
  <c r="H26" i="22" s="1"/>
  <c r="I24" i="22" s="1"/>
  <c r="I26" i="22" s="1"/>
  <c r="J24" i="22" s="1"/>
  <c r="J26" i="22" s="1"/>
  <c r="K24" i="22" s="1"/>
  <c r="K26" i="22" s="1"/>
  <c r="L24" i="22" s="1"/>
  <c r="L26" i="22" s="1"/>
  <c r="M24" i="22" s="1"/>
  <c r="M26" i="22" s="1"/>
  <c r="B28" i="22"/>
  <c r="B30" i="22" s="1"/>
</calcChain>
</file>

<file path=xl/sharedStrings.xml><?xml version="1.0" encoding="utf-8"?>
<sst xmlns="http://schemas.openxmlformats.org/spreadsheetml/2006/main" count="2036" uniqueCount="996">
  <si>
    <t>OBJECTIVES</t>
  </si>
  <si>
    <t>SCENARIO - LEANEST, BEST CASE</t>
  </si>
  <si>
    <t>TO DOs</t>
  </si>
  <si>
    <t>1. Manufacture</t>
  </si>
  <si>
    <t>USD/SGD</t>
  </si>
  <si>
    <t>China</t>
  </si>
  <si>
    <t>Victoria Yong</t>
  </si>
  <si>
    <t>2. Sell</t>
  </si>
  <si>
    <t>Qty</t>
  </si>
  <si>
    <t>1. Get China MSRP (we need to confirm they can sustain our distributor)</t>
  </si>
  <si>
    <t>Nothing else.</t>
  </si>
  <si>
    <t>OPEX</t>
  </si>
  <si>
    <t>2. Get China PO date</t>
  </si>
  <si>
    <t>Total OPEX &lt;$2M.</t>
  </si>
  <si>
    <t>Manufacture - batch 1</t>
  </si>
  <si>
    <t>-$367,300</t>
  </si>
  <si>
    <t>3. Get China sales forecast - for production planning</t>
  </si>
  <si>
    <t>4. NMPA vs consumer goods</t>
  </si>
  <si>
    <t>4A - Class I vs Class II - will Class I result in lower MSRP.</t>
  </si>
  <si>
    <t>4B - Consumer vs Class I/II - is there a perceived price point difference med vs non med</t>
  </si>
  <si>
    <t>Sales - batch 1</t>
  </si>
  <si>
    <t>$1,258,500.00</t>
  </si>
  <si>
    <t>Loan - batch 1 production</t>
  </si>
  <si>
    <t>$367,300.02</t>
  </si>
  <si>
    <t>MRA Grant</t>
  </si>
  <si>
    <t>$119,885.38</t>
  </si>
  <si>
    <t>1. UK OPEX</t>
  </si>
  <si>
    <t>2. Shifting operations to Asia (time zone critical)</t>
  </si>
  <si>
    <t>Net Cash Balance Surplus (+)/Deficit (-)</t>
  </si>
  <si>
    <t>3. Finance - outsource to Asia</t>
  </si>
  <si>
    <t>If only % of sales KPI meet in first 2 years</t>
  </si>
  <si>
    <t>&lt;-- Toggle KPI scenarios</t>
  </si>
  <si>
    <t>SG MRA grant</t>
  </si>
  <si>
    <t>FY2026</t>
  </si>
  <si>
    <t>USE OF PROCEED FOR FY2026 (JUL'25 TO MAR'26）</t>
  </si>
  <si>
    <t>BD in USA : S$57649.50</t>
  </si>
  <si>
    <t>CURRENT CASHFLOW PROJECTION FOR 6 MONTHS RUNWAY (JUL- DEC'25)</t>
  </si>
  <si>
    <t>Mkt setup in USA : S$18080.40</t>
  </si>
  <si>
    <t>MANUFACTURE - PRODUCT VALUE (Y1 WORST CASE; 25% KPI)</t>
  </si>
  <si>
    <t>OPEX (6 months runway)</t>
  </si>
  <si>
    <t>BD in China : S$47955</t>
  </si>
  <si>
    <t>Mkt Setup in China : 25301.45</t>
  </si>
  <si>
    <t>Unit Qty</t>
  </si>
  <si>
    <t>Unit Price</t>
  </si>
  <si>
    <t>Sales Value</t>
  </si>
  <si>
    <t>Other incidental costs</t>
  </si>
  <si>
    <t>Include US$28K testing on packaging and EMC and consigned parts to PI</t>
  </si>
  <si>
    <t>Mkt setup in Msia : S$4466.93</t>
  </si>
  <si>
    <t>Batch 001</t>
  </si>
  <si>
    <t>US$5,143</t>
  </si>
  <si>
    <t>US$1,028,500</t>
  </si>
  <si>
    <t>less 15% 1099 commission</t>
  </si>
  <si>
    <t>Funds require to meet the first sales batch of 300 units</t>
  </si>
  <si>
    <t>Need this amount to sell the Batch 1 (300 units)</t>
  </si>
  <si>
    <t>S$153,453.28</t>
  </si>
  <si>
    <t>US$2,300</t>
  </si>
  <si>
    <t>US$230,000</t>
  </si>
  <si>
    <t>CASHFLOW PROJECTION FOR NEXT 3 MONTHS RUNWAY (JAN- MAR'26)</t>
  </si>
  <si>
    <t>Sales of first batch 300 units</t>
  </si>
  <si>
    <t>USA VA - 200 units; CN distributor - 100 units</t>
  </si>
  <si>
    <t>Batch 002</t>
  </si>
  <si>
    <t>US$1,285,625</t>
  </si>
  <si>
    <t>US$690,000</t>
  </si>
  <si>
    <t>$1,975,625.00</t>
  </si>
  <si>
    <t>OPEX (3 months runway)</t>
  </si>
  <si>
    <t>(USA Office OPEX replace UK office OPEX)</t>
  </si>
  <si>
    <t>Manufacture - batch 2</t>
  </si>
  <si>
    <t>Assuming production place on Dec'25 and deliverd for sales on Mar'26; mfg price will reduce with each subsequent batch.</t>
  </si>
  <si>
    <t>Total</t>
  </si>
  <si>
    <t>$3,234,125.00</t>
  </si>
  <si>
    <t>Assuming only 850 out of 3300 units (25% Y1 KPI) sold this year.</t>
  </si>
  <si>
    <t>Cash Surplus</t>
  </si>
  <si>
    <t>FY2027</t>
  </si>
  <si>
    <t>CASHFLOW PROJECTION FOR ANOTHER 12 MONTHS RUNWAY (APR'26- MAR'27)</t>
  </si>
  <si>
    <t>Sales of batch 900 units</t>
  </si>
  <si>
    <t>600 sales to USA VA and 300 sales to CN distributor</t>
  </si>
  <si>
    <t xml:space="preserve">Sales of balance 2100 units </t>
  </si>
  <si>
    <t>Balance of sales units of the first year 3300 units less 15% VA commission</t>
  </si>
  <si>
    <t xml:space="preserve">Sales of 2nd year </t>
  </si>
  <si>
    <t>Less 15% VA commission</t>
  </si>
  <si>
    <t>Reimbursement of MRA grants</t>
  </si>
  <si>
    <t>See MRA grant tab</t>
  </si>
  <si>
    <t>OPEX (12 months runway)</t>
  </si>
  <si>
    <t>SG, USA, CN &amp; MY office; unlikely there will be such a large jump in OPEX.</t>
  </si>
  <si>
    <t>Manufacture - batch 3</t>
  </si>
  <si>
    <t>To catch up with the 1st year sales unit of 3300 (less 800 USA VA sales and 400 CN distributor)</t>
  </si>
  <si>
    <t>Manufacture - 2nd year units</t>
  </si>
  <si>
    <t>We have cost down production with the laser balancing machine and assembly in house etc</t>
  </si>
  <si>
    <t>Manufacture - 3rd year units</t>
  </si>
  <si>
    <t>Preparation for next year sales</t>
  </si>
  <si>
    <t>CAPEX - Laser Balancing Machine</t>
  </si>
  <si>
    <t>Procure from Bobertag; we will look to finance.</t>
  </si>
  <si>
    <t>CAPEX - USA and China Office</t>
  </si>
  <si>
    <t>Unlikely to cost this much.</t>
  </si>
  <si>
    <t>Clinical Trial</t>
  </si>
  <si>
    <t>Clinical trial for Y1.</t>
  </si>
  <si>
    <t>R&amp;D for next generation</t>
  </si>
  <si>
    <t>R&amp;D for Y1 - see 05 - GG Next Steps, Pipeline</t>
  </si>
  <si>
    <t>Repayment of liabilities and deferrment</t>
  </si>
  <si>
    <t>Finance dept to confirm. Conservative assumption.</t>
  </si>
  <si>
    <t>CONSERVATIVE SALES FORECAST</t>
  </si>
  <si>
    <t>TIMINGS</t>
  </si>
  <si>
    <t>QTY</t>
  </si>
  <si>
    <t>STATUS</t>
  </si>
  <si>
    <t>CHINA</t>
  </si>
  <si>
    <t>Hyperstrings PO1</t>
  </si>
  <si>
    <t>Mth 1</t>
  </si>
  <si>
    <t>$230,000.00</t>
  </si>
  <si>
    <t>Hyperstrings PO2</t>
  </si>
  <si>
    <t>Mth 3</t>
  </si>
  <si>
    <t>$690,000.00</t>
  </si>
  <si>
    <t>$920,000.00</t>
  </si>
  <si>
    <t>USA</t>
  </si>
  <si>
    <t>USA VA 1099s</t>
  </si>
  <si>
    <t>Mth 1-2</t>
  </si>
  <si>
    <t>$257,125.00</t>
  </si>
  <si>
    <t>less 15% commission</t>
  </si>
  <si>
    <t>D2C</t>
  </si>
  <si>
    <t>$294,950.00</t>
  </si>
  <si>
    <t>$589,900.00</t>
  </si>
  <si>
    <t>SALES ONLY</t>
  </si>
  <si>
    <t>$782,075.00</t>
  </si>
  <si>
    <t>$1,767,025.00</t>
  </si>
  <si>
    <t>Mth 3 only</t>
  </si>
  <si>
    <t>$984,950.00</t>
  </si>
  <si>
    <t>Taiwan + China (Huanan) Distributor</t>
  </si>
  <si>
    <t>Investment</t>
  </si>
  <si>
    <t>Mth 0</t>
  </si>
  <si>
    <t>US$500,000</t>
  </si>
  <si>
    <t>PO1</t>
  </si>
  <si>
    <t>Subtotal</t>
  </si>
  <si>
    <t>US$730,000</t>
  </si>
  <si>
    <t>$2,497,025.00</t>
  </si>
  <si>
    <r>
      <rPr>
        <sz val="10"/>
        <color rgb="FF000000"/>
        <rFont val="Arial"/>
        <family val="2"/>
        <scheme val="minor"/>
      </rPr>
      <t xml:space="preserve">Y1 - % of sales KPI met; assuming </t>
    </r>
    <r>
      <rPr>
        <b/>
        <u/>
        <sz val="10"/>
        <color rgb="FF000000"/>
        <rFont val="Arial"/>
        <family val="2"/>
        <scheme val="minor"/>
      </rPr>
      <t>ONLY 2 batches sold</t>
    </r>
  </si>
  <si>
    <t>USE OF PROCEED FOR 12 MONTHS (AUG'25 - JUL'26)</t>
  </si>
  <si>
    <t>1st 6 months runway (Aug'25 to Jan'26)</t>
  </si>
  <si>
    <t>Inventory Loan</t>
  </si>
  <si>
    <t>OPEX (1st 6 months runway)</t>
  </si>
  <si>
    <t>BOM with NRE costs (BOM @ 330 units)</t>
  </si>
  <si>
    <t>BOM without NRE costs (BOM @ 330 units)</t>
  </si>
  <si>
    <t>Cash Surplus (+ve/-ve)</t>
  </si>
  <si>
    <t>2nd 6 months runway (Feb'26 to Jul'26)</t>
  </si>
  <si>
    <t>Sales of batch 1</t>
  </si>
  <si>
    <t>Assuming worst case - sales pushed out by 6 mo</t>
  </si>
  <si>
    <t>Sales of batch 2</t>
  </si>
  <si>
    <t>asdfasdfasdfasdf</t>
  </si>
  <si>
    <t>OPEX (2nd 6 months runway)</t>
  </si>
  <si>
    <t>OPEX increases by 20% - USA &amp; China OPEX</t>
  </si>
  <si>
    <t>Assuming worst case - sales pushed out to next calendar year</t>
  </si>
  <si>
    <t>Assuming worst case - procure fully from supplier; Realistically, we will look to finance.</t>
  </si>
  <si>
    <t>asdfasdf</t>
  </si>
  <si>
    <t>OfficeOffice</t>
  </si>
  <si>
    <t>Clinical trial for Y1 - will not commit until sufficient sales; left here as worst case scenario.</t>
  </si>
  <si>
    <t>Y1 R&amp;D - will not commit until sufficient sales; left here as worst case scenario. LOI signed with Vietnam development partner.</t>
  </si>
  <si>
    <t>Cash Surplus +ve/Cash Deficit -ve</t>
  </si>
  <si>
    <t>TOTAL FUNDS REQUIRED</t>
  </si>
  <si>
    <t>Office set up US &amp; CN</t>
  </si>
  <si>
    <t>CN NMPA</t>
  </si>
  <si>
    <t>US$</t>
  </si>
  <si>
    <t>UNITS</t>
  </si>
  <si>
    <r>
      <rPr>
        <sz val="10"/>
        <color rgb="FF000000"/>
        <rFont val="Arial"/>
        <family val="2"/>
        <scheme val="minor"/>
      </rPr>
      <t xml:space="preserve">Conservative sales assumptions - assuming </t>
    </r>
    <r>
      <rPr>
        <b/>
        <u/>
        <sz val="10"/>
        <color rgb="FF000000"/>
        <rFont val="Arial"/>
        <family val="2"/>
        <scheme val="minor"/>
      </rPr>
      <t>ONLY two batches</t>
    </r>
    <r>
      <rPr>
        <sz val="10"/>
        <color rgb="FF000000"/>
        <rFont val="Arial"/>
        <family val="2"/>
        <scheme val="minor"/>
      </rPr>
      <t xml:space="preserve"> are sold</t>
    </r>
    <r>
      <rPr>
        <b/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2"/>
        <scheme val="minor"/>
      </rPr>
      <t>Varies with % sales target (toggled above).</t>
    </r>
  </si>
  <si>
    <r>
      <rPr>
        <b/>
        <sz val="10"/>
        <color rgb="FF000000"/>
        <rFont val="Arial"/>
        <family val="2"/>
      </rPr>
      <t xml:space="preserve">⚠️ The following internal reference figures are based on present commerical KPIs. They will be subject to change as the GyroGlove comes to market. Please append </t>
    </r>
    <r>
      <rPr>
        <b/>
        <u/>
        <sz val="10"/>
        <color rgb="FF000000"/>
        <rFont val="Arial"/>
        <family val="2"/>
      </rPr>
      <t>your own margin of safety</t>
    </r>
    <r>
      <rPr>
        <b/>
        <sz val="10"/>
        <color rgb="FF000000"/>
        <rFont val="Arial"/>
        <family val="2"/>
      </rPr>
      <t>.</t>
    </r>
  </si>
  <si>
    <t>Distributor - Northern China</t>
  </si>
  <si>
    <t>KPIs per distributor contract signed May 2025</t>
  </si>
  <si>
    <t>Year</t>
  </si>
  <si>
    <t>KPI (Units)</t>
  </si>
  <si>
    <t>KPI Revenue (USD)</t>
  </si>
  <si>
    <t>Projections (Units)</t>
  </si>
  <si>
    <t>Projected Revenue (USD)</t>
  </si>
  <si>
    <t>Unit Price (USD)</t>
  </si>
  <si>
    <t>Y1</t>
  </si>
  <si>
    <t>Y2</t>
  </si>
  <si>
    <t>Y3</t>
  </si>
  <si>
    <t>Total (Y1-Y3)</t>
  </si>
  <si>
    <t>USA B2B - Veterans Association (VA)</t>
  </si>
  <si>
    <t>US VP Sales KPIs per signed contract; Start date 15 Jul 2025</t>
  </si>
  <si>
    <t>Online Sales</t>
  </si>
  <si>
    <t>Internal KPIs (agreed)</t>
  </si>
  <si>
    <t>CONSOLIDATED</t>
  </si>
  <si>
    <t>Unfactored Upside</t>
  </si>
  <si>
    <t>USA Insurance (↑↑↑ Qty ↑↑ Price)</t>
  </si>
  <si>
    <t>All other USA B2B channels</t>
  </si>
  <si>
    <t>Southern China, HK distributor</t>
  </si>
  <si>
    <t>Other national distributors</t>
  </si>
  <si>
    <t>Future products</t>
  </si>
  <si>
    <t>Product upgrades</t>
  </si>
  <si>
    <r>
      <rPr>
        <b/>
        <sz val="10"/>
        <color theme="1"/>
        <rFont val="Arial"/>
        <family val="2"/>
      </rPr>
      <t xml:space="preserve">VALUATION (USING ANNUAL </t>
    </r>
    <r>
      <rPr>
        <b/>
        <u/>
        <sz val="10"/>
        <color theme="1"/>
        <rFont val="Arial"/>
        <family val="2"/>
      </rPr>
      <t>KPI REVENUE</t>
    </r>
    <r>
      <rPr>
        <b/>
        <sz val="10"/>
        <color theme="1"/>
        <rFont val="Arial"/>
        <family val="2"/>
      </rPr>
      <t xml:space="preserve"> FIGURES ONLY)</t>
    </r>
  </si>
  <si>
    <t>etc</t>
  </si>
  <si>
    <t>Revenue Multiple</t>
  </si>
  <si>
    <t>Annual KPI Revenue (USD)</t>
  </si>
  <si>
    <t>X</t>
  </si>
  <si>
    <t>OBJECTIVES - NOW</t>
  </si>
  <si>
    <t>Total OPEX &lt;$1M.</t>
  </si>
  <si>
    <t>SCENARIO 1 - LEANEST, WORST CASE (Y1 9.1% KPI)</t>
  </si>
  <si>
    <t>📌 In this scenario - GG does nothing at all for entire year, and simply relies on CN, US, online sales since zero to minimal cost of sales (CN distributor, US 1099 agents etc)</t>
  </si>
  <si>
    <t>Comments</t>
  </si>
  <si>
    <t>GG will not pay, retain the US VP sales if no sales are generated within 3-4 months. Total OPEX will be lower if so.</t>
  </si>
  <si>
    <t>Manufacture - Batch 001 (worst case)</t>
  </si>
  <si>
    <t xml:space="preserve">Contains $40K NRE cost - amortised over subsequent batches. Presently working to move assembly in house - aiming to reduce overall mfg cost. </t>
  </si>
  <si>
    <t>Sales - Batch 001</t>
  </si>
  <si>
    <t>Assuming only 300 out of 3300 units (9.1% Y1 KPI) sold this year.</t>
  </si>
  <si>
    <t>Loan - Batch 001 production</t>
  </si>
  <si>
    <t>Batch 001 manufacture cost (worst case)</t>
  </si>
  <si>
    <t>SCENARIO 2 - Y1 25% KPI</t>
  </si>
  <si>
    <t>Total Revenue</t>
  </si>
  <si>
    <t>Batch sizes should increase, cost should decrease, with each subsequent production order.</t>
  </si>
  <si>
    <r>
      <rPr>
        <b/>
        <sz val="10"/>
        <color theme="1"/>
        <rFont val="Arial"/>
        <family val="2"/>
      </rPr>
      <t>All green</t>
    </r>
    <r>
      <rPr>
        <sz val="10"/>
        <color theme="1"/>
        <rFont val="Arial"/>
        <family val="2"/>
      </rPr>
      <t xml:space="preserve"> - Distributor moving at significant speed given customer interest. Awaiting PO from China, patient evaluation conducted, deploying units to hospitals for actual sales demos. </t>
    </r>
  </si>
  <si>
    <r>
      <rPr>
        <b/>
        <sz val="10"/>
        <color theme="1"/>
        <rFont val="Arial"/>
        <family val="2"/>
      </rPr>
      <t>All green</t>
    </r>
    <r>
      <rPr>
        <sz val="10"/>
        <color theme="1"/>
        <rFont val="Arial"/>
        <family val="2"/>
      </rPr>
      <t xml:space="preserve"> - 1 sales director, 5 X 1099s signed. John P on the ground. 4 X volunteer advocates on standby.</t>
    </r>
  </si>
  <si>
    <t>GyroGear Ltd</t>
  </si>
  <si>
    <t>Payment Schedule, MFG Batch 0001</t>
  </si>
  <si>
    <t>Payment terms</t>
  </si>
  <si>
    <t>TO BE CONFIRMED</t>
  </si>
  <si>
    <t>EUR : US$</t>
  </si>
  <si>
    <t>Now</t>
  </si>
  <si>
    <t>4 weeks time</t>
  </si>
  <si>
    <t>8+ weeks time</t>
  </si>
  <si>
    <t>6 weeks time onwards</t>
  </si>
  <si>
    <t>S/No</t>
  </si>
  <si>
    <t>PO #</t>
  </si>
  <si>
    <t>Vendors</t>
  </si>
  <si>
    <t>Description</t>
  </si>
  <si>
    <t>Amount US$</t>
  </si>
  <si>
    <t>30  days nett</t>
  </si>
  <si>
    <t>TBC</t>
  </si>
  <si>
    <t>Leadtime</t>
  </si>
  <si>
    <t>Payment Terms</t>
  </si>
  <si>
    <t>Need all other costs to deliver units</t>
  </si>
  <si>
    <t>Foxconn</t>
  </si>
  <si>
    <t>PCBA</t>
  </si>
  <si>
    <t>Leadtime 4 to 8 weeks</t>
  </si>
  <si>
    <t>40%;20%;40%</t>
  </si>
  <si>
    <t>• Testing (Packaging &amp; EMC)</t>
  </si>
  <si>
    <t>Harnesses parts</t>
  </si>
  <si>
    <t>• Customs/shipping?</t>
  </si>
  <si>
    <t>Other metal parts</t>
  </si>
  <si>
    <t>• Insurance?</t>
  </si>
  <si>
    <t>Remaining components</t>
  </si>
  <si>
    <t>• Product liability? - SG must be covered Keet Ong not just UK. cc Victoria Yong</t>
  </si>
  <si>
    <t>NRE</t>
  </si>
  <si>
    <t>Bobertag</t>
  </si>
  <si>
    <t>Laser balancing</t>
  </si>
  <si>
    <t>40 units per week so need 8 weeks</t>
  </si>
  <si>
    <t>Full payment</t>
  </si>
  <si>
    <t>Constar</t>
  </si>
  <si>
    <t>Motors</t>
  </si>
  <si>
    <t>PHI</t>
  </si>
  <si>
    <t>Harness sewing</t>
  </si>
  <si>
    <t>Leadtime 45 days</t>
  </si>
  <si>
    <t>40% DP; 60% BD</t>
  </si>
  <si>
    <t>Racer</t>
  </si>
  <si>
    <t>Assembly</t>
  </si>
  <si>
    <t>3 weeks (TBC)</t>
  </si>
  <si>
    <r>
      <rPr>
        <sz val="10"/>
        <color theme="1"/>
        <rFont val="Arial"/>
        <family val="2"/>
      </rPr>
      <t xml:space="preserve">Team presently working to </t>
    </r>
    <r>
      <rPr>
        <b/>
        <sz val="10"/>
        <color theme="1"/>
        <rFont val="Arial"/>
        <family val="2"/>
      </rPr>
      <t>move assembly in house</t>
    </r>
    <r>
      <rPr>
        <sz val="10"/>
        <color theme="1"/>
        <rFont val="Arial"/>
        <family val="2"/>
      </rPr>
      <t xml:space="preserve"> - to reduce assembly cost significantly. We will keep 2-3 contract manufacturers on standby for redundancy.</t>
    </r>
  </si>
  <si>
    <t>Packaging</t>
  </si>
  <si>
    <t>TOTAL</t>
  </si>
  <si>
    <t>Portescap</t>
  </si>
  <si>
    <t>PO#130 Portescap 80% payment</t>
  </si>
  <si>
    <t>Victoria Yong why are the motors still that expesive even with the higher batch 1 costs? $42K/330 = $127.</t>
  </si>
  <si>
    <t>TOTAL PAYMENT REQUIRED</t>
  </si>
  <si>
    <t>BOM PAYMENT SUMMARY</t>
  </si>
  <si>
    <t>COMMENTS ON BOM PAYMENT BREAKDOWN PER UNIT</t>
  </si>
  <si>
    <t>Unit price incl NRE</t>
  </si>
  <si>
    <t>Unit price w/o NRE</t>
  </si>
  <si>
    <t>* Harnesses parts</t>
  </si>
  <si>
    <r>
      <rPr>
        <sz val="10"/>
        <color theme="1"/>
        <rFont val="Arial"/>
        <family val="2"/>
      </rPr>
      <t xml:space="preserve">1. This production batch includes </t>
    </r>
    <r>
      <rPr>
        <b/>
        <sz val="10"/>
        <color theme="1"/>
        <rFont val="Arial"/>
        <family val="2"/>
      </rPr>
      <t>two</t>
    </r>
    <r>
      <rPr>
        <sz val="10"/>
        <color theme="1"/>
        <rFont val="Arial"/>
        <family val="2"/>
      </rPr>
      <t xml:space="preserve"> motor suppliers, thus increasing overall batch cost. We will be utilising China supplier in increasing qty vs Swiss supplier (~$15 pc vs ~$80). Swiss motor supplier will be reducing pc cost to ~$40-45 in subsequent batches.</t>
    </r>
  </si>
  <si>
    <t>2. NRE cost ($40K) are for new PCBA moulds at Foxconn</t>
  </si>
  <si>
    <t>3. Foxconn has a 20pc handling fee which we have not been able to remove despite best attempts</t>
  </si>
  <si>
    <t>4. Cost should go down with each subsequent batch size</t>
  </si>
  <si>
    <r>
      <rPr>
        <sz val="10"/>
        <color theme="1"/>
        <rFont val="Arial"/>
        <family val="2"/>
      </rPr>
      <t xml:space="preserve">5. Team presently working to </t>
    </r>
    <r>
      <rPr>
        <b/>
        <sz val="10"/>
        <color theme="1"/>
        <rFont val="Arial"/>
        <family val="2"/>
      </rPr>
      <t>move assembly in house</t>
    </r>
    <r>
      <rPr>
        <sz val="10"/>
        <color theme="1"/>
        <rFont val="Arial"/>
        <family val="2"/>
      </rPr>
      <t xml:space="preserve"> - to reduce assembly cost significantly. We will keep 2-3 contract manufacturers on standby for redundancy.</t>
    </r>
  </si>
  <si>
    <t>* Motors</t>
  </si>
  <si>
    <t>COST DRIVERS</t>
  </si>
  <si>
    <t>Laser balancing in Germany</t>
  </si>
  <si>
    <t>Assembly in Singapore</t>
  </si>
  <si>
    <t>* Chargers</t>
  </si>
  <si>
    <t>Foxconn handling fee (18%)</t>
  </si>
  <si>
    <t>Flywheels &amp; Gimbals</t>
  </si>
  <si>
    <t>PROJECTED COSTS (Conservative)</t>
  </si>
  <si>
    <t>Laser balance in-house (SG/MY)</t>
  </si>
  <si>
    <t>* include MOQ</t>
  </si>
  <si>
    <t>Assembly in-house (SG/MY)</t>
  </si>
  <si>
    <t>UNIT COST - In-house assembly, balance (330 units)</t>
  </si>
  <si>
    <t>In-house balancing and assembly, but with present 330 unit component cost.</t>
  </si>
  <si>
    <t>Further savings with qty increase, switching manufacturer from Foxconn (20pc handling fee)</t>
  </si>
  <si>
    <t>Less 18% Foxconn handling fee</t>
  </si>
  <si>
    <t>Factory optimisation</t>
  </si>
  <si>
    <t>NOW</t>
  </si>
  <si>
    <t>Sales and only sales</t>
  </si>
  <si>
    <t>Because this is the last missing piece in our business model flywheel. Critical.</t>
  </si>
  <si>
    <r>
      <rPr>
        <sz val="10"/>
        <color theme="1"/>
        <rFont val="Arial"/>
        <family val="2"/>
      </rPr>
      <t xml:space="preserve">Must </t>
    </r>
    <r>
      <rPr>
        <b/>
        <sz val="10"/>
        <color theme="1"/>
        <rFont val="Arial"/>
        <family val="2"/>
      </rPr>
      <t>break even</t>
    </r>
    <r>
      <rPr>
        <sz val="10"/>
        <color theme="1"/>
        <rFont val="Arial"/>
        <family val="2"/>
      </rPr>
      <t>!! - achievable with just Batch 001.</t>
    </r>
  </si>
  <si>
    <t>NEXT</t>
  </si>
  <si>
    <t>Clinical trials</t>
  </si>
  <si>
    <t>CN distributor is organising this presently for GyroGlove 1</t>
  </si>
  <si>
    <t>GG will seek to replicate this in the US</t>
  </si>
  <si>
    <t>GyroGlove Lite: RMB15-18K/$2,100-$2,500</t>
  </si>
  <si>
    <r>
      <rPr>
        <sz val="10"/>
        <color theme="1"/>
        <rFont val="Arial"/>
        <family val="2"/>
      </rPr>
      <t xml:space="preserve">Likely critical based on latest CN distributor, CN distributor candidates, market feedback (July 2025). Est </t>
    </r>
    <r>
      <rPr>
        <b/>
        <sz val="10"/>
        <color theme="1"/>
        <rFont val="Arial"/>
        <family val="2"/>
      </rPr>
      <t>10K units</t>
    </r>
    <r>
      <rPr>
        <sz val="10"/>
        <color theme="1"/>
        <rFont val="Arial"/>
        <family val="2"/>
      </rPr>
      <t xml:space="preserve"> in Y1 launch per Hyperstrings and SinoSciences/Guangzhou Pharma. [TBC!]</t>
    </r>
  </si>
  <si>
    <r>
      <rPr>
        <sz val="10"/>
        <color theme="1"/>
        <rFont val="Arial"/>
        <family val="2"/>
      </rPr>
      <t xml:space="preserve">• VN developer in place (ITR); </t>
    </r>
    <r>
      <rPr>
        <b/>
        <u/>
        <sz val="10"/>
        <color theme="1"/>
        <rFont val="Arial"/>
        <family val="2"/>
      </rPr>
      <t>LOI signed</t>
    </r>
    <r>
      <rPr>
        <sz val="10"/>
        <color theme="1"/>
        <rFont val="Arial"/>
        <family val="2"/>
      </rPr>
      <t xml:space="preserve"> Jun 25</t>
    </r>
  </si>
  <si>
    <t xml:space="preserve">Cheaper price, larger market share, lock market strategically. </t>
  </si>
  <si>
    <t>• ITR's cost est - 4000H @ $40/H</t>
  </si>
  <si>
    <r>
      <rPr>
        <b/>
        <u/>
        <sz val="10"/>
        <color theme="1"/>
        <rFont val="Arial"/>
        <family val="2"/>
      </rPr>
      <t>Data collection critical</t>
    </r>
    <r>
      <rPr>
        <sz val="10"/>
        <color theme="1"/>
        <rFont val="Arial"/>
        <family val="2"/>
      </rPr>
      <t xml:space="preserve"> - this is where value is.</t>
    </r>
  </si>
  <si>
    <t>Uses - GyroGlove 1 parts; much cheaper components. Target $300/pc BOM at 5K pcs.</t>
  </si>
  <si>
    <t>Key - adapt and respond to market asap.</t>
  </si>
  <si>
    <t>GyroGlove 2: $5,899 - $6,899 MSRP</t>
  </si>
  <si>
    <t>Add secondary stabilisation (vibration; possibly electricity)</t>
  </si>
  <si>
    <t>Smaller form factor</t>
  </si>
  <si>
    <t>Basic autonomous control</t>
  </si>
  <si>
    <r>
      <rPr>
        <b/>
        <sz val="10"/>
        <color theme="1"/>
        <rFont val="Arial"/>
        <family val="2"/>
      </rPr>
      <t>Passive data collection function</t>
    </r>
    <r>
      <rPr>
        <sz val="10"/>
        <color theme="1"/>
        <rFont val="Arial"/>
        <family val="2"/>
      </rPr>
      <t>; architecture previously developed</t>
    </r>
  </si>
  <si>
    <t>FDA Class I (no therapy recommendations; passive data collection)</t>
  </si>
  <si>
    <t>Ie cheap and fast development</t>
  </si>
  <si>
    <t>Raise - non-dilutive trade financing if needed</t>
  </si>
  <si>
    <t>First time option will be available to GG; hence utter drive now to generate commercial foundation.</t>
  </si>
  <si>
    <t>Raise Series A if needed</t>
  </si>
  <si>
    <t>$1M ARR to qualify for Series A; hence utter drive now to generate commercial foundation.</t>
  </si>
  <si>
    <r>
      <t xml:space="preserve">See </t>
    </r>
    <r>
      <rPr>
        <u/>
        <sz val="10"/>
        <color rgb="FF1155CC"/>
        <rFont val="Arial"/>
        <family val="2"/>
      </rPr>
      <t>Sheet 01 - Revenue Forecasts (KPIs)</t>
    </r>
  </si>
  <si>
    <t>US insurance coverage</t>
  </si>
  <si>
    <t>Critical as before.</t>
  </si>
  <si>
    <t>Artificial intelligence</t>
  </si>
  <si>
    <t>Yes, but be very, very mindful of hype and development costs. Customer needs remain top priority.</t>
  </si>
  <si>
    <t>A very brief summary prepared for in person meeting with the mentor of Chairman Young @ Foxconn.</t>
  </si>
  <si>
    <t>Contains realistic internal AI and future platform plans</t>
  </si>
  <si>
    <t>See -241120 GyroGear AI and Platform Pipeline 20 Nov 2024 Slide Deck DRAFT v0.5 CONFIDENTIAL LIMITED RELEASE.pdf</t>
  </si>
  <si>
    <t>Future platforms/product families</t>
  </si>
  <si>
    <t>Service development especially if customer uptake is high</t>
  </si>
  <si>
    <t>Services MVP (e.g. nurse/doctor check ins/telemed - US/CN/SEA)</t>
  </si>
  <si>
    <t>Will need this to coincide with ~6 mo device upgrade to collect data.</t>
  </si>
  <si>
    <t>STRATEGIC PIPELINE (BUILT) &amp; RESOURCES</t>
  </si>
  <si>
    <t>MRA Grant 2025</t>
  </si>
  <si>
    <t>S/N</t>
  </si>
  <si>
    <t>Grant %</t>
  </si>
  <si>
    <t>Total Claims</t>
  </si>
  <si>
    <t>Total Amount Approved (S$)</t>
  </si>
  <si>
    <t>Total Amount Approved (US$)</t>
  </si>
  <si>
    <t>Offer Letter</t>
  </si>
  <si>
    <t>BD in USA</t>
  </si>
  <si>
    <t>Letter_of_Offer_BD in USA 2503BCC2_01-Apr-2025.pdf</t>
  </si>
  <si>
    <t>Mkt setup in USA</t>
  </si>
  <si>
    <t>Letter_of_Offer_Market Setup in USA 250322AV_12-Jun-2025.pdf</t>
  </si>
  <si>
    <t>BD in China</t>
  </si>
  <si>
    <t>Letter_of_Offer_BD in China 2503CXNU_13-Jun-2025.pdf</t>
  </si>
  <si>
    <t>Mkt setup in China</t>
  </si>
  <si>
    <t>Letter_of_Offer_Market Setup in China 250334XH_14-Jun-2025.pdf</t>
  </si>
  <si>
    <t>Mkt setup in Malaysia</t>
  </si>
  <si>
    <t>Letter_of_Offer_Market Setup in Malaysia 250333P2_01-Apr-2025.pdf</t>
  </si>
  <si>
    <t>L.C.</t>
  </si>
  <si>
    <t>CUR</t>
  </si>
  <si>
    <t>Status</t>
  </si>
  <si>
    <t>Transaction Currency Amt</t>
  </si>
  <si>
    <t>GBP</t>
  </si>
  <si>
    <t>USD</t>
  </si>
  <si>
    <t>TOTALS</t>
  </si>
  <si>
    <t>Payroll UK - 28-Jun-25</t>
  </si>
  <si>
    <t>-</t>
  </si>
  <si>
    <t>Payroll SG - 04-Jun-25</t>
  </si>
  <si>
    <t>SGD</t>
  </si>
  <si>
    <t xml:space="preserve"> Victoria Yong 
• we need to check - no double counting e.g NLB</t>
  </si>
  <si>
    <t>OPEX UK - OPEX May-25</t>
  </si>
  <si>
    <t>• need to clean up so salaries are not obvious</t>
  </si>
  <si>
    <t>Google</t>
  </si>
  <si>
    <t>AMEX</t>
  </si>
  <si>
    <t>Miro</t>
  </si>
  <si>
    <t>WISE</t>
  </si>
  <si>
    <t>Slack</t>
  </si>
  <si>
    <t>Vimeo</t>
  </si>
  <si>
    <t>Back Blaze</t>
  </si>
  <si>
    <t>AutoDesk</t>
  </si>
  <si>
    <t>Apple</t>
  </si>
  <si>
    <t>Adobe</t>
  </si>
  <si>
    <t>Bank Fees &amp; Fx-Variable</t>
  </si>
  <si>
    <t>Insurance-AIG &amp; Old Mutual Life</t>
  </si>
  <si>
    <t>Sonotel</t>
  </si>
  <si>
    <t>GoDaddy</t>
  </si>
  <si>
    <t>Smarty</t>
  </si>
  <si>
    <t>EE</t>
  </si>
  <si>
    <t>Otter.ai</t>
  </si>
  <si>
    <t>Telephone</t>
  </si>
  <si>
    <t>NLB Accounting Fees</t>
  </si>
  <si>
    <t>Bounce Back Loan</t>
  </si>
  <si>
    <t>NEST Pension Contribution</t>
  </si>
  <si>
    <t>Reassure</t>
  </si>
  <si>
    <t>Vitality</t>
  </si>
  <si>
    <t>Verizon - Home Internet</t>
  </si>
  <si>
    <t>Verizon - Phone</t>
  </si>
  <si>
    <t>IiPostal ($284.49)</t>
  </si>
  <si>
    <t>USA - Utilities - NGRID, Water &amp; Sewer</t>
  </si>
  <si>
    <t>OPEX SG - OPEX Jun-25</t>
  </si>
  <si>
    <t>XERO add on Expense Module</t>
  </si>
  <si>
    <t>M1 Limited - Telephone (GIRO)</t>
  </si>
  <si>
    <t>Water &amp; Electricity-SP Group (GIRO)</t>
  </si>
  <si>
    <t>Polar Water (GIRO)</t>
  </si>
  <si>
    <t>FidCorp - Professional Fees - S$5k annual</t>
  </si>
  <si>
    <t>DHL - Export Tax SG &gt;Shenzhen CN</t>
  </si>
  <si>
    <t>FidCorp - Professional Fees - Payroll</t>
  </si>
  <si>
    <t>FidCorp - IRAS FY Income Tax</t>
  </si>
  <si>
    <t>Contractors EoM - Data Sc, AI ML</t>
  </si>
  <si>
    <t>Contractors EoM - Corp Services Mgr</t>
  </si>
  <si>
    <t>Contractors EoM - SG Sr E Eng</t>
  </si>
  <si>
    <t>Contractors EoM - MY Admin</t>
  </si>
  <si>
    <t>Contractors BoM - Regulatory head</t>
  </si>
  <si>
    <t>Contractors BoM - Clinical manager</t>
  </si>
  <si>
    <t>Sub-Total Apr-25 Critical OPEX</t>
  </si>
  <si>
    <t>$49,533</t>
  </si>
  <si>
    <t>Critical OPEX</t>
  </si>
  <si>
    <t>PAYE UK GBP 22-Jul-25</t>
  </si>
  <si>
    <t>PAYE UK GBP 28-Jul-25</t>
  </si>
  <si>
    <t>Payroll SG - 04-Jul-25</t>
  </si>
  <si>
    <t>CPF SGD 14-Jul-25</t>
  </si>
  <si>
    <t>Contractors BoM - Craig Jul-25</t>
  </si>
  <si>
    <t>Contractors BoM - Barun Jul-25</t>
  </si>
  <si>
    <t>Sub-Total May-25 Critical OPEX</t>
  </si>
  <si>
    <t>$9,699</t>
  </si>
  <si>
    <t>Critical OPEX - RENT</t>
  </si>
  <si>
    <t>Rent UK 1st of Mth Jul-25</t>
  </si>
  <si>
    <t>Rent SGD EoM Jun-25</t>
  </si>
  <si>
    <t>Rent USD 1st of Mth Jul-25</t>
  </si>
  <si>
    <t>Sub-Total Rent</t>
  </si>
  <si>
    <t>$7,193</t>
  </si>
  <si>
    <t>Sub-Total Critical OPEX &amp; Rent</t>
  </si>
  <si>
    <t>$66,425</t>
  </si>
  <si>
    <t>Production Category</t>
  </si>
  <si>
    <t>Production Units</t>
  </si>
  <si>
    <t>US$/unit</t>
  </si>
  <si>
    <t>Sample A &amp; B</t>
  </si>
  <si>
    <t>Mass production V1.0 PCB</t>
  </si>
  <si>
    <t>Mass production V1.1 PCB</t>
  </si>
  <si>
    <t>Mass production V1.1. PCB</t>
  </si>
  <si>
    <t>Loan Schedule</t>
  </si>
  <si>
    <t>Production Payment Schedule</t>
  </si>
  <si>
    <t>US$ : SGD</t>
  </si>
  <si>
    <t>Invoice Amount</t>
  </si>
  <si>
    <t>Payment Now</t>
  </si>
  <si>
    <t>Payment in Aug'25</t>
  </si>
  <si>
    <t>Payment in Sept'25</t>
  </si>
  <si>
    <t>PO#</t>
  </si>
  <si>
    <t>Vendor</t>
  </si>
  <si>
    <t>Portescap 80% payment</t>
  </si>
  <si>
    <t>170725-1022</t>
  </si>
  <si>
    <t>Mouser</t>
  </si>
  <si>
    <t>Consigned components to FXN</t>
  </si>
  <si>
    <t>PLEASE PAY THESE INVOICES FIRST</t>
  </si>
  <si>
    <t>TO BE ADVISED LATER</t>
  </si>
  <si>
    <t>Laser balancing (EUR23,580)</t>
  </si>
  <si>
    <t>Harness sewing (TBC)</t>
  </si>
  <si>
    <t>Assembly (TBC)</t>
  </si>
  <si>
    <t>Bridge Loans Release Tranche</t>
  </si>
  <si>
    <t>1st Tranche</t>
  </si>
  <si>
    <t>2nd Tranche</t>
  </si>
  <si>
    <t>3rd Tranche</t>
  </si>
  <si>
    <t>TOTAL AMOUNT TO BE PAID (US$)</t>
  </si>
  <si>
    <t>TOTAL AMOUNT TO BE PAID (S$)</t>
  </si>
  <si>
    <t>LOAN AMOUNT PROPOSED S$</t>
  </si>
  <si>
    <t>1 EUR</t>
  </si>
  <si>
    <r>
      <rPr>
        <u/>
        <sz val="11"/>
        <color rgb="FF1155CC"/>
        <rFont val="Calibri, sans-serif"/>
      </rPr>
      <t>ClickUp</t>
    </r>
  </si>
  <si>
    <t>In-house balancing</t>
  </si>
  <si>
    <t>Pricing and timing:</t>
  </si>
  <si>
    <t>Price</t>
  </si>
  <si>
    <t>Machine production</t>
  </si>
  <si>
    <t>Water chiller</t>
  </si>
  <si>
    <t>Fume extraction</t>
  </si>
  <si>
    <t>Shipment by air</t>
  </si>
  <si>
    <t>Annual maintenance * (10-20% of machine costs)</t>
  </si>
  <si>
    <t>Shipment by sea (FOB Tianin port)</t>
  </si>
  <si>
    <t>Custom fee</t>
  </si>
  <si>
    <t>On-site setup and training</t>
  </si>
  <si>
    <t>Total price</t>
  </si>
  <si>
    <t>QTY per week</t>
  </si>
  <si>
    <t>Timing</t>
  </si>
  <si>
    <t>Production</t>
  </si>
  <si>
    <t>6-7 months</t>
  </si>
  <si>
    <t>Sea freight</t>
  </si>
  <si>
    <t>Installation and calibration</t>
  </si>
  <si>
    <t>15 days</t>
  </si>
  <si>
    <t>Air freight</t>
  </si>
  <si>
    <t>7-14 days</t>
  </si>
  <si>
    <t>* Do we have inspection capability before laser balancing and Alan is sourcing suitable vendor?  Currently done by Racer</t>
  </si>
  <si>
    <t>Balancing service</t>
  </si>
  <si>
    <t>Information</t>
  </si>
  <si>
    <t>Price for 1 motor</t>
  </si>
  <si>
    <t>70€ + 460€ set-up costs per batch</t>
  </si>
  <si>
    <t>Delivery costs per unit</t>
  </si>
  <si>
    <t>Notice</t>
  </si>
  <si>
    <t>Few weeks before</t>
  </si>
  <si>
    <t>LT for delivery of 330 units</t>
  </si>
  <si>
    <t>8.25 weeks</t>
  </si>
  <si>
    <t>Cost and time analysis of In-house vs Outsource Laser Balancing (US$)</t>
  </si>
  <si>
    <t xml:space="preserve">In-house machining </t>
  </si>
  <si>
    <t>CAPEX</t>
  </si>
  <si>
    <t xml:space="preserve">Unit cost of 1 laser balancing unit </t>
  </si>
  <si>
    <t>460€ set-up costs per batch eg. 300</t>
  </si>
  <si>
    <t>Transport costs of laser balanced unit</t>
  </si>
  <si>
    <t>Total unit cost of 1 laser balanced unit</t>
  </si>
  <si>
    <t>Breakeven unit of using in-hous machine</t>
  </si>
  <si>
    <t xml:space="preserve"> </t>
  </si>
  <si>
    <t>LT of in house laser balancing vs outsourcing laser balaning</t>
  </si>
  <si>
    <t xml:space="preserve">With the first year sales units achieving 3300 units, we should procure the laser balancing machine after 1st year sales </t>
  </si>
  <si>
    <t>as it takes about 7 months to deliver the machine to us thus we will only be able to use for 2nd year production</t>
  </si>
  <si>
    <t>Outsource Laser Balancing (US$)</t>
  </si>
  <si>
    <t>Cost of Laser Balancing Machine (US$)</t>
  </si>
  <si>
    <t>Saving on Laser Balancing (US$)</t>
  </si>
  <si>
    <t>Saving recognised in the 2nd year include 20% maintenance costs</t>
  </si>
  <si>
    <t>Saving recognised in the 3rd year include 20% maintenance costs</t>
  </si>
  <si>
    <t>GYROGEAR FORECAST</t>
  </si>
  <si>
    <t>YR22/23</t>
  </si>
  <si>
    <t>YR23/24</t>
  </si>
  <si>
    <t>YR24/25</t>
  </si>
  <si>
    <t>YR25/26</t>
  </si>
  <si>
    <t>YR26/27</t>
  </si>
  <si>
    <t>YR27/28</t>
  </si>
  <si>
    <t>YR28/29</t>
  </si>
  <si>
    <t>YR29/30</t>
  </si>
  <si>
    <t>BEST CASE SCENARIO</t>
  </si>
  <si>
    <t>ACTUAL</t>
  </si>
  <si>
    <t>GyroGear Ltd - 5 Year Forecast</t>
  </si>
  <si>
    <r>
      <rPr>
        <sz val="8"/>
        <color theme="1"/>
        <rFont val="Arial"/>
        <family val="2"/>
      </rPr>
      <t>Reporting Periods Run From 01-Jul-</t>
    </r>
    <r>
      <rPr>
        <b/>
        <sz val="8"/>
        <color theme="1"/>
        <rFont val="Arial"/>
        <family val="2"/>
      </rPr>
      <t>XX</t>
    </r>
    <r>
      <rPr>
        <sz val="8"/>
        <color theme="1"/>
        <rFont val="Arial"/>
        <family val="2"/>
      </rPr>
      <t xml:space="preserve"> - 30-Jun-</t>
    </r>
    <r>
      <rPr>
        <b/>
        <sz val="8"/>
        <color theme="1"/>
        <rFont val="Arial"/>
        <family val="2"/>
      </rPr>
      <t>XX</t>
    </r>
    <r>
      <rPr>
        <sz val="8"/>
        <color theme="1"/>
        <rFont val="Arial"/>
        <family val="2"/>
      </rPr>
      <t xml:space="preserve"> </t>
    </r>
  </si>
  <si>
    <t>Projected Profit and Loss (USD)</t>
  </si>
  <si>
    <t>FY 15/16</t>
  </si>
  <si>
    <t>FY 16/17</t>
  </si>
  <si>
    <t>FY17/18</t>
  </si>
  <si>
    <t>FY18/19</t>
  </si>
  <si>
    <t>FY19/20</t>
  </si>
  <si>
    <t>FY20/21</t>
  </si>
  <si>
    <t>FY21/22</t>
  </si>
  <si>
    <t>Profit and Loss ($USD)</t>
  </si>
  <si>
    <t>Y1-2</t>
  </si>
  <si>
    <t>Y1-1</t>
  </si>
  <si>
    <t>Y4</t>
  </si>
  <si>
    <t>Y5</t>
  </si>
  <si>
    <t>Y6</t>
  </si>
  <si>
    <t>OPEX Y1-Y2 (Total)</t>
  </si>
  <si>
    <t>OPEX Y1-Y3 (Total)</t>
  </si>
  <si>
    <t>Units</t>
  </si>
  <si>
    <t>Revenue</t>
  </si>
  <si>
    <t>Cost of Sales</t>
  </si>
  <si>
    <t>Gross Margin</t>
  </si>
  <si>
    <t>GM%</t>
  </si>
  <si>
    <t>Clinical Trials</t>
  </si>
  <si>
    <t>Clinical</t>
  </si>
  <si>
    <t>Product Development</t>
  </si>
  <si>
    <t>Research &amp; Development</t>
  </si>
  <si>
    <t>Marketing</t>
  </si>
  <si>
    <t>Sales &amp; Marketing</t>
  </si>
  <si>
    <t>Sales Commissions</t>
  </si>
  <si>
    <t>General &amp; Admin</t>
  </si>
  <si>
    <t>Sales Commission</t>
  </si>
  <si>
    <t>Payroll and Personnel</t>
  </si>
  <si>
    <t>Administration</t>
  </si>
  <si>
    <t>Recruitment Costs</t>
  </si>
  <si>
    <t>Other Consultants</t>
  </si>
  <si>
    <t>Legal Fees</t>
  </si>
  <si>
    <t>Rent</t>
  </si>
  <si>
    <t xml:space="preserve">Travel </t>
  </si>
  <si>
    <t>Patents</t>
  </si>
  <si>
    <t>QARA-Quality Assurance</t>
  </si>
  <si>
    <t>Total Operating Expenses</t>
  </si>
  <si>
    <t>Total Operating Exp</t>
  </si>
  <si>
    <t>Other Non-Operating +Inc / -Exp</t>
  </si>
  <si>
    <t>Other +Inc / -Exp</t>
  </si>
  <si>
    <t>EBITDA</t>
  </si>
  <si>
    <t>Y1-Y6 (Forecast P&amp;L) - Internal Review</t>
  </si>
  <si>
    <t>Units sold</t>
  </si>
  <si>
    <t>Full Commercialisation</t>
  </si>
  <si>
    <t>Contribution Margin (Revenue-VC)/Revenue</t>
  </si>
  <si>
    <t>Variable Costs</t>
  </si>
  <si>
    <t>Fixed Costs</t>
  </si>
  <si>
    <t>Total Costs</t>
  </si>
  <si>
    <t>Estimated Manufacturing COGS $850 per unit Year 1 with YoY 5% reductions thereafter based on scale of increasing MoQ's</t>
  </si>
  <si>
    <t xml:space="preserve">Sales figures built in detail from ground up, assuming reasonable unit sales per sales agent/distributor per region. </t>
  </si>
  <si>
    <t>MSRP - $5899 per unit</t>
  </si>
  <si>
    <t xml:space="preserve">Sales Price is static, margin increase driven by saving of 3% YoY as a result of Sales Agents and Distributor margin tightening </t>
  </si>
  <si>
    <t>USA / UK / GER / FRA / SPA / ITA / SCA / NED / BEL / CAN / AUS / NZ / KOR / SGP / JAP / THA / VNN / IDN</t>
  </si>
  <si>
    <t>Total Population</t>
  </si>
  <si>
    <t>Total ET Market</t>
  </si>
  <si>
    <t>Total PD Market</t>
  </si>
  <si>
    <t>Service Addressable Market (SAM)</t>
  </si>
  <si>
    <t>EUR/ANZ/CAN</t>
  </si>
  <si>
    <t>ASIA</t>
  </si>
  <si>
    <t>Year 1</t>
  </si>
  <si>
    <t>Year 2</t>
  </si>
  <si>
    <t>Year 3</t>
  </si>
  <si>
    <t>Year 4</t>
  </si>
  <si>
    <t>Year 5</t>
  </si>
  <si>
    <t>UNITS SOLD</t>
  </si>
  <si>
    <t>REVENUE</t>
  </si>
  <si>
    <t>REVENUES</t>
  </si>
  <si>
    <t>Use of Proceeds (3 Years)</t>
  </si>
  <si>
    <t>% of allocation</t>
  </si>
  <si>
    <t>Justification</t>
  </si>
  <si>
    <t>Clinical trials encompass the usability studies for regulatory authority registration (e.g US FDA, MHRA, CE marking) etc, insurance coverage applications, and next generation testing etc</t>
  </si>
  <si>
    <t>Procurement of equipment and partnership with institutions to develop new generation. Covers procurement of the laser balancing machine at EUR280K (GyroGear will procure only if absolutely necessary).</t>
  </si>
  <si>
    <t>Marketing expenses include marketing communication, KOL management, market access and research, PR to penetrate into USA (Y1), EU, AU &amp; NZ, UK &amp; Asia (Y2)</t>
  </si>
  <si>
    <t>Sales commission to 1099 agents</t>
  </si>
  <si>
    <t>New hirees with an emphasis on R&amp;D (11), Design (14),  Operations (14) and Commercial (9)</t>
  </si>
  <si>
    <t>Recuitment of new hirees</t>
  </si>
  <si>
    <t>Consultants on clinical trials, tax and finance structure advices for business expansion etc</t>
  </si>
  <si>
    <t>For the legal advices on the business expansion</t>
  </si>
  <si>
    <t xml:space="preserve">Include the current rentals of UK, Singapore, US offices, coupled with warehouse and new Taiwan office </t>
  </si>
  <si>
    <t>Include travel of key staff (primarily Sales, CEO)</t>
  </si>
  <si>
    <t>Maintenance of the current 7 patents. Provisioned 40 additional new patents from next-generation development.</t>
  </si>
  <si>
    <t>Annual fee for ISO 13485 audit and maintenance of  CE, FDA, MHRA registration with annual QA audit on suppliers</t>
  </si>
  <si>
    <t>Based On Usage Allocation</t>
  </si>
  <si>
    <t>Usability Tests for Insurance Applications</t>
  </si>
  <si>
    <t>FDA Class 2 Registration</t>
  </si>
  <si>
    <t>Clinical Consultants</t>
  </si>
  <si>
    <t>Insurance Application (Medicare &amp; Private Insurance)</t>
  </si>
  <si>
    <t>Clinical Trials Staff Payroll</t>
  </si>
  <si>
    <t>Clinical Trials OPEX</t>
  </si>
  <si>
    <t>Hardware and Software</t>
  </si>
  <si>
    <t>R&amp;D Staff (AI &amp; ML) Payroll</t>
  </si>
  <si>
    <t>R&amp;D Staff (Design) Payroll</t>
  </si>
  <si>
    <t>R&amp;D Staff (Software Engineer etc)</t>
  </si>
  <si>
    <t>Laser Balancing Machine</t>
  </si>
  <si>
    <t>R&amp;D Operation Costs</t>
  </si>
  <si>
    <t>Marketing &amp; Commercialisation Support</t>
  </si>
  <si>
    <t>Sales Commission to 1099 Agents</t>
  </si>
  <si>
    <t>Regional Marketing Payroll</t>
  </si>
  <si>
    <t>Sales Travel</t>
  </si>
  <si>
    <t>Events and Promotions</t>
  </si>
  <si>
    <t>Demo Centres</t>
  </si>
  <si>
    <t xml:space="preserve">Operation &amp; Logistic Payroll </t>
  </si>
  <si>
    <t>Marketing &amp; Commercialisation Operation Costs (Events &amp; Demo Centres)</t>
  </si>
  <si>
    <t>Legal Compliance &amp; Patents</t>
  </si>
  <si>
    <t>Legal Payroll</t>
  </si>
  <si>
    <t>Legal Operation Costs</t>
  </si>
  <si>
    <t>General &amp; Administrative</t>
  </si>
  <si>
    <t>General Payroll</t>
  </si>
  <si>
    <t>G&amp;A OPEX</t>
  </si>
  <si>
    <t>Scenario A</t>
  </si>
  <si>
    <t>current operation</t>
  </si>
  <si>
    <t>MYR</t>
  </si>
  <si>
    <t>OPEX AFTER DEDUCTION</t>
  </si>
  <si>
    <t>UK Capabilities</t>
  </si>
  <si>
    <t>FOREX</t>
  </si>
  <si>
    <t>Tim</t>
  </si>
  <si>
    <t>1. Live testing (e.g. G10)</t>
  </si>
  <si>
    <t>USD/GBP</t>
  </si>
  <si>
    <t>Jack</t>
  </si>
  <si>
    <t>(4 days, not 3 days)</t>
  </si>
  <si>
    <t>2. In house product knowledge, technical counsel.</t>
  </si>
  <si>
    <t>David</t>
  </si>
  <si>
    <t>3. UK office as a try out location.</t>
  </si>
  <si>
    <t>USD/MYR</t>
  </si>
  <si>
    <t>subtotal</t>
  </si>
  <si>
    <t>PAYE</t>
  </si>
  <si>
    <t>NEST Pension</t>
  </si>
  <si>
    <t>NLB</t>
  </si>
  <si>
    <t>Big Yellow Storage</t>
  </si>
  <si>
    <t>Scenario B</t>
  </si>
  <si>
    <t>retain Jack (as contractor) and office only</t>
  </si>
  <si>
    <t>\</t>
  </si>
  <si>
    <t>FidCorp</t>
  </si>
  <si>
    <t>MOVE UK TO SG</t>
  </si>
  <si>
    <t>Sr Accountant (MY)</t>
  </si>
  <si>
    <t>Upper end per Perplexity Pro</t>
  </si>
  <si>
    <t>Sr Lab Tech (SG)</t>
  </si>
  <si>
    <t>Upper end per Google</t>
  </si>
  <si>
    <t>Sr Lab Tech (MY)</t>
  </si>
  <si>
    <t>Accounting firm</t>
  </si>
  <si>
    <t>Total (SEA)</t>
  </si>
  <si>
    <t>Savings</t>
  </si>
  <si>
    <t>5 days</t>
  </si>
  <si>
    <t>4 days</t>
  </si>
  <si>
    <t>3 days</t>
  </si>
  <si>
    <t>Notes</t>
  </si>
  <si>
    <t>Payroll UK</t>
  </si>
  <si>
    <t>PAYE UK</t>
  </si>
  <si>
    <t>NEST UK</t>
  </si>
  <si>
    <t>Payroll SG</t>
  </si>
  <si>
    <t>CPF SG</t>
  </si>
  <si>
    <t>Contractors</t>
  </si>
  <si>
    <t>Contractors - Clinical Manager</t>
  </si>
  <si>
    <t>Contractors - Regulatory Head</t>
  </si>
  <si>
    <t>Contractors - Operations Head</t>
  </si>
  <si>
    <t>USD3000 allocated; hold off until sales ramps up</t>
  </si>
  <si>
    <t>Others</t>
  </si>
  <si>
    <t>Full deferrment</t>
  </si>
  <si>
    <t>Contractors - Data Science, AI ML</t>
  </si>
  <si>
    <t>Contractors - SG Sr E Eng</t>
  </si>
  <si>
    <t>Contractors - MY Corp Services Manager</t>
  </si>
  <si>
    <t>50% deferment; originally RM12000</t>
  </si>
  <si>
    <t>Contractors - MY Admin</t>
  </si>
  <si>
    <t>RENT</t>
  </si>
  <si>
    <t>Rent US</t>
  </si>
  <si>
    <t>Rent UK</t>
  </si>
  <si>
    <t>End of lease: End Sept 2025</t>
  </si>
  <si>
    <t>Rent SG</t>
  </si>
  <si>
    <t>SUBSCRIPTIONS - MONTHLY</t>
  </si>
  <si>
    <t>Adobe #1</t>
  </si>
  <si>
    <t>Adobe #2</t>
  </si>
  <si>
    <t>AIG &amp; Old Mutual Life</t>
  </si>
  <si>
    <t>Apple #3</t>
  </si>
  <si>
    <t>Insurance - Commercial Combined</t>
  </si>
  <si>
    <t>Insurance - D&amp;O</t>
  </si>
  <si>
    <t>Three</t>
  </si>
  <si>
    <t>Back Blaze #1</t>
  </si>
  <si>
    <t>Back Blaze #2</t>
  </si>
  <si>
    <t>ChatGPT</t>
  </si>
  <si>
    <t>Sonetel</t>
  </si>
  <si>
    <t>US Utilities</t>
  </si>
  <si>
    <t>Estimated</t>
  </si>
  <si>
    <t>Davinci Virtual Office Solutions</t>
  </si>
  <si>
    <t>Autodesk</t>
  </si>
  <si>
    <t>FidCorp - Payroll</t>
  </si>
  <si>
    <t>M1</t>
  </si>
  <si>
    <t>Polar Water</t>
  </si>
  <si>
    <t>SG Utilities</t>
  </si>
  <si>
    <t>Xero</t>
  </si>
  <si>
    <t>Parking</t>
  </si>
  <si>
    <t>Bank Fees &amp; FX Variable</t>
  </si>
  <si>
    <t>SUBSCRIPTIONS - YEARLY</t>
  </si>
  <si>
    <t>ProBackUp</t>
  </si>
  <si>
    <t>ClickUp</t>
  </si>
  <si>
    <t>ExpressVPN</t>
  </si>
  <si>
    <t>1Password</t>
  </si>
  <si>
    <t>Zoom</t>
  </si>
  <si>
    <t>Adobe #3</t>
  </si>
  <si>
    <t>OtterAI</t>
  </si>
  <si>
    <t>Microsoft Office</t>
  </si>
  <si>
    <t>FidCorp (Annual)</t>
  </si>
  <si>
    <t>Evernote</t>
  </si>
  <si>
    <t>NEW PAYROLL</t>
  </si>
  <si>
    <t>US VP Sales</t>
  </si>
  <si>
    <t xml:space="preserve"> - US VP Sales: Health Insurance</t>
  </si>
  <si>
    <t>MY Finance Manager (Part-Time)</t>
  </si>
  <si>
    <t>Retainer; 2-3 days of work/week</t>
  </si>
  <si>
    <t>MY Additions</t>
  </si>
  <si>
    <t>With USA &amp; China OPEX</t>
  </si>
  <si>
    <t>TOTAL FUND REQUIRED</t>
  </si>
  <si>
    <t>Monthly</t>
  </si>
  <si>
    <t>6 Months</t>
  </si>
  <si>
    <t>12 Months</t>
  </si>
  <si>
    <t>EXISTING OPEX</t>
  </si>
  <si>
    <t>ADDITIONAL OPEX</t>
  </si>
  <si>
    <t>• US VP Sales - Chris Weathers</t>
  </si>
  <si>
    <t>US VP Sales (revenue centre). This is very likely self-funded by his own sales. E.g. 2 units = $12K. Quarterly objectives are funded by his own sales.</t>
  </si>
  <si>
    <t>• MY Accountant/Accounting firm</t>
  </si>
  <si>
    <t>VA 1099s - core team of 1+6 have been playing with this for a year. Already pushing for units</t>
  </si>
  <si>
    <t>INCIDENTAL</t>
  </si>
  <si>
    <t>VA 1099 Sales Ramp Up - Y1 800 unit KPI</t>
  </si>
  <si>
    <t>• Patents</t>
  </si>
  <si>
    <t>Lewis will issue PO1 ($230K) in July 2025</t>
  </si>
  <si>
    <t>Others incidental costs</t>
  </si>
  <si>
    <t>Cash Inflow</t>
  </si>
  <si>
    <t>Revenue (Sales of Batch 1)</t>
  </si>
  <si>
    <t>Revenue (Sales of Batch 2)</t>
  </si>
  <si>
    <t>Grant</t>
  </si>
  <si>
    <t>Cash Outflow</t>
  </si>
  <si>
    <t>Manufacturng costs</t>
  </si>
  <si>
    <t>OPEX &amp; Other incidental costs</t>
  </si>
  <si>
    <t>R&amp;D</t>
  </si>
  <si>
    <t>Cash Balance c/f</t>
  </si>
  <si>
    <t>Cash Surplus (+ve)/Deficit (-ve)</t>
  </si>
  <si>
    <t>Cash Balance B/f</t>
  </si>
  <si>
    <t>FUNDS REQUESTED</t>
  </si>
  <si>
    <t>Note :</t>
  </si>
  <si>
    <t>1.1) Sales of 300 units is allocated between</t>
  </si>
  <si>
    <t>CN Distributors</t>
  </si>
  <si>
    <t>VA sales</t>
  </si>
  <si>
    <t>with the sales increment by 10% monthly commencing on Oct'25 except for VA commencing with 30% to consume the VA budget</t>
  </si>
  <si>
    <t>1.2) Sales of 700 units is allocated between</t>
  </si>
  <si>
    <t>B2C online</t>
  </si>
  <si>
    <t>with the sales increment by 30% monthly</t>
  </si>
  <si>
    <t>1.3) Sales of 1000 units is allocated between</t>
  </si>
  <si>
    <t>a) Seling price of CN Distributor</t>
  </si>
  <si>
    <t>b) Selling price of VA Distributor</t>
  </si>
  <si>
    <t>less 15% commission to 1099 agents</t>
  </si>
  <si>
    <t>c) Selling price of B2C website</t>
  </si>
  <si>
    <t>2) Inventory loan issue in tranches by Mr Ong</t>
  </si>
  <si>
    <t xml:space="preserve">3) CAPEX incurred for laser balancing machine </t>
  </si>
  <si>
    <t>on Oct'25 but delivery date is after 6 months</t>
  </si>
  <si>
    <t>Incurred</t>
  </si>
  <si>
    <t>a) USA</t>
  </si>
  <si>
    <t>Sep'25</t>
  </si>
  <si>
    <t>b) China</t>
  </si>
  <si>
    <t>Oct'25</t>
  </si>
  <si>
    <t>c) Malaysia</t>
  </si>
  <si>
    <t>a) Batch 1</t>
  </si>
  <si>
    <t>Commence on Jul'25 with 30 units for testing</t>
  </si>
  <si>
    <t>b) Batch 2 on Sep'25</t>
  </si>
  <si>
    <t>Assume US$1,202 per unit  (credit term in 40% D/P, 20% mid-prod &amp; 40% BD)</t>
  </si>
  <si>
    <t>c) Batch 3 on Mar';26</t>
  </si>
  <si>
    <t>Assume US$1,051 with inhouse laser balancing and assembly</t>
  </si>
  <si>
    <t>6) R&amp;D commencemnt for Gen 2</t>
  </si>
  <si>
    <t xml:space="preserve">by phases of </t>
  </si>
  <si>
    <t>7) Clinical trials commence for insurance claim and NMPA China</t>
  </si>
  <si>
    <t>135K OPEX</t>
  </si>
  <si>
    <t>Office Setup &amp; Marketing</t>
  </si>
  <si>
    <t>Cashflow Statement Forecast For 6 Months Runway &amp; Producing 2 Batches</t>
  </si>
  <si>
    <t>FUNDS REQUESTED FOR 1ST 3 MONTHS</t>
  </si>
  <si>
    <t>Cash Surplus (+ve)/Deficit (-ve) for 6 months</t>
  </si>
  <si>
    <t>4) CAPEX of office setup &amp; Marketing Expenses</t>
  </si>
  <si>
    <t>4) Manufacuring cost</t>
  </si>
  <si>
    <t>Nov'25</t>
  </si>
  <si>
    <t>c) Malaysia &amp; Others</t>
  </si>
  <si>
    <t>3) CAPEX of office setup &amp; Marketing Expenses</t>
  </si>
  <si>
    <t>2) Inventory loan issue by Mr Ong</t>
  </si>
  <si>
    <t>3) Manufacuring cost</t>
  </si>
  <si>
    <t>（for the negative cashflow months)</t>
  </si>
  <si>
    <t>CN Distributor PO 1 &amp; VA Sales</t>
  </si>
  <si>
    <t xml:space="preserve">CN CNY </t>
  </si>
  <si>
    <t xml:space="preserve">Easter </t>
  </si>
  <si>
    <t>CN Single  Day &amp; Christmas</t>
  </si>
  <si>
    <t>Manufacturing costs</t>
  </si>
  <si>
    <t>Arrival Date</t>
  </si>
  <si>
    <t>Pogo pins, screw etc</t>
  </si>
  <si>
    <t>Early marketing costs etc.</t>
  </si>
  <si>
    <t>Cashflow Statement Forecast For 12 Months Runway &amp; Producing 2 Batches; Selling ~320 Units</t>
  </si>
  <si>
    <t>Cashflow Statement Forecast For 12 Months Runway &amp; Producing 1 Batch 300 Units; Selling 300 Units</t>
  </si>
  <si>
    <t xml:space="preserve">Cashflow Statement Forecast For 3 Years Runway </t>
  </si>
  <si>
    <t>Revenue (Sales of Batch 3)</t>
  </si>
  <si>
    <t>VA orders will be sell through USA office via Transfer Pricing Arrangement based on selling price to CN Distributor</t>
  </si>
  <si>
    <t>(arm-length transaction)</t>
  </si>
  <si>
    <t xml:space="preserve">In turn USA office will sell to VA </t>
  </si>
  <si>
    <t>Mother Day</t>
  </si>
  <si>
    <t>Christmas &amp; New Year</t>
  </si>
  <si>
    <t>CN Single  Day &amp; Thanksgiving, Black Friday, Cyber Monday</t>
  </si>
  <si>
    <t>CN 618 and Father Day</t>
  </si>
  <si>
    <t>c) Selling price of B2C website and other regions</t>
  </si>
  <si>
    <t>Revenue (Sales of Batch 4)</t>
  </si>
  <si>
    <t>Revenue (Sales of Batch 5)</t>
  </si>
  <si>
    <t>Revenue (Sales of Batch 6)</t>
  </si>
  <si>
    <t>Revenue (Sales of Batch 7)</t>
  </si>
  <si>
    <t>Revenue (Sales of Batch 8)</t>
  </si>
  <si>
    <t>Revenue (Sales of Batch 9)</t>
  </si>
  <si>
    <t>Revenue (Sales of Batch 10)</t>
  </si>
  <si>
    <t>1.4 Sales of 1000 units is allocated between</t>
  </si>
  <si>
    <t>CN &amp; Others Distributors</t>
  </si>
  <si>
    <t>5) Manufacuring cost</t>
  </si>
  <si>
    <t>(To Cover Negative Cashflow)</t>
  </si>
  <si>
    <t>Assume US$945 with production optimisation</t>
  </si>
  <si>
    <t>(15% commission for 1099 agents has been deducted in the Cashflow Projection Statement)</t>
  </si>
  <si>
    <t>Dec'25</t>
  </si>
  <si>
    <t>4) CAPEX of office setup</t>
  </si>
  <si>
    <t>GyroGear - Consolidated</t>
  </si>
  <si>
    <t>P04</t>
  </si>
  <si>
    <t>P05</t>
  </si>
  <si>
    <t>P06</t>
  </si>
  <si>
    <t>Q2</t>
  </si>
  <si>
    <t>P07</t>
  </si>
  <si>
    <t>P08</t>
  </si>
  <si>
    <t>P09</t>
  </si>
  <si>
    <t>Q3</t>
  </si>
  <si>
    <t>P10</t>
  </si>
  <si>
    <t>P11</t>
  </si>
  <si>
    <t>P12</t>
  </si>
  <si>
    <t>Q4</t>
  </si>
  <si>
    <t>P01</t>
  </si>
  <si>
    <t>P02</t>
  </si>
  <si>
    <t>P03</t>
  </si>
  <si>
    <t>Q1</t>
  </si>
  <si>
    <t>GyroGear Consolidated</t>
  </si>
  <si>
    <t>Forecast</t>
  </si>
  <si>
    <t>Actual</t>
  </si>
  <si>
    <t>Operating Costs</t>
  </si>
  <si>
    <t>Fixed</t>
  </si>
  <si>
    <t>Variable</t>
  </si>
  <si>
    <t>CashFlow Forecast</t>
  </si>
  <si>
    <t>Apr-Jun 23</t>
  </si>
  <si>
    <t>Jul-Sep 23</t>
  </si>
  <si>
    <t>Oct-Dec 23</t>
  </si>
  <si>
    <t>Jan-Mar 24</t>
  </si>
  <si>
    <t>Apr-Jun 24</t>
  </si>
  <si>
    <t>Jul-Sep 24</t>
  </si>
  <si>
    <t>Oct-Dec 24</t>
  </si>
  <si>
    <t>Jan-Mar 25</t>
  </si>
  <si>
    <t>Apr-Jun 25</t>
  </si>
  <si>
    <t>Jul-Sep 25</t>
  </si>
  <si>
    <t>Oct-Dec 25</t>
  </si>
  <si>
    <t>Jan-Mar 26</t>
  </si>
  <si>
    <t>Mth</t>
  </si>
  <si>
    <t>Costs</t>
  </si>
  <si>
    <t>Revenues</t>
  </si>
  <si>
    <t>Operating Expenses</t>
  </si>
  <si>
    <t>COGS/Production Orders</t>
  </si>
  <si>
    <t>Payroll</t>
  </si>
  <si>
    <t>Other Admin</t>
  </si>
  <si>
    <t>Total Fixed</t>
  </si>
  <si>
    <t>Selling</t>
  </si>
  <si>
    <t>Recruitment</t>
  </si>
  <si>
    <t>Travel</t>
  </si>
  <si>
    <t>Professional Fees</t>
  </si>
  <si>
    <t>Total Variable</t>
  </si>
  <si>
    <t>Headcount</t>
  </si>
  <si>
    <t>Salaried</t>
  </si>
  <si>
    <t>Operating Surplus (Deficit)</t>
  </si>
  <si>
    <t>Other Income</t>
  </si>
  <si>
    <t>Grant Income</t>
  </si>
  <si>
    <t>Movements in Equity</t>
  </si>
  <si>
    <t>FX Gains and Losses</t>
  </si>
  <si>
    <t>Net Cash Movement</t>
  </si>
  <si>
    <t>Opening Cash Balance</t>
  </si>
  <si>
    <t>Net Cash +Inflow/-Outflow</t>
  </si>
  <si>
    <t>Ending Cash Balance</t>
  </si>
  <si>
    <t>Feb25 GG SG did not get paid until Mar25, still 1 mth in arrears</t>
  </si>
  <si>
    <t>Mar25 Consultant payments pushed into Apr25, Faii funded</t>
  </si>
  <si>
    <t>Average</t>
  </si>
  <si>
    <t xml:space="preserve">Apr'23 to </t>
  </si>
  <si>
    <t>Jul'25</t>
  </si>
  <si>
    <t>Total Fixed Costs</t>
  </si>
  <si>
    <t>Product Research &amp; Development</t>
  </si>
  <si>
    <t>Y1 Gen 1 short (30 pax) first run (2 weeks)</t>
  </si>
  <si>
    <t>Y1 Rerun Gen 1 short (30 pax) first run admin costs only (2 weeks)</t>
  </si>
  <si>
    <t>Y1 Gen 1 long (50 pax) first run (3 months)</t>
  </si>
  <si>
    <t>Y1 Rerun Gen 1 long (50 pax) first run  (with hardware replacement) (3 months)</t>
  </si>
  <si>
    <t>Y2 Gen 2 short (50 pax) first run  (2 weeks)</t>
  </si>
  <si>
    <t>Y2 Rerun Gen 2 short (50 pax) first run  (2 weeks)</t>
  </si>
  <si>
    <t>Y3 Gen 2 long (80 pax) first run  (3 months)</t>
  </si>
  <si>
    <t>Rent (SG &amp; USA)</t>
  </si>
  <si>
    <t>Rent (China)</t>
  </si>
  <si>
    <t>Rent (Malaysia)</t>
  </si>
  <si>
    <t>Incurred on Dec'25 onwards</t>
  </si>
  <si>
    <t>Incurred on Nov'25 onwards</t>
  </si>
  <si>
    <t>of sales revenue</t>
  </si>
  <si>
    <t>Professional/Consultant Fees</t>
  </si>
  <si>
    <t>Assume annual increment due to inflation in each calendar year</t>
  </si>
  <si>
    <t>VP China Operation</t>
  </si>
  <si>
    <t>Scenario Simulation (Assume the Sales Target)</t>
  </si>
  <si>
    <t>Clinical Trials Staff Payroll (Monthly for 12 monthhs)</t>
  </si>
  <si>
    <t>Clinical Consultants (Monthly for 12 months)</t>
  </si>
  <si>
    <t>b) Batch 2 on Jan'26</t>
  </si>
  <si>
    <t>c) Batch 3 on Nov'26</t>
  </si>
  <si>
    <t>d) Batch 4 on Oct'27</t>
  </si>
  <si>
    <t>on Mar'26 but delivery date is after 6 months</t>
  </si>
  <si>
    <t>on Aug'25</t>
  </si>
  <si>
    <t xml:space="preserve">Proposed </t>
  </si>
  <si>
    <t>6) Tariff in USA via VA sales</t>
  </si>
  <si>
    <t>7) Clinical Trials as presented to HH (will only commmence if sales KPI is above 75%)</t>
  </si>
  <si>
    <t>8) Monthly Research &amp; Development Expenses (will only commence if sales KPI is above 75%)</t>
  </si>
  <si>
    <t>9) Monthly Fixed costs</t>
  </si>
  <si>
    <t>&lt;- Toggle Sales KPI</t>
  </si>
  <si>
    <t>Sales %</t>
  </si>
  <si>
    <t>Tariff in USA</t>
  </si>
  <si>
    <t>Yr 1 Revenue</t>
  </si>
  <si>
    <t>Y1 Units Sold</t>
  </si>
  <si>
    <t>Patents Renewal (No New Patents)</t>
  </si>
  <si>
    <t>Cashflow Statement Forecast For 12 Months Only selling 300 units</t>
  </si>
  <si>
    <t>3) CAPEX of office setup</t>
  </si>
  <si>
    <t>5) Tariff in USA via VA sales</t>
  </si>
  <si>
    <t>6) Monthly Fixed costs</t>
  </si>
  <si>
    <t>7) Monthly variable costs</t>
  </si>
  <si>
    <t>Note : Non Operating Movements incluse Loans from Shareholders and Directors</t>
  </si>
  <si>
    <t>Current Liabilities - Summary DRAFT</t>
  </si>
  <si>
    <t>As at 31-Jul 2025</t>
  </si>
  <si>
    <t>$USD</t>
  </si>
  <si>
    <t>Category Spend</t>
  </si>
  <si>
    <t>Creditors: amounts falling due within one year</t>
  </si>
  <si>
    <t>Admin</t>
  </si>
  <si>
    <t>Payroll - UK &amp; SG Salary Deferment</t>
  </si>
  <si>
    <t>Contractors - Salary Deferment</t>
  </si>
  <si>
    <t>Contractors - Salaries Past Due</t>
  </si>
  <si>
    <t>Payroll - Salary UK Past Due</t>
  </si>
  <si>
    <t>Payroll - Salary SG Past Due</t>
  </si>
  <si>
    <t>Rent - UK Past Due</t>
  </si>
  <si>
    <t>Rent - US Past Due</t>
  </si>
  <si>
    <t>Rent - SG Past Due</t>
  </si>
  <si>
    <t>Next Level Business Accounting Services - UK</t>
  </si>
  <si>
    <t>Legal</t>
  </si>
  <si>
    <t>SVHF Law</t>
  </si>
  <si>
    <t>Cooley (UK) Ltd</t>
  </si>
  <si>
    <t>HGF Ltd</t>
  </si>
  <si>
    <t>Bryers Intellectual Property Ltd.</t>
  </si>
  <si>
    <t>Greenberg Traurig, LLP (GT Law)</t>
  </si>
  <si>
    <t>QARA</t>
  </si>
  <si>
    <t>NAMSA Cytotoxicity Study</t>
  </si>
  <si>
    <t>Pre-Prod Manuf.</t>
  </si>
  <si>
    <t>PMB - Präzisionsmaschinenbau Bobertag GmbH</t>
  </si>
  <si>
    <t xml:space="preserve">CASTOR EDC </t>
  </si>
  <si>
    <t>MHRA Regulatory Review Fee</t>
  </si>
  <si>
    <t>TRG-Tetras Scale Licensing Fee Jun-22</t>
  </si>
  <si>
    <t>Michael J Fox Foundation</t>
  </si>
  <si>
    <t>International Parkinson's Movements Disorders Society (MDS)</t>
  </si>
  <si>
    <t>London and Partners</t>
  </si>
  <si>
    <t>Bounce Back Loan - (Due &lt;1 Year)</t>
  </si>
  <si>
    <t>Directors' Loan Account - Faii Ong</t>
  </si>
  <si>
    <t>Mr SS Ong - Interim Loan Account  (Loans 1-5)</t>
  </si>
  <si>
    <t>K Ong</t>
  </si>
  <si>
    <t>Other Creditors</t>
  </si>
  <si>
    <t>PAYE UK / CPF SG Payable</t>
  </si>
  <si>
    <t xml:space="preserve">Payroll - UK NEST Pension </t>
  </si>
  <si>
    <t>Pre-Orders</t>
  </si>
  <si>
    <t>Other Current Liabilities</t>
  </si>
  <si>
    <t>Owed Ong Family</t>
  </si>
  <si>
    <t>10) Monthly variable costs</t>
  </si>
  <si>
    <t>11) Other liabiliteis include deferrment, shareholder loans etc and will arrange for repayment after positive cash inflow</t>
  </si>
  <si>
    <t>8) The repayment of other liabilities (exclude loans from Ong  Family) will not commence in next 12 months</t>
  </si>
  <si>
    <t>Loans</t>
  </si>
  <si>
    <t>As of 31-July-25</t>
  </si>
  <si>
    <t>Other liabilties Incur/(Repayment)</t>
  </si>
  <si>
    <t>Other liabilities Incur/(Repayment)</t>
  </si>
  <si>
    <t>LOANS FROM SOO SIM ONG AS AT 31 AUG'25</t>
  </si>
  <si>
    <t>2% interest per calendar month</t>
  </si>
  <si>
    <t>Date</t>
  </si>
  <si>
    <t>Amount SGD</t>
  </si>
  <si>
    <t>Amount USD</t>
  </si>
  <si>
    <t>Months incurred</t>
  </si>
  <si>
    <t>Interest SGD</t>
  </si>
  <si>
    <t>Interest USD</t>
  </si>
  <si>
    <t>There will be an inventory loan for the procurement of components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</si>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</sst>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US$]#,##0"/>
    <numFmt numFmtId="165" formatCode="[$US$]#,##0.0000"/>
    <numFmt numFmtId="166" formatCode="[$$]#,##0"/>
    <numFmt numFmtId="167" formatCode="[$$]#,##0.00"/>
    <numFmt numFmtId="168" formatCode="d\ mmm\ yyyy"/>
    <numFmt numFmtId="169" formatCode="[$S$]#,##0.00"/>
    <numFmt numFmtId="170" formatCode="&quot;£&quot;#,##0"/>
    <numFmt numFmtId="171" formatCode="#,##0&quot;€&quot;"/>
    <numFmt numFmtId="172" formatCode="[$RM]#,##0.00"/>
    <numFmt numFmtId="173" formatCode="_-* #,##0.00_-;\-* #,##0.00_-;_-* &quot;-&quot;??_-;_-@"/>
    <numFmt numFmtId="174" formatCode="_-* #,##0_-;\-* #,##0_-;_-* &quot;-&quot;??_-;_-@"/>
    <numFmt numFmtId="175" formatCode="_(* #,##0_);_(* \(#,##0\);_(* &quot;-&quot;??_);_(@_)"/>
    <numFmt numFmtId="176" formatCode="[$£-809]#,##0.00;\-[$£-809]#,##0.00"/>
    <numFmt numFmtId="177" formatCode="#,##0;\(#,##0\)"/>
    <numFmt numFmtId="178" formatCode="[$$-409]#,##0"/>
    <numFmt numFmtId="179" formatCode="[$$-409]#,##0_);\([$$-409]#,##0\)"/>
    <numFmt numFmtId="180" formatCode="0.0%"/>
    <numFmt numFmtId="181" formatCode="_-* #,##0.00_-;\-* #,##0.00_-;_-* &quot;-&quot;??_-;_-@_-"/>
    <numFmt numFmtId="182" formatCode="_-* #,##0_-;\-* #,##0_-;_-* &quot;-&quot;??_-;_-@_-"/>
    <numFmt numFmtId="183" formatCode="[$$]#,##0.00" x16r2:formatCode16="[$$-uz-Arab-AF]#,##0.00"/>
    <numFmt numFmtId="184" formatCode="_(&quot;$&quot;* #,##0_);_(&quot;$&quot;* \(#,##0\);_(&quot;$&quot;* &quot;-&quot;??_);_(@_)"/>
    <numFmt numFmtId="185" formatCode="_(&quot;£&quot;* #,##0_);_(&quot;£&quot;* \(#,##0\);_(&quot;£&quot;* &quot;-&quot;_);_(@_)"/>
    <numFmt numFmtId="186" formatCode="_(&quot;S&quot;&quot;$&quot;* #,##0.00_);_(&quot;$&quot;* \(#,##0.00\);_(&quot;$&quot;* &quot;-&quot;??_);_(@_)"/>
    <numFmt numFmtId="187" formatCode="_(&quot;US&quot;&quot;$&quot;* #,##0.00_);_(&quot;$&quot;* \(#,##0.00\);_(&quot;$&quot;* &quot;-&quot;??_);_(@_)"/>
  </numFmts>
  <fonts count="99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name val="Arial"/>
      <family val="2"/>
    </font>
    <font>
      <i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&quot;Aptos Narrow&quot;"/>
    </font>
    <font>
      <sz val="10"/>
      <color rgb="FF000000"/>
      <name val="&quot;Aptos Narrow&quot;"/>
    </font>
    <font>
      <u/>
      <sz val="10"/>
      <color rgb="FF0000FF"/>
      <name val="Arial"/>
      <family val="2"/>
    </font>
    <font>
      <b/>
      <sz val="12"/>
      <color rgb="FF000000"/>
      <name val="&quot;Aptos Narrow&quot;"/>
    </font>
    <font>
      <sz val="12"/>
      <color rgb="FF000000"/>
      <name val="&quot;Aptos Narrow&quot;"/>
    </font>
    <font>
      <b/>
      <sz val="10"/>
      <color rgb="FFFF0000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b/>
      <sz val="10"/>
      <color rgb="FF4472C4"/>
      <name val="Arial"/>
      <family val="2"/>
      <scheme val="minor"/>
    </font>
    <font>
      <u/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  <font>
      <b/>
      <sz val="18"/>
      <color rgb="FF343434"/>
      <name val="Arial"/>
      <family val="2"/>
      <scheme val="minor"/>
    </font>
    <font>
      <sz val="9"/>
      <color rgb="FF2A2E34"/>
      <name val="&quot;Segoe UI&quot;"/>
    </font>
    <font>
      <b/>
      <i/>
      <sz val="11"/>
      <color rgb="FF0070C0"/>
      <name val="Inherit"/>
    </font>
    <font>
      <b/>
      <i/>
      <sz val="11"/>
      <color rgb="FF2A2E34"/>
      <name val="Inherit"/>
    </font>
    <font>
      <sz val="11"/>
      <color rgb="FF2A2E34"/>
      <name val="&quot;Segoe UI&quot;"/>
    </font>
    <font>
      <b/>
      <sz val="11"/>
      <color rgb="FF2A2E34"/>
      <name val="Inherit"/>
    </font>
    <font>
      <sz val="11"/>
      <color rgb="FF2A2E34"/>
      <name val="Arial"/>
      <family val="2"/>
      <scheme val="minor"/>
    </font>
    <font>
      <sz val="11"/>
      <color rgb="FF000000"/>
      <name val="&quot;Segoe UI&quot;"/>
    </font>
    <font>
      <sz val="10"/>
      <color rgb="FF0000FF"/>
      <name val="Arial"/>
      <family val="2"/>
      <scheme val="minor"/>
    </font>
    <font>
      <b/>
      <sz val="10"/>
      <color rgb="FF000000"/>
      <name val="&quot;Helvetica Neue&quot;"/>
    </font>
    <font>
      <sz val="10"/>
      <color rgb="FF000000"/>
      <name val="&quot;Helvetica Neue&quot;"/>
    </font>
    <font>
      <i/>
      <sz val="10"/>
      <color rgb="FF000000"/>
      <name val="&quot;Helvetica Neue&quot;"/>
    </font>
    <font>
      <sz val="6"/>
      <color rgb="FF000000"/>
      <name val="&quot;Helvetica Neue&quot;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1"/>
      <color rgb="FF1155CC"/>
      <name val="Calibri, sans-serif"/>
    </font>
    <font>
      <sz val="10"/>
      <color rgb="FF000000"/>
      <name val="Arial"/>
      <family val="2"/>
      <scheme val="minor"/>
    </font>
    <font>
      <b/>
      <sz val="10"/>
      <color rgb="FFFF0000"/>
      <name val="Arial (Body)"/>
    </font>
    <font>
      <b/>
      <sz val="10"/>
      <color theme="4"/>
      <name val="Arial (Body)"/>
    </font>
    <font>
      <sz val="10"/>
      <color theme="4"/>
      <name val="Arial (Body)"/>
    </font>
    <font>
      <sz val="11"/>
      <color theme="1"/>
      <name val="Arial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rgb="FFEF253F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8"/>
      <color theme="0"/>
      <name val="Arial"/>
      <family val="2"/>
    </font>
    <font>
      <sz val="11"/>
      <color theme="0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9"/>
      <name val="Arial"/>
      <family val="2"/>
    </font>
    <font>
      <sz val="10"/>
      <color rgb="FF000000"/>
      <name val="Arial"/>
      <family val="2"/>
      <scheme val="minor"/>
    </font>
    <font>
      <sz val="10"/>
      <color theme="0"/>
      <name val="Arial (Body)"/>
    </font>
    <font>
      <b/>
      <sz val="10"/>
      <color theme="0"/>
      <name val="Arial (Body)"/>
    </font>
    <font>
      <u/>
      <sz val="10"/>
      <color theme="0"/>
      <name val="Arial (Body)"/>
    </font>
    <font>
      <u/>
      <sz val="10"/>
      <color theme="10"/>
      <name val="Arial"/>
      <family val="2"/>
      <scheme val="minor"/>
    </font>
    <font>
      <b/>
      <u/>
      <sz val="10"/>
      <color rgb="FF000000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0"/>
      <color indexed="8"/>
      <name val="Helvetica Neue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12"/>
      <color theme="1"/>
      <name val="Arial"/>
      <family val="2"/>
    </font>
    <font>
      <b/>
      <u/>
      <sz val="10"/>
      <color rgb="FF000000"/>
      <name val="Arial"/>
      <family val="2"/>
      <scheme val="minor"/>
    </font>
    <font>
      <sz val="16"/>
      <color theme="0"/>
      <name val="Aptos"/>
    </font>
    <font>
      <sz val="10"/>
      <color theme="0"/>
      <name val="Arial"/>
      <family val="2"/>
      <scheme val="minor"/>
    </font>
    <font>
      <sz val="10"/>
      <color theme="5"/>
      <name val="Arial"/>
      <family val="2"/>
      <scheme val="minor"/>
    </font>
    <font>
      <i/>
      <sz val="10"/>
      <color theme="5"/>
      <name val="Arial"/>
      <family val="2"/>
      <scheme val="minor"/>
    </font>
    <font>
      <i/>
      <sz val="10"/>
      <color theme="0"/>
      <name val="Arial"/>
      <family val="2"/>
      <scheme val="minor"/>
    </font>
    <font>
      <i/>
      <sz val="10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0"/>
      <color theme="1"/>
      <name val="Calibri"/>
      <family val="2"/>
    </font>
    <font>
      <sz val="10"/>
      <color rgb="FF757070"/>
      <name val="Calibri"/>
      <family val="2"/>
    </font>
    <font>
      <b/>
      <sz val="11"/>
      <color rgb="FFFF0000"/>
      <name val="Calibri"/>
      <family val="2"/>
    </font>
    <font>
      <sz val="8"/>
      <color theme="1"/>
      <name val="Arial"/>
      <family val="2"/>
      <scheme val="minor"/>
    </font>
    <font>
      <sz val="8"/>
      <color theme="1"/>
      <name val="Calibri"/>
      <family val="2"/>
    </font>
    <font>
      <sz val="8"/>
      <color rgb="FF757070"/>
      <name val="Calibri"/>
      <family val="2"/>
    </font>
    <font>
      <b/>
      <sz val="8"/>
      <color rgb="FF757070"/>
      <name val="Calibri"/>
      <family val="2"/>
    </font>
    <font>
      <b/>
      <u/>
      <sz val="11"/>
      <color theme="1"/>
      <name val="Arial"/>
      <family val="2"/>
      <scheme val="minor"/>
    </font>
    <font>
      <b/>
      <i/>
      <sz val="10"/>
      <color rgb="FFFF0000"/>
      <name val="Arial"/>
      <family val="2"/>
      <scheme val="minor"/>
    </font>
    <font>
      <b/>
      <sz val="10"/>
      <color theme="5"/>
      <name val="Arial"/>
      <family val="2"/>
      <scheme val="minor"/>
    </font>
    <font>
      <b/>
      <sz val="12"/>
      <color indexed="8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2"/>
      <color theme="1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6609"/>
        <bgColor rgb="FFFF6609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000000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000000"/>
      </top>
      <bottom style="thin">
        <color rgb="FF000000"/>
      </bottom>
      <diagonal/>
    </border>
    <border>
      <left style="thin">
        <color rgb="FF7C828D"/>
      </left>
      <right style="thin">
        <color rgb="FF7C828D"/>
      </right>
      <top style="thin">
        <color rgb="FF7C828D"/>
      </top>
      <bottom style="thin">
        <color rgb="FF7C828D"/>
      </bottom>
      <diagonal/>
    </border>
    <border>
      <left/>
      <right style="thin">
        <color rgb="FF7C828D"/>
      </right>
      <top style="thin">
        <color rgb="FF7C828D"/>
      </top>
      <bottom style="thin">
        <color rgb="FF7C828D"/>
      </bottom>
      <diagonal/>
    </border>
    <border>
      <left style="thin">
        <color rgb="FF7C828D"/>
      </left>
      <right style="thin">
        <color rgb="FF7C828D"/>
      </right>
      <top/>
      <bottom style="thin">
        <color rgb="FF7C828D"/>
      </bottom>
      <diagonal/>
    </border>
    <border>
      <left/>
      <right style="thin">
        <color rgb="FF7C828D"/>
      </right>
      <top/>
      <bottom style="thin">
        <color rgb="FF7C828D"/>
      </bottom>
      <diagonal/>
    </border>
    <border>
      <left style="thin">
        <color rgb="FF7C828D"/>
      </left>
      <right style="thin">
        <color rgb="FF7C828D"/>
      </right>
      <top style="thin">
        <color rgb="FF7C828D"/>
      </top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medium">
        <color indexed="64"/>
      </left>
      <right style="thin">
        <color rgb="FFBFBFBF"/>
      </right>
      <top style="medium">
        <color indexed="64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indexed="64"/>
      </top>
      <bottom style="thin">
        <color rgb="FFBFBFBF"/>
      </bottom>
      <diagonal/>
    </border>
    <border>
      <left style="thin">
        <color rgb="FFBFBFBF"/>
      </left>
      <right style="medium">
        <color indexed="64"/>
      </right>
      <top style="medium">
        <color indexed="64"/>
      </top>
      <bottom style="thin">
        <color rgb="FFBFBFBF"/>
      </bottom>
      <diagonal/>
    </border>
    <border>
      <left style="medium">
        <color indexed="64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indexed="64"/>
      </right>
      <top style="thin">
        <color rgb="FFBFBFBF"/>
      </top>
      <bottom style="thin">
        <color rgb="FFBFBFBF"/>
      </bottom>
      <diagonal/>
    </border>
    <border>
      <left style="medium">
        <color indexed="64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indexed="64"/>
      </left>
      <right style="thin">
        <color rgb="FFBFBFBF"/>
      </right>
      <top style="thin">
        <color rgb="FFBFBFBF"/>
      </top>
      <bottom style="medium">
        <color indexed="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indexed="64"/>
      </bottom>
      <diagonal/>
    </border>
    <border>
      <left style="thin">
        <color rgb="FFBFBFBF"/>
      </left>
      <right style="medium">
        <color indexed="64"/>
      </right>
      <top style="thin">
        <color rgb="FFBFBFBF"/>
      </top>
      <bottom style="medium">
        <color indexed="64"/>
      </bottom>
      <diagonal/>
    </border>
    <border>
      <left/>
      <right style="thin">
        <color rgb="FFBFBFBF"/>
      </right>
      <top/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BFBFBF"/>
      </bottom>
      <diagonal/>
    </border>
    <border>
      <left/>
      <right/>
      <top style="medium">
        <color indexed="64"/>
      </top>
      <bottom style="thin">
        <color rgb="FFBFBFBF"/>
      </bottom>
      <diagonal/>
    </border>
    <border>
      <left/>
      <right style="thin">
        <color rgb="FFBFBFBF"/>
      </right>
      <top style="medium">
        <color indexed="64"/>
      </top>
      <bottom style="thin">
        <color rgb="FFBFBFBF"/>
      </bottom>
      <diagonal/>
    </border>
    <border>
      <left/>
      <right style="medium">
        <color indexed="64"/>
      </right>
      <top style="thin">
        <color rgb="FFBFBFBF"/>
      </top>
      <bottom style="thin">
        <color rgb="FFBFBFBF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medium">
        <color indexed="64"/>
      </right>
      <top/>
      <bottom style="thin">
        <color rgb="FFBFBFBF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 style="thin">
        <color rgb="FF757070"/>
      </top>
      <bottom style="thin">
        <color rgb="FF75707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8">
    <xf numFmtId="0" fontId="0" fillId="0" borderId="0"/>
    <xf numFmtId="43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0" fontId="48" fillId="0" borderId="0"/>
    <xf numFmtId="181" fontId="48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3" fillId="0" borderId="0"/>
    <xf numFmtId="0" fontId="2" fillId="0" borderId="0"/>
    <xf numFmtId="0" fontId="73" fillId="0" borderId="0" applyNumberFormat="0" applyFill="0" applyBorder="0" applyProtection="0">
      <alignment vertical="top" wrapText="1"/>
    </xf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48" fillId="0" borderId="0"/>
    <xf numFmtId="0" fontId="49" fillId="0" borderId="0"/>
  </cellStyleXfs>
  <cellXfs count="616">
    <xf numFmtId="0" fontId="0" fillId="0" borderId="0" xfId="0"/>
    <xf numFmtId="0" fontId="4" fillId="0" borderId="0" xfId="0" applyFont="1"/>
    <xf numFmtId="0" fontId="5" fillId="0" borderId="0" xfId="0" applyFont="1"/>
    <xf numFmtId="3" fontId="4" fillId="0" borderId="0" xfId="0" applyNumberFormat="1" applyFont="1"/>
    <xf numFmtId="164" fontId="4" fillId="0" borderId="0" xfId="0" applyNumberFormat="1" applyFont="1"/>
    <xf numFmtId="0" fontId="5" fillId="0" borderId="1" xfId="0" applyFont="1" applyBorder="1"/>
    <xf numFmtId="3" fontId="4" fillId="0" borderId="1" xfId="0" applyNumberFormat="1" applyFont="1" applyBorder="1"/>
    <xf numFmtId="164" fontId="4" fillId="0" borderId="1" xfId="0" applyNumberFormat="1" applyFont="1" applyBorder="1"/>
    <xf numFmtId="165" fontId="4" fillId="0" borderId="0" xfId="0" applyNumberFormat="1" applyFont="1"/>
    <xf numFmtId="0" fontId="4" fillId="0" borderId="2" xfId="0" applyFont="1" applyBorder="1"/>
    <xf numFmtId="0" fontId="5" fillId="0" borderId="3" xfId="0" applyFont="1" applyBorder="1"/>
    <xf numFmtId="0" fontId="5" fillId="0" borderId="4" xfId="0" applyFont="1" applyBorder="1"/>
    <xf numFmtId="164" fontId="4" fillId="0" borderId="2" xfId="0" applyNumberFormat="1" applyFont="1" applyBorder="1"/>
    <xf numFmtId="0" fontId="7" fillId="0" borderId="0" xfId="0" applyFont="1"/>
    <xf numFmtId="166" fontId="4" fillId="0" borderId="0" xfId="0" applyNumberFormat="1" applyFont="1"/>
    <xf numFmtId="166" fontId="4" fillId="0" borderId="5" xfId="0" applyNumberFormat="1" applyFont="1" applyBorder="1"/>
    <xf numFmtId="0" fontId="4" fillId="0" borderId="0" xfId="0" applyFont="1" applyAlignment="1">
      <alignment wrapText="1"/>
    </xf>
    <xf numFmtId="166" fontId="5" fillId="0" borderId="6" xfId="0" applyNumberFormat="1" applyFont="1" applyBorder="1"/>
    <xf numFmtId="167" fontId="4" fillId="0" borderId="0" xfId="0" applyNumberFormat="1" applyFont="1"/>
    <xf numFmtId="0" fontId="5" fillId="0" borderId="0" xfId="0" applyFont="1" applyAlignment="1">
      <alignment horizontal="right"/>
    </xf>
    <xf numFmtId="0" fontId="4" fillId="0" borderId="5" xfId="0" applyFont="1" applyBorder="1"/>
    <xf numFmtId="166" fontId="5" fillId="0" borderId="5" xfId="0" applyNumberFormat="1" applyFont="1" applyBorder="1"/>
    <xf numFmtId="0" fontId="5" fillId="0" borderId="6" xfId="0" applyFont="1" applyBorder="1" applyAlignment="1">
      <alignment horizontal="right"/>
    </xf>
    <xf numFmtId="166" fontId="5" fillId="0" borderId="6" xfId="0" applyNumberFormat="1" applyFont="1" applyBorder="1" applyAlignment="1">
      <alignment horizontal="right"/>
    </xf>
    <xf numFmtId="0" fontId="5" fillId="0" borderId="5" xfId="0" applyFont="1" applyBorder="1"/>
    <xf numFmtId="167" fontId="5" fillId="0" borderId="5" xfId="0" applyNumberFormat="1" applyFont="1" applyBorder="1"/>
    <xf numFmtId="0" fontId="5" fillId="0" borderId="6" xfId="0" applyFont="1" applyBorder="1"/>
    <xf numFmtId="167" fontId="5" fillId="0" borderId="6" xfId="0" applyNumberFormat="1" applyFont="1" applyBorder="1"/>
    <xf numFmtId="167" fontId="5" fillId="0" borderId="0" xfId="0" applyNumberFormat="1" applyFont="1"/>
    <xf numFmtId="164" fontId="5" fillId="0" borderId="5" xfId="0" applyNumberFormat="1" applyFont="1" applyBorder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8" fillId="0" borderId="7" xfId="0" applyFont="1" applyBorder="1"/>
    <xf numFmtId="0" fontId="8" fillId="0" borderId="8" xfId="0" applyFont="1" applyBorder="1"/>
    <xf numFmtId="9" fontId="8" fillId="0" borderId="8" xfId="0" applyNumberFormat="1" applyFont="1" applyBorder="1" applyAlignment="1">
      <alignment horizontal="right"/>
    </xf>
    <xf numFmtId="0" fontId="8" fillId="0" borderId="9" xfId="0" applyFont="1" applyBorder="1" applyAlignment="1">
      <alignment horizontal="center"/>
    </xf>
    <xf numFmtId="0" fontId="9" fillId="0" borderId="10" xfId="0" applyFont="1" applyBorder="1" applyAlignment="1">
      <alignment horizontal="right"/>
    </xf>
    <xf numFmtId="0" fontId="9" fillId="0" borderId="4" xfId="0" applyFont="1" applyBorder="1" applyAlignment="1">
      <alignment horizontal="right"/>
    </xf>
    <xf numFmtId="0" fontId="9" fillId="0" borderId="4" xfId="0" applyFont="1" applyBorder="1"/>
    <xf numFmtId="4" fontId="9" fillId="0" borderId="4" xfId="0" applyNumberFormat="1" applyFont="1" applyBorder="1"/>
    <xf numFmtId="0" fontId="9" fillId="0" borderId="3" xfId="0" applyFont="1" applyBorder="1"/>
    <xf numFmtId="3" fontId="11" fillId="0" borderId="0" xfId="0" applyNumberFormat="1" applyFont="1"/>
    <xf numFmtId="0" fontId="9" fillId="0" borderId="10" xfId="0" applyFont="1" applyBorder="1"/>
    <xf numFmtId="4" fontId="9" fillId="0" borderId="7" xfId="0" applyNumberFormat="1" applyFont="1" applyBorder="1"/>
    <xf numFmtId="4" fontId="9" fillId="0" borderId="3" xfId="0" applyNumberFormat="1" applyFont="1" applyBorder="1"/>
    <xf numFmtId="0" fontId="9" fillId="0" borderId="11" xfId="0" applyFont="1" applyBorder="1"/>
    <xf numFmtId="0" fontId="9" fillId="0" borderId="2" xfId="0" applyFont="1" applyBorder="1"/>
    <xf numFmtId="4" fontId="8" fillId="0" borderId="2" xfId="0" applyNumberFormat="1" applyFont="1" applyBorder="1"/>
    <xf numFmtId="0" fontId="9" fillId="0" borderId="7" xfId="0" applyFont="1" applyBorder="1"/>
    <xf numFmtId="0" fontId="9" fillId="0" borderId="8" xfId="0" applyFont="1" applyBorder="1" applyAlignment="1">
      <alignment horizontal="right"/>
    </xf>
    <xf numFmtId="0" fontId="9" fillId="0" borderId="8" xfId="0" applyFont="1" applyBorder="1"/>
    <xf numFmtId="4" fontId="9" fillId="0" borderId="8" xfId="0" applyNumberFormat="1" applyFont="1" applyBorder="1"/>
    <xf numFmtId="0" fontId="8" fillId="0" borderId="9" xfId="0" applyFont="1" applyBorder="1"/>
    <xf numFmtId="4" fontId="8" fillId="0" borderId="4" xfId="0" applyNumberFormat="1" applyFont="1" applyBorder="1"/>
    <xf numFmtId="0" fontId="12" fillId="0" borderId="0" xfId="0" applyFont="1"/>
    <xf numFmtId="4" fontId="11" fillId="0" borderId="0" xfId="0" applyNumberFormat="1" applyFont="1"/>
    <xf numFmtId="0" fontId="13" fillId="0" borderId="0" xfId="0" applyFont="1"/>
    <xf numFmtId="166" fontId="15" fillId="0" borderId="0" xfId="0" applyNumberFormat="1" applyFont="1" applyAlignment="1">
      <alignment horizontal="right"/>
    </xf>
    <xf numFmtId="0" fontId="15" fillId="0" borderId="0" xfId="0" applyFont="1"/>
    <xf numFmtId="166" fontId="15" fillId="0" borderId="0" xfId="0" applyNumberFormat="1" applyFont="1"/>
    <xf numFmtId="166" fontId="14" fillId="0" borderId="5" xfId="0" applyNumberFormat="1" applyFont="1" applyBorder="1" applyAlignment="1">
      <alignment horizontal="right"/>
    </xf>
    <xf numFmtId="0" fontId="16" fillId="0" borderId="0" xfId="0" applyFont="1"/>
    <xf numFmtId="0" fontId="18" fillId="0" borderId="0" xfId="0" applyFont="1"/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9" fontId="15" fillId="0" borderId="0" xfId="0" applyNumberFormat="1" applyFont="1" applyAlignment="1">
      <alignment horizontal="right"/>
    </xf>
    <xf numFmtId="169" fontId="15" fillId="0" borderId="0" xfId="0" applyNumberFormat="1" applyFont="1"/>
    <xf numFmtId="169" fontId="14" fillId="0" borderId="5" xfId="0" applyNumberFormat="1" applyFont="1" applyBorder="1"/>
    <xf numFmtId="166" fontId="14" fillId="0" borderId="5" xfId="0" applyNumberFormat="1" applyFont="1" applyBorder="1"/>
    <xf numFmtId="0" fontId="11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wrapText="1"/>
    </xf>
    <xf numFmtId="0" fontId="12" fillId="0" borderId="3" xfId="0" applyFont="1" applyBorder="1" applyAlignment="1">
      <alignment horizontal="center" vertical="top" wrapText="1"/>
    </xf>
    <xf numFmtId="0" fontId="19" fillId="0" borderId="10" xfId="0" applyFont="1" applyBorder="1" applyAlignment="1">
      <alignment wrapText="1"/>
    </xf>
    <xf numFmtId="0" fontId="11" fillId="0" borderId="0" xfId="0" applyFont="1" applyAlignment="1">
      <alignment vertical="top"/>
    </xf>
    <xf numFmtId="0" fontId="20" fillId="0" borderId="0" xfId="0" applyFont="1"/>
    <xf numFmtId="0" fontId="21" fillId="0" borderId="0" xfId="0" applyFont="1" applyAlignment="1">
      <alignment vertical="top"/>
    </xf>
    <xf numFmtId="0" fontId="21" fillId="0" borderId="11" xfId="0" applyFont="1" applyBorder="1" applyAlignment="1">
      <alignment vertical="top"/>
    </xf>
    <xf numFmtId="3" fontId="20" fillId="0" borderId="0" xfId="0" applyNumberFormat="1" applyFont="1"/>
    <xf numFmtId="3" fontId="11" fillId="0" borderId="0" xfId="0" applyNumberFormat="1" applyFont="1" applyAlignment="1">
      <alignment vertical="top"/>
    </xf>
    <xf numFmtId="3" fontId="21" fillId="0" borderId="0" xfId="0" applyNumberFormat="1" applyFont="1" applyAlignment="1">
      <alignment vertical="top"/>
    </xf>
    <xf numFmtId="3" fontId="21" fillId="0" borderId="11" xfId="0" applyNumberFormat="1" applyFont="1" applyBorder="1" applyAlignment="1">
      <alignment vertical="top"/>
    </xf>
    <xf numFmtId="0" fontId="11" fillId="0" borderId="0" xfId="0" applyFont="1" applyAlignment="1">
      <alignment horizontal="left" vertical="top"/>
    </xf>
    <xf numFmtId="0" fontId="21" fillId="0" borderId="0" xfId="0" applyFont="1" applyAlignment="1">
      <alignment horizontal="right" vertical="top"/>
    </xf>
    <xf numFmtId="0" fontId="22" fillId="0" borderId="11" xfId="0" applyFont="1" applyBorder="1" applyAlignment="1">
      <alignment vertical="top"/>
    </xf>
    <xf numFmtId="0" fontId="19" fillId="0" borderId="0" xfId="0" applyFont="1"/>
    <xf numFmtId="0" fontId="23" fillId="0" borderId="0" xfId="0" applyFont="1" applyAlignment="1">
      <alignment horizontal="left" vertical="top"/>
    </xf>
    <xf numFmtId="0" fontId="20" fillId="0" borderId="7" xfId="0" applyFont="1" applyBorder="1"/>
    <xf numFmtId="0" fontId="21" fillId="0" borderId="0" xfId="0" applyFont="1"/>
    <xf numFmtId="3" fontId="19" fillId="0" borderId="0" xfId="0" applyNumberFormat="1" applyFont="1"/>
    <xf numFmtId="0" fontId="12" fillId="0" borderId="0" xfId="0" applyFont="1" applyAlignment="1">
      <alignment horizontal="right"/>
    </xf>
    <xf numFmtId="170" fontId="12" fillId="0" borderId="7" xfId="0" applyNumberFormat="1" applyFont="1" applyBorder="1" applyAlignment="1">
      <alignment horizontal="right"/>
    </xf>
    <xf numFmtId="0" fontId="12" fillId="0" borderId="8" xfId="0" applyFont="1" applyBorder="1" applyAlignment="1">
      <alignment horizontal="right"/>
    </xf>
    <xf numFmtId="0" fontId="12" fillId="0" borderId="7" xfId="0" applyFont="1" applyBorder="1" applyAlignment="1">
      <alignment horizontal="right"/>
    </xf>
    <xf numFmtId="0" fontId="12" fillId="0" borderId="0" xfId="0" applyFont="1" applyAlignment="1">
      <alignment vertical="top"/>
    </xf>
    <xf numFmtId="0" fontId="20" fillId="0" borderId="11" xfId="0" applyFont="1" applyBorder="1"/>
    <xf numFmtId="3" fontId="12" fillId="0" borderId="0" xfId="0" applyNumberFormat="1" applyFont="1"/>
    <xf numFmtId="166" fontId="12" fillId="2" borderId="7" xfId="0" applyNumberFormat="1" applyFont="1" applyFill="1" applyBorder="1" applyAlignment="1">
      <alignment horizontal="right"/>
    </xf>
    <xf numFmtId="0" fontId="4" fillId="0" borderId="13" xfId="0" applyFont="1" applyBorder="1"/>
    <xf numFmtId="0" fontId="5" fillId="0" borderId="13" xfId="0" applyFont="1" applyBorder="1"/>
    <xf numFmtId="0" fontId="4" fillId="0" borderId="13" xfId="0" applyFont="1" applyBorder="1" applyAlignment="1">
      <alignment horizontal="right"/>
    </xf>
    <xf numFmtId="0" fontId="4" fillId="0" borderId="16" xfId="0" applyFont="1" applyBorder="1"/>
    <xf numFmtId="0" fontId="4" fillId="0" borderId="17" xfId="0" applyFont="1" applyBorder="1"/>
    <xf numFmtId="0" fontId="5" fillId="0" borderId="13" xfId="0" applyFont="1" applyBorder="1" applyAlignment="1">
      <alignment horizontal="right"/>
    </xf>
    <xf numFmtId="0" fontId="4" fillId="0" borderId="19" xfId="0" applyFont="1" applyBorder="1"/>
    <xf numFmtId="0" fontId="4" fillId="0" borderId="17" xfId="0" applyFont="1" applyBorder="1" applyAlignment="1">
      <alignment horizontal="right"/>
    </xf>
    <xf numFmtId="0" fontId="5" fillId="0" borderId="17" xfId="0" applyFont="1" applyBorder="1" applyAlignment="1">
      <alignment horizontal="right"/>
    </xf>
    <xf numFmtId="0" fontId="5" fillId="0" borderId="19" xfId="0" applyFont="1" applyBorder="1" applyAlignment="1">
      <alignment horizontal="right"/>
    </xf>
    <xf numFmtId="3" fontId="4" fillId="0" borderId="13" xfId="0" applyNumberFormat="1" applyFont="1" applyBorder="1" applyAlignment="1">
      <alignment horizontal="right"/>
    </xf>
    <xf numFmtId="0" fontId="5" fillId="0" borderId="19" xfId="0" applyFont="1" applyBorder="1"/>
    <xf numFmtId="0" fontId="24" fillId="0" borderId="0" xfId="0" applyFont="1"/>
    <xf numFmtId="0" fontId="24" fillId="0" borderId="0" xfId="0" applyFont="1" applyAlignment="1">
      <alignment horizontal="right"/>
    </xf>
    <xf numFmtId="167" fontId="24" fillId="0" borderId="0" xfId="0" applyNumberFormat="1" applyFont="1" applyAlignment="1">
      <alignment horizontal="left"/>
    </xf>
    <xf numFmtId="0" fontId="25" fillId="0" borderId="0" xfId="0" applyFont="1"/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8" fillId="0" borderId="20" xfId="0" applyFont="1" applyBorder="1" applyAlignment="1">
      <alignment horizontal="center"/>
    </xf>
    <xf numFmtId="0" fontId="29" fillId="0" borderId="21" xfId="0" applyFont="1" applyBorder="1" applyAlignment="1">
      <alignment horizontal="right"/>
    </xf>
    <xf numFmtId="0" fontId="30" fillId="0" borderId="22" xfId="0" applyFont="1" applyBorder="1"/>
    <xf numFmtId="0" fontId="30" fillId="0" borderId="23" xfId="0" applyFont="1" applyBorder="1" applyAlignment="1">
      <alignment horizontal="right"/>
    </xf>
    <xf numFmtId="171" fontId="30" fillId="0" borderId="23" xfId="0" applyNumberFormat="1" applyFont="1" applyBorder="1" applyAlignment="1">
      <alignment horizontal="right"/>
    </xf>
    <xf numFmtId="0" fontId="31" fillId="0" borderId="22" xfId="0" applyFont="1" applyBorder="1"/>
    <xf numFmtId="171" fontId="31" fillId="0" borderId="23" xfId="0" applyNumberFormat="1" applyFont="1" applyBorder="1" applyAlignment="1">
      <alignment horizontal="right"/>
    </xf>
    <xf numFmtId="0" fontId="32" fillId="0" borderId="23" xfId="0" applyFont="1" applyBorder="1" applyAlignment="1">
      <alignment horizontal="right"/>
    </xf>
    <xf numFmtId="0" fontId="28" fillId="0" borderId="22" xfId="0" applyFont="1" applyBorder="1" applyAlignment="1">
      <alignment horizontal="center"/>
    </xf>
    <xf numFmtId="0" fontId="31" fillId="0" borderId="23" xfId="0" applyFont="1" applyBorder="1" applyAlignment="1">
      <alignment horizontal="right"/>
    </xf>
    <xf numFmtId="0" fontId="33" fillId="0" borderId="22" xfId="0" applyFont="1" applyBorder="1"/>
    <xf numFmtId="0" fontId="32" fillId="0" borderId="0" xfId="0" applyFont="1"/>
    <xf numFmtId="0" fontId="32" fillId="0" borderId="21" xfId="0" applyFont="1" applyBorder="1" applyAlignment="1">
      <alignment horizontal="right"/>
    </xf>
    <xf numFmtId="0" fontId="32" fillId="0" borderId="22" xfId="0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4" fontId="4" fillId="0" borderId="0" xfId="0" applyNumberFormat="1" applyFont="1" applyAlignment="1">
      <alignment horizontal="right"/>
    </xf>
    <xf numFmtId="167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0" fontId="34" fillId="0" borderId="0" xfId="0" applyFont="1"/>
    <xf numFmtId="4" fontId="4" fillId="0" borderId="0" xfId="0" applyNumberFormat="1" applyFont="1"/>
    <xf numFmtId="0" fontId="35" fillId="0" borderId="0" xfId="0" applyFont="1" applyAlignment="1">
      <alignment vertical="top"/>
    </xf>
    <xf numFmtId="0" fontId="36" fillId="0" borderId="0" xfId="0" applyFont="1" applyAlignment="1">
      <alignment horizontal="right" vertical="top"/>
    </xf>
    <xf numFmtId="166" fontId="35" fillId="0" borderId="0" xfId="0" applyNumberFormat="1" applyFont="1" applyAlignment="1">
      <alignment vertical="top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170" fontId="36" fillId="0" borderId="0" xfId="0" applyNumberFormat="1" applyFont="1" applyAlignment="1">
      <alignment horizontal="right" vertical="top"/>
    </xf>
    <xf numFmtId="167" fontId="36" fillId="0" borderId="0" xfId="0" applyNumberFormat="1" applyFont="1" applyAlignment="1">
      <alignment horizontal="right" vertical="top"/>
    </xf>
    <xf numFmtId="169" fontId="36" fillId="0" borderId="0" xfId="0" applyNumberFormat="1" applyFont="1" applyAlignment="1">
      <alignment vertical="top"/>
    </xf>
    <xf numFmtId="172" fontId="4" fillId="0" borderId="0" xfId="0" applyNumberFormat="1" applyFont="1"/>
    <xf numFmtId="0" fontId="38" fillId="0" borderId="0" xfId="0" applyFont="1" applyAlignment="1">
      <alignment vertical="center"/>
    </xf>
    <xf numFmtId="170" fontId="35" fillId="0" borderId="0" xfId="0" applyNumberFormat="1" applyFont="1" applyAlignment="1">
      <alignment vertical="top"/>
    </xf>
    <xf numFmtId="167" fontId="36" fillId="0" borderId="0" xfId="0" applyNumberFormat="1" applyFont="1" applyAlignment="1">
      <alignment vertical="top"/>
    </xf>
    <xf numFmtId="170" fontId="35" fillId="0" borderId="0" xfId="0" applyNumberFormat="1" applyFont="1" applyAlignment="1">
      <alignment horizontal="right" vertical="top"/>
    </xf>
    <xf numFmtId="167" fontId="35" fillId="0" borderId="0" xfId="0" applyNumberFormat="1" applyFont="1" applyAlignment="1">
      <alignment vertical="top"/>
    </xf>
    <xf numFmtId="169" fontId="35" fillId="0" borderId="0" xfId="0" applyNumberFormat="1" applyFont="1" applyAlignment="1">
      <alignment vertical="top"/>
    </xf>
    <xf numFmtId="166" fontId="5" fillId="0" borderId="0" xfId="0" applyNumberFormat="1" applyFont="1"/>
    <xf numFmtId="169" fontId="4" fillId="0" borderId="0" xfId="0" applyNumberFormat="1" applyFont="1"/>
    <xf numFmtId="169" fontId="4" fillId="0" borderId="0" xfId="0" applyNumberFormat="1" applyFont="1" applyAlignment="1">
      <alignment horizontal="right"/>
    </xf>
    <xf numFmtId="170" fontId="4" fillId="0" borderId="0" xfId="0" applyNumberFormat="1" applyFont="1"/>
    <xf numFmtId="0" fontId="47" fillId="0" borderId="13" xfId="0" applyFont="1" applyBorder="1"/>
    <xf numFmtId="0" fontId="47" fillId="0" borderId="13" xfId="0" applyFont="1" applyBorder="1" applyAlignment="1">
      <alignment horizontal="right"/>
    </xf>
    <xf numFmtId="0" fontId="46" fillId="0" borderId="13" xfId="0" applyFont="1" applyBorder="1"/>
    <xf numFmtId="43" fontId="4" fillId="0" borderId="13" xfId="1" applyFont="1" applyBorder="1"/>
    <xf numFmtId="44" fontId="4" fillId="0" borderId="13" xfId="2" applyFont="1" applyBorder="1"/>
    <xf numFmtId="44" fontId="4" fillId="0" borderId="13" xfId="2" applyFont="1" applyBorder="1" applyAlignment="1">
      <alignment horizontal="right"/>
    </xf>
    <xf numFmtId="0" fontId="4" fillId="0" borderId="25" xfId="0" applyFont="1" applyBorder="1"/>
    <xf numFmtId="0" fontId="4" fillId="0" borderId="26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0" borderId="35" xfId="0" applyFont="1" applyBorder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0" fontId="5" fillId="0" borderId="26" xfId="0" applyFont="1" applyBorder="1"/>
    <xf numFmtId="0" fontId="4" fillId="0" borderId="26" xfId="0" applyFont="1" applyBorder="1" applyAlignment="1">
      <alignment horizontal="right"/>
    </xf>
    <xf numFmtId="44" fontId="4" fillId="0" borderId="26" xfId="2" applyFont="1" applyBorder="1" applyAlignment="1">
      <alignment horizontal="right"/>
    </xf>
    <xf numFmtId="3" fontId="4" fillId="0" borderId="13" xfId="0" applyNumberFormat="1" applyFont="1" applyBorder="1"/>
    <xf numFmtId="44" fontId="4" fillId="0" borderId="13" xfId="0" applyNumberFormat="1" applyFont="1" applyBorder="1"/>
    <xf numFmtId="43" fontId="4" fillId="0" borderId="15" xfId="1" applyFont="1" applyBorder="1"/>
    <xf numFmtId="0" fontId="39" fillId="0" borderId="0" xfId="3" applyFont="1" applyAlignment="1">
      <alignment horizontal="left"/>
    </xf>
    <xf numFmtId="0" fontId="49" fillId="0" borderId="0" xfId="3" applyFont="1"/>
    <xf numFmtId="0" fontId="50" fillId="0" borderId="0" xfId="3" applyFont="1" applyAlignment="1">
      <alignment horizontal="center"/>
    </xf>
    <xf numFmtId="17" fontId="50" fillId="0" borderId="0" xfId="3" applyNumberFormat="1" applyFont="1" applyAlignment="1">
      <alignment horizontal="center"/>
    </xf>
    <xf numFmtId="173" fontId="49" fillId="0" borderId="0" xfId="3" applyNumberFormat="1" applyFont="1"/>
    <xf numFmtId="0" fontId="48" fillId="0" borderId="0" xfId="3"/>
    <xf numFmtId="0" fontId="51" fillId="0" borderId="5" xfId="3" applyFont="1" applyBorder="1"/>
    <xf numFmtId="0" fontId="52" fillId="0" borderId="5" xfId="3" applyFont="1" applyBorder="1" applyAlignment="1">
      <alignment horizontal="center"/>
    </xf>
    <xf numFmtId="0" fontId="53" fillId="0" borderId="5" xfId="3" applyFont="1" applyBorder="1"/>
    <xf numFmtId="0" fontId="54" fillId="0" borderId="5" xfId="3" applyFont="1" applyBorder="1"/>
    <xf numFmtId="0" fontId="54" fillId="0" borderId="0" xfId="3" applyFont="1"/>
    <xf numFmtId="0" fontId="54" fillId="0" borderId="0" xfId="3" applyFont="1" applyAlignment="1">
      <alignment horizontal="center"/>
    </xf>
    <xf numFmtId="174" fontId="55" fillId="0" borderId="0" xfId="3" applyNumberFormat="1" applyFont="1" applyAlignment="1">
      <alignment horizontal="center"/>
    </xf>
    <xf numFmtId="0" fontId="55" fillId="0" borderId="0" xfId="3" applyFont="1" applyAlignment="1">
      <alignment horizontal="center"/>
    </xf>
    <xf numFmtId="0" fontId="50" fillId="0" borderId="0" xfId="3" applyFont="1"/>
    <xf numFmtId="17" fontId="39" fillId="0" borderId="0" xfId="3" applyNumberFormat="1" applyFont="1" applyAlignment="1">
      <alignment horizontal="center" wrapText="1"/>
    </xf>
    <xf numFmtId="0" fontId="41" fillId="0" borderId="0" xfId="3" applyFont="1" applyAlignment="1">
      <alignment vertical="top"/>
    </xf>
    <xf numFmtId="0" fontId="41" fillId="0" borderId="0" xfId="3" applyFont="1"/>
    <xf numFmtId="0" fontId="39" fillId="0" borderId="0" xfId="3" applyFont="1"/>
    <xf numFmtId="174" fontId="39" fillId="0" borderId="0" xfId="3" applyNumberFormat="1" applyFont="1"/>
    <xf numFmtId="0" fontId="41" fillId="3" borderId="0" xfId="3" applyFont="1" applyFill="1"/>
    <xf numFmtId="174" fontId="39" fillId="0" borderId="0" xfId="3" applyNumberFormat="1" applyFont="1" applyAlignment="1">
      <alignment vertical="top"/>
    </xf>
    <xf numFmtId="0" fontId="41" fillId="0" borderId="0" xfId="3" applyFont="1" applyAlignment="1">
      <alignment horizontal="left"/>
    </xf>
    <xf numFmtId="174" fontId="41" fillId="0" borderId="0" xfId="3" applyNumberFormat="1" applyFont="1" applyAlignment="1">
      <alignment horizontal="left"/>
    </xf>
    <xf numFmtId="0" fontId="41" fillId="3" borderId="0" xfId="3" applyFont="1" applyFill="1" applyAlignment="1">
      <alignment horizontal="left"/>
    </xf>
    <xf numFmtId="174" fontId="49" fillId="3" borderId="0" xfId="3" applyNumberFormat="1" applyFont="1" applyFill="1"/>
    <xf numFmtId="0" fontId="49" fillId="3" borderId="0" xfId="3" applyFont="1" applyFill="1"/>
    <xf numFmtId="0" fontId="39" fillId="3" borderId="0" xfId="3" applyFont="1" applyFill="1"/>
    <xf numFmtId="174" fontId="39" fillId="0" borderId="5" xfId="3" applyNumberFormat="1" applyFont="1" applyBorder="1"/>
    <xf numFmtId="175" fontId="39" fillId="0" borderId="9" xfId="3" applyNumberFormat="1" applyFont="1" applyBorder="1"/>
    <xf numFmtId="0" fontId="50" fillId="3" borderId="0" xfId="3" applyFont="1" applyFill="1"/>
    <xf numFmtId="174" fontId="50" fillId="3" borderId="0" xfId="3" applyNumberFormat="1" applyFont="1" applyFill="1"/>
    <xf numFmtId="9" fontId="49" fillId="0" borderId="0" xfId="3" applyNumberFormat="1" applyFont="1"/>
    <xf numFmtId="174" fontId="49" fillId="0" borderId="0" xfId="3" applyNumberFormat="1" applyFont="1"/>
    <xf numFmtId="0" fontId="50" fillId="0" borderId="0" xfId="3" applyFont="1" applyAlignment="1">
      <alignment vertical="center"/>
    </xf>
    <xf numFmtId="174" fontId="41" fillId="0" borderId="0" xfId="3" applyNumberFormat="1" applyFont="1"/>
    <xf numFmtId="176" fontId="41" fillId="0" borderId="0" xfId="3" applyNumberFormat="1" applyFont="1" applyAlignment="1">
      <alignment vertical="center"/>
    </xf>
    <xf numFmtId="0" fontId="57" fillId="0" borderId="0" xfId="3" applyFont="1"/>
    <xf numFmtId="174" fontId="57" fillId="0" borderId="0" xfId="3" applyNumberFormat="1" applyFont="1"/>
    <xf numFmtId="173" fontId="39" fillId="0" borderId="0" xfId="3" applyNumberFormat="1" applyFont="1"/>
    <xf numFmtId="177" fontId="39" fillId="0" borderId="0" xfId="3" applyNumberFormat="1" applyFont="1"/>
    <xf numFmtId="175" fontId="39" fillId="0" borderId="6" xfId="3" applyNumberFormat="1" applyFont="1" applyBorder="1"/>
    <xf numFmtId="174" fontId="50" fillId="0" borderId="0" xfId="3" applyNumberFormat="1" applyFont="1"/>
    <xf numFmtId="9" fontId="50" fillId="0" borderId="0" xfId="3" applyNumberFormat="1" applyFont="1"/>
    <xf numFmtId="9" fontId="50" fillId="0" borderId="43" xfId="3" applyNumberFormat="1" applyFont="1" applyBorder="1"/>
    <xf numFmtId="0" fontId="58" fillId="0" borderId="0" xfId="3" applyFont="1"/>
    <xf numFmtId="0" fontId="59" fillId="3" borderId="0" xfId="3" applyFont="1" applyFill="1"/>
    <xf numFmtId="0" fontId="58" fillId="3" borderId="0" xfId="3" applyFont="1" applyFill="1"/>
    <xf numFmtId="0" fontId="60" fillId="0" borderId="5" xfId="3" applyFont="1" applyBorder="1"/>
    <xf numFmtId="17" fontId="39" fillId="0" borderId="0" xfId="3" applyNumberFormat="1" applyFont="1" applyAlignment="1">
      <alignment horizontal="center"/>
    </xf>
    <xf numFmtId="178" fontId="41" fillId="0" borderId="0" xfId="3" applyNumberFormat="1" applyFont="1"/>
    <xf numFmtId="9" fontId="39" fillId="0" borderId="0" xfId="3" applyNumberFormat="1" applyFont="1"/>
    <xf numFmtId="179" fontId="49" fillId="0" borderId="0" xfId="3" applyNumberFormat="1" applyFont="1"/>
    <xf numFmtId="9" fontId="49" fillId="0" borderId="0" xfId="3" applyNumberFormat="1" applyFont="1" applyAlignment="1">
      <alignment horizontal="center" vertical="center"/>
    </xf>
    <xf numFmtId="0" fontId="49" fillId="0" borderId="0" xfId="3" applyFont="1" applyAlignment="1">
      <alignment horizontal="center" vertical="center"/>
    </xf>
    <xf numFmtId="0" fontId="61" fillId="0" borderId="0" xfId="3" applyFont="1"/>
    <xf numFmtId="0" fontId="54" fillId="4" borderId="0" xfId="3" applyFont="1" applyFill="1"/>
    <xf numFmtId="0" fontId="49" fillId="0" borderId="0" xfId="3" applyFont="1" applyAlignment="1">
      <alignment horizontal="right"/>
    </xf>
    <xf numFmtId="0" fontId="49" fillId="4" borderId="0" xfId="3" applyFont="1" applyFill="1" applyAlignment="1">
      <alignment horizontal="right"/>
    </xf>
    <xf numFmtId="0" fontId="49" fillId="4" borderId="0" xfId="3" applyFont="1" applyFill="1" applyAlignment="1">
      <alignment horizontal="left"/>
    </xf>
    <xf numFmtId="0" fontId="49" fillId="4" borderId="0" xfId="3" applyFont="1" applyFill="1"/>
    <xf numFmtId="0" fontId="49" fillId="4" borderId="0" xfId="3" applyFont="1" applyFill="1" applyAlignment="1">
      <alignment horizontal="center"/>
    </xf>
    <xf numFmtId="0" fontId="49" fillId="0" borderId="0" xfId="3" applyFont="1" applyAlignment="1">
      <alignment horizontal="center"/>
    </xf>
    <xf numFmtId="0" fontId="49" fillId="0" borderId="3" xfId="3" applyFont="1" applyBorder="1"/>
    <xf numFmtId="17" fontId="50" fillId="0" borderId="3" xfId="3" applyNumberFormat="1" applyFont="1" applyBorder="1" applyAlignment="1">
      <alignment horizontal="right"/>
    </xf>
    <xf numFmtId="17" fontId="50" fillId="4" borderId="3" xfId="3" applyNumberFormat="1" applyFont="1" applyFill="1" applyBorder="1" applyAlignment="1">
      <alignment horizontal="center"/>
    </xf>
    <xf numFmtId="17" fontId="50" fillId="0" borderId="3" xfId="3" applyNumberFormat="1" applyFont="1" applyBorder="1" applyAlignment="1">
      <alignment horizontal="center"/>
    </xf>
    <xf numFmtId="17" fontId="50" fillId="0" borderId="0" xfId="3" applyNumberFormat="1" applyFont="1" applyAlignment="1">
      <alignment horizontal="right"/>
    </xf>
    <xf numFmtId="10" fontId="50" fillId="0" borderId="0" xfId="3" applyNumberFormat="1" applyFont="1"/>
    <xf numFmtId="0" fontId="49" fillId="0" borderId="44" xfId="3" applyFont="1" applyBorder="1"/>
    <xf numFmtId="41" fontId="54" fillId="0" borderId="0" xfId="3" applyNumberFormat="1" applyFont="1"/>
    <xf numFmtId="41" fontId="49" fillId="0" borderId="0" xfId="3" applyNumberFormat="1" applyFont="1"/>
    <xf numFmtId="0" fontId="50" fillId="0" borderId="2" xfId="3" applyFont="1" applyBorder="1"/>
    <xf numFmtId="179" fontId="50" fillId="0" borderId="0" xfId="3" applyNumberFormat="1" applyFont="1"/>
    <xf numFmtId="0" fontId="49" fillId="0" borderId="2" xfId="3" applyFont="1" applyBorder="1"/>
    <xf numFmtId="0" fontId="54" fillId="0" borderId="2" xfId="3" applyFont="1" applyBorder="1"/>
    <xf numFmtId="179" fontId="54" fillId="0" borderId="0" xfId="3" applyNumberFormat="1" applyFont="1"/>
    <xf numFmtId="0" fontId="62" fillId="0" borderId="0" xfId="3" applyFont="1"/>
    <xf numFmtId="180" fontId="49" fillId="0" borderId="0" xfId="3" applyNumberFormat="1" applyFont="1" applyAlignment="1">
      <alignment horizontal="center"/>
    </xf>
    <xf numFmtId="174" fontId="49" fillId="0" borderId="3" xfId="3" applyNumberFormat="1" applyFont="1" applyBorder="1"/>
    <xf numFmtId="0" fontId="50" fillId="0" borderId="0" xfId="3" applyFont="1" applyAlignment="1">
      <alignment horizontal="right"/>
    </xf>
    <xf numFmtId="170" fontId="63" fillId="0" borderId="0" xfId="3" applyNumberFormat="1" applyFont="1"/>
    <xf numFmtId="170" fontId="55" fillId="0" borderId="0" xfId="3" applyNumberFormat="1" applyFont="1"/>
    <xf numFmtId="182" fontId="49" fillId="0" borderId="0" xfId="4" applyNumberFormat="1" applyFont="1"/>
    <xf numFmtId="180" fontId="49" fillId="0" borderId="0" xfId="3" applyNumberFormat="1" applyFont="1"/>
    <xf numFmtId="174" fontId="64" fillId="0" borderId="0" xfId="3" applyNumberFormat="1" applyFont="1"/>
    <xf numFmtId="43" fontId="55" fillId="0" borderId="0" xfId="1" applyFont="1" applyAlignment="1">
      <alignment horizontal="center"/>
    </xf>
    <xf numFmtId="0" fontId="5" fillId="0" borderId="32" xfId="0" applyFont="1" applyBorder="1"/>
    <xf numFmtId="44" fontId="5" fillId="0" borderId="13" xfId="2" applyFont="1" applyBorder="1" applyAlignment="1">
      <alignment horizontal="right"/>
    </xf>
    <xf numFmtId="165" fontId="4" fillId="5" borderId="0" xfId="0" applyNumberFormat="1" applyFont="1" applyFill="1"/>
    <xf numFmtId="165" fontId="4" fillId="0" borderId="2" xfId="0" applyNumberFormat="1" applyFont="1" applyBorder="1"/>
    <xf numFmtId="175" fontId="47" fillId="0" borderId="13" xfId="1" applyNumberFormat="1" applyFont="1" applyBorder="1"/>
    <xf numFmtId="175" fontId="47" fillId="0" borderId="13" xfId="1" applyNumberFormat="1" applyFont="1" applyBorder="1" applyAlignment="1">
      <alignment horizontal="right"/>
    </xf>
    <xf numFmtId="43" fontId="47" fillId="0" borderId="13" xfId="1" applyFont="1" applyBorder="1" applyAlignment="1">
      <alignment horizontal="right"/>
    </xf>
    <xf numFmtId="43" fontId="47" fillId="0" borderId="13" xfId="1" applyFont="1" applyBorder="1"/>
    <xf numFmtId="44" fontId="19" fillId="0" borderId="13" xfId="2" applyFont="1" applyBorder="1" applyAlignment="1">
      <alignment horizontal="right"/>
    </xf>
    <xf numFmtId="44" fontId="47" fillId="0" borderId="13" xfId="2" applyFont="1" applyBorder="1" applyAlignment="1">
      <alignment horizontal="right"/>
    </xf>
    <xf numFmtId="44" fontId="47" fillId="0" borderId="13" xfId="2" applyFont="1" applyBorder="1"/>
    <xf numFmtId="44" fontId="46" fillId="0" borderId="13" xfId="2" applyFont="1" applyBorder="1" applyAlignment="1">
      <alignment horizontal="right"/>
    </xf>
    <xf numFmtId="0" fontId="66" fillId="0" borderId="13" xfId="0" applyFont="1" applyBorder="1"/>
    <xf numFmtId="0" fontId="67" fillId="0" borderId="13" xfId="0" applyFont="1" applyBorder="1"/>
    <xf numFmtId="0" fontId="68" fillId="0" borderId="13" xfId="0" applyFont="1" applyBorder="1"/>
    <xf numFmtId="0" fontId="66" fillId="0" borderId="0" xfId="0" applyFont="1"/>
    <xf numFmtId="9" fontId="4" fillId="0" borderId="25" xfId="5" applyFont="1" applyBorder="1"/>
    <xf numFmtId="0" fontId="9" fillId="0" borderId="0" xfId="0" applyFont="1" applyAlignment="1">
      <alignment wrapText="1"/>
    </xf>
    <xf numFmtId="166" fontId="9" fillId="0" borderId="0" xfId="0" applyNumberFormat="1" applyFont="1" applyAlignment="1">
      <alignment horizontal="right"/>
    </xf>
    <xf numFmtId="168" fontId="4" fillId="0" borderId="0" xfId="0" applyNumberFormat="1" applyFont="1"/>
    <xf numFmtId="169" fontId="9" fillId="0" borderId="0" xfId="0" applyNumberFormat="1" applyFont="1"/>
    <xf numFmtId="0" fontId="5" fillId="0" borderId="25" xfId="0" applyFont="1" applyBorder="1"/>
    <xf numFmtId="0" fontId="69" fillId="0" borderId="13" xfId="6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175" fontId="12" fillId="0" borderId="7" xfId="1" applyNumberFormat="1" applyFont="1" applyBorder="1" applyAlignment="1">
      <alignment horizontal="right"/>
    </xf>
    <xf numFmtId="175" fontId="21" fillId="0" borderId="11" xfId="1" applyNumberFormat="1" applyFont="1" applyBorder="1" applyAlignment="1">
      <alignment vertical="top"/>
    </xf>
    <xf numFmtId="43" fontId="0" fillId="0" borderId="45" xfId="1" applyFont="1" applyBorder="1"/>
    <xf numFmtId="4" fontId="9" fillId="0" borderId="0" xfId="0" applyNumberFormat="1" applyFont="1"/>
    <xf numFmtId="43" fontId="9" fillId="0" borderId="0" xfId="0" applyNumberFormat="1" applyFont="1" applyAlignment="1">
      <alignment horizontal="right"/>
    </xf>
    <xf numFmtId="43" fontId="9" fillId="0" borderId="0" xfId="0" applyNumberFormat="1" applyFont="1"/>
    <xf numFmtId="0" fontId="71" fillId="0" borderId="0" xfId="7" applyFont="1"/>
    <xf numFmtId="0" fontId="3" fillId="0" borderId="0" xfId="7"/>
    <xf numFmtId="0" fontId="72" fillId="0" borderId="0" xfId="7" applyFont="1"/>
    <xf numFmtId="3" fontId="72" fillId="0" borderId="0" xfId="7" applyNumberFormat="1" applyFont="1"/>
    <xf numFmtId="0" fontId="5" fillId="0" borderId="27" xfId="0" applyFont="1" applyBorder="1"/>
    <xf numFmtId="0" fontId="53" fillId="0" borderId="0" xfId="8" applyFont="1" applyAlignment="1">
      <alignment horizontal="left"/>
    </xf>
    <xf numFmtId="0" fontId="53" fillId="0" borderId="0" xfId="8" applyFont="1"/>
    <xf numFmtId="0" fontId="52" fillId="0" borderId="0" xfId="8" applyFont="1" applyAlignment="1">
      <alignment horizontal="left" vertical="center"/>
    </xf>
    <xf numFmtId="0" fontId="52" fillId="0" borderId="0" xfId="8" applyFont="1" applyAlignment="1">
      <alignment horizontal="center" vertical="center"/>
    </xf>
    <xf numFmtId="0" fontId="74" fillId="0" borderId="0" xfId="9" applyFont="1" applyFill="1" applyAlignment="1">
      <alignment horizontal="left" vertical="center"/>
    </xf>
    <xf numFmtId="175" fontId="53" fillId="0" borderId="0" xfId="10" applyNumberFormat="1" applyFont="1" applyFill="1" applyAlignment="1">
      <alignment horizontal="center" vertical="center"/>
    </xf>
    <xf numFmtId="0" fontId="75" fillId="0" borderId="0" xfId="9" applyFont="1" applyFill="1" applyAlignment="1">
      <alignment horizontal="center" vertical="center"/>
    </xf>
    <xf numFmtId="0" fontId="53" fillId="0" borderId="0" xfId="8" applyFont="1" applyAlignment="1">
      <alignment horizontal="center" vertical="center"/>
    </xf>
    <xf numFmtId="175" fontId="53" fillId="0" borderId="0" xfId="8" applyNumberFormat="1" applyFont="1" applyAlignment="1">
      <alignment horizontal="center" vertical="center"/>
    </xf>
    <xf numFmtId="0" fontId="53" fillId="0" borderId="0" xfId="8" applyFont="1" applyAlignment="1">
      <alignment horizontal="left" vertical="center"/>
    </xf>
    <xf numFmtId="0" fontId="52" fillId="0" borderId="0" xfId="8" applyFont="1" applyAlignment="1">
      <alignment horizontal="left"/>
    </xf>
    <xf numFmtId="0" fontId="53" fillId="6" borderId="0" xfId="8" applyFont="1" applyFill="1" applyAlignment="1">
      <alignment horizontal="left"/>
    </xf>
    <xf numFmtId="0" fontId="53" fillId="6" borderId="0" xfId="8" applyFont="1" applyFill="1"/>
    <xf numFmtId="43" fontId="53" fillId="0" borderId="0" xfId="10" applyFont="1"/>
    <xf numFmtId="175" fontId="53" fillId="0" borderId="0" xfId="8" applyNumberFormat="1" applyFont="1"/>
    <xf numFmtId="43" fontId="76" fillId="5" borderId="0" xfId="8" applyNumberFormat="1" applyFont="1" applyFill="1"/>
    <xf numFmtId="0" fontId="4" fillId="0" borderId="15" xfId="0" applyFont="1" applyBorder="1"/>
    <xf numFmtId="0" fontId="0" fillId="0" borderId="46" xfId="0" applyBorder="1"/>
    <xf numFmtId="0" fontId="0" fillId="0" borderId="47" xfId="0" applyBorder="1"/>
    <xf numFmtId="43" fontId="0" fillId="0" borderId="0" xfId="1" applyFont="1"/>
    <xf numFmtId="175" fontId="0" fillId="0" borderId="0" xfId="1" applyNumberFormat="1" applyFont="1"/>
    <xf numFmtId="166" fontId="0" fillId="0" borderId="0" xfId="0" applyNumberFormat="1"/>
    <xf numFmtId="183" fontId="0" fillId="0" borderId="0" xfId="0" applyNumberFormat="1"/>
    <xf numFmtId="175" fontId="0" fillId="0" borderId="0" xfId="0" applyNumberFormat="1"/>
    <xf numFmtId="175" fontId="72" fillId="0" borderId="0" xfId="1" applyNumberFormat="1" applyFont="1"/>
    <xf numFmtId="175" fontId="4" fillId="0" borderId="13" xfId="0" applyNumberFormat="1" applyFont="1" applyBorder="1" applyAlignment="1">
      <alignment horizontal="right"/>
    </xf>
    <xf numFmtId="44" fontId="4" fillId="0" borderId="15" xfId="0" applyNumberFormat="1" applyFont="1" applyBorder="1"/>
    <xf numFmtId="0" fontId="39" fillId="0" borderId="0" xfId="11" applyFont="1"/>
    <xf numFmtId="0" fontId="41" fillId="0" borderId="0" xfId="11" applyFont="1"/>
    <xf numFmtId="0" fontId="1" fillId="0" borderId="0" xfId="11"/>
    <xf numFmtId="0" fontId="41" fillId="0" borderId="0" xfId="11" applyFont="1" applyAlignment="1">
      <alignment horizontal="right"/>
    </xf>
    <xf numFmtId="0" fontId="39" fillId="0" borderId="0" xfId="11" applyFont="1" applyAlignment="1">
      <alignment horizontal="center"/>
    </xf>
    <xf numFmtId="0" fontId="41" fillId="0" borderId="45" xfId="11" applyFont="1" applyBorder="1"/>
    <xf numFmtId="4" fontId="41" fillId="0" borderId="45" xfId="11" applyNumberFormat="1" applyFont="1" applyBorder="1"/>
    <xf numFmtId="0" fontId="39" fillId="0" borderId="45" xfId="11" applyFont="1" applyBorder="1"/>
    <xf numFmtId="4" fontId="39" fillId="0" borderId="45" xfId="11" applyNumberFormat="1" applyFont="1" applyBorder="1"/>
    <xf numFmtId="0" fontId="41" fillId="0" borderId="45" xfId="11" applyFont="1" applyBorder="1" applyAlignment="1">
      <alignment horizontal="right"/>
    </xf>
    <xf numFmtId="4" fontId="39" fillId="0" borderId="0" xfId="11" applyNumberFormat="1" applyFont="1"/>
    <xf numFmtId="43" fontId="39" fillId="5" borderId="0" xfId="12" applyFont="1" applyFill="1"/>
    <xf numFmtId="43" fontId="41" fillId="0" borderId="0" xfId="1" applyFont="1"/>
    <xf numFmtId="43" fontId="6" fillId="0" borderId="18" xfId="0" applyNumberFormat="1" applyFont="1" applyBorder="1"/>
    <xf numFmtId="0" fontId="5" fillId="0" borderId="48" xfId="0" applyFont="1" applyBorder="1"/>
    <xf numFmtId="0" fontId="4" fillId="0" borderId="49" xfId="0" applyFont="1" applyBorder="1"/>
    <xf numFmtId="0" fontId="4" fillId="0" borderId="50" xfId="0" applyFont="1" applyBorder="1"/>
    <xf numFmtId="0" fontId="4" fillId="0" borderId="51" xfId="0" applyFont="1" applyBorder="1"/>
    <xf numFmtId="43" fontId="5" fillId="0" borderId="13" xfId="1" applyFont="1" applyBorder="1"/>
    <xf numFmtId="0" fontId="4" fillId="0" borderId="14" xfId="0" applyFont="1" applyBorder="1" applyAlignment="1">
      <alignment horizontal="right"/>
    </xf>
    <xf numFmtId="44" fontId="4" fillId="0" borderId="0" xfId="2" applyFont="1" applyBorder="1" applyAlignment="1">
      <alignment horizontal="right"/>
    </xf>
    <xf numFmtId="44" fontId="4" fillId="0" borderId="52" xfId="2" applyFont="1" applyBorder="1" applyAlignment="1">
      <alignment horizontal="right"/>
    </xf>
    <xf numFmtId="175" fontId="4" fillId="0" borderId="13" xfId="1" applyNumberFormat="1" applyFont="1" applyBorder="1"/>
    <xf numFmtId="43" fontId="5" fillId="0" borderId="18" xfId="1" applyFont="1" applyBorder="1"/>
    <xf numFmtId="0" fontId="5" fillId="0" borderId="18" xfId="0" applyFont="1" applyBorder="1" applyAlignment="1">
      <alignment horizontal="right"/>
    </xf>
    <xf numFmtId="44" fontId="5" fillId="0" borderId="15" xfId="2" applyFont="1" applyBorder="1" applyAlignment="1">
      <alignment horizontal="right"/>
    </xf>
    <xf numFmtId="0" fontId="5" fillId="0" borderId="26" xfId="0" applyFont="1" applyBorder="1" applyAlignment="1">
      <alignment horizontal="right"/>
    </xf>
    <xf numFmtId="0" fontId="5" fillId="0" borderId="18" xfId="0" applyFont="1" applyBorder="1"/>
    <xf numFmtId="44" fontId="5" fillId="0" borderId="15" xfId="0" applyNumberFormat="1" applyFont="1" applyBorder="1"/>
    <xf numFmtId="0" fontId="5" fillId="0" borderId="31" xfId="0" applyFont="1" applyBorder="1"/>
    <xf numFmtId="0" fontId="67" fillId="0" borderId="15" xfId="0" applyFont="1" applyBorder="1"/>
    <xf numFmtId="175" fontId="0" fillId="0" borderId="0" xfId="1" applyNumberFormat="1" applyFont="1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67" fillId="0" borderId="0" xfId="0" applyFont="1"/>
    <xf numFmtId="175" fontId="5" fillId="0" borderId="13" xfId="0" applyNumberFormat="1" applyFont="1" applyBorder="1"/>
    <xf numFmtId="0" fontId="12" fillId="0" borderId="46" xfId="0" applyFont="1" applyBorder="1"/>
    <xf numFmtId="175" fontId="12" fillId="0" borderId="0" xfId="0" applyNumberFormat="1" applyFont="1"/>
    <xf numFmtId="0" fontId="12" fillId="0" borderId="47" xfId="0" applyFont="1" applyBorder="1"/>
    <xf numFmtId="175" fontId="12" fillId="0" borderId="0" xfId="1" applyNumberFormat="1" applyFont="1"/>
    <xf numFmtId="175" fontId="12" fillId="5" borderId="57" xfId="1" applyNumberFormat="1" applyFont="1" applyFill="1" applyBorder="1"/>
    <xf numFmtId="0" fontId="12" fillId="0" borderId="0" xfId="0" applyFont="1" applyAlignment="1">
      <alignment horizontal="center"/>
    </xf>
    <xf numFmtId="175" fontId="12" fillId="5" borderId="56" xfId="1" applyNumberFormat="1" applyFont="1" applyFill="1" applyBorder="1"/>
    <xf numFmtId="43" fontId="12" fillId="5" borderId="58" xfId="1" applyFont="1" applyFill="1" applyBorder="1" applyAlignment="1">
      <alignment horizontal="right"/>
    </xf>
    <xf numFmtId="44" fontId="5" fillId="0" borderId="15" xfId="0" applyNumberFormat="1" applyFont="1" applyBorder="1" applyAlignment="1">
      <alignment wrapText="1"/>
    </xf>
    <xf numFmtId="0" fontId="0" fillId="0" borderId="25" xfId="0" applyBorder="1"/>
    <xf numFmtId="0" fontId="4" fillId="0" borderId="18" xfId="0" applyFont="1" applyBorder="1"/>
    <xf numFmtId="0" fontId="6" fillId="0" borderId="18" xfId="0" applyFont="1" applyBorder="1"/>
    <xf numFmtId="0" fontId="6" fillId="0" borderId="15" xfId="0" applyFont="1" applyBorder="1"/>
    <xf numFmtId="0" fontId="66" fillId="0" borderId="18" xfId="0" applyFont="1" applyBorder="1"/>
    <xf numFmtId="0" fontId="66" fillId="0" borderId="15" xfId="0" applyFont="1" applyBorder="1"/>
    <xf numFmtId="0" fontId="5" fillId="0" borderId="14" xfId="0" applyFont="1" applyBorder="1"/>
    <xf numFmtId="0" fontId="5" fillId="0" borderId="30" xfId="0" applyFont="1" applyBorder="1"/>
    <xf numFmtId="0" fontId="4" fillId="0" borderId="14" xfId="0" applyFont="1" applyBorder="1"/>
    <xf numFmtId="0" fontId="6" fillId="0" borderId="42" xfId="0" applyFont="1" applyBorder="1"/>
    <xf numFmtId="0" fontId="4" fillId="0" borderId="30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4" fillId="0" borderId="0" xfId="0" applyFont="1"/>
    <xf numFmtId="0" fontId="9" fillId="0" borderId="0" xfId="0" applyFont="1"/>
    <xf numFmtId="10" fontId="0" fillId="0" borderId="0" xfId="0" applyNumberFormat="1"/>
    <xf numFmtId="43" fontId="53" fillId="0" borderId="0" xfId="8" applyNumberFormat="1" applyFont="1"/>
    <xf numFmtId="3" fontId="78" fillId="0" borderId="0" xfId="0" applyNumberFormat="1" applyFont="1"/>
    <xf numFmtId="0" fontId="12" fillId="0" borderId="0" xfId="13" applyFont="1"/>
    <xf numFmtId="0" fontId="11" fillId="0" borderId="0" xfId="13"/>
    <xf numFmtId="0" fontId="79" fillId="0" borderId="0" xfId="13" applyFont="1"/>
    <xf numFmtId="17" fontId="12" fillId="0" borderId="0" xfId="13" applyNumberFormat="1" applyFont="1"/>
    <xf numFmtId="17" fontId="11" fillId="0" borderId="0" xfId="13" applyNumberFormat="1"/>
    <xf numFmtId="43" fontId="0" fillId="0" borderId="0" xfId="14" applyFont="1"/>
    <xf numFmtId="44" fontId="11" fillId="0" borderId="0" xfId="13" applyNumberFormat="1"/>
    <xf numFmtId="43" fontId="0" fillId="0" borderId="52" xfId="14" applyFont="1" applyBorder="1"/>
    <xf numFmtId="43" fontId="12" fillId="0" borderId="0" xfId="14" applyFont="1"/>
    <xf numFmtId="43" fontId="11" fillId="0" borderId="0" xfId="13" applyNumberFormat="1"/>
    <xf numFmtId="0" fontId="11" fillId="0" borderId="52" xfId="13" applyBorder="1"/>
    <xf numFmtId="43" fontId="0" fillId="5" borderId="0" xfId="14" applyFont="1" applyFill="1"/>
    <xf numFmtId="44" fontId="12" fillId="0" borderId="0" xfId="15" applyFont="1" applyFill="1"/>
    <xf numFmtId="0" fontId="11" fillId="0" borderId="0" xfId="13" applyAlignment="1">
      <alignment horizontal="center"/>
    </xf>
    <xf numFmtId="0" fontId="11" fillId="0" borderId="0" xfId="13" applyAlignment="1">
      <alignment horizontal="left"/>
    </xf>
    <xf numFmtId="44" fontId="0" fillId="0" borderId="0" xfId="15" applyFont="1"/>
    <xf numFmtId="9" fontId="11" fillId="0" borderId="0" xfId="13" applyNumberFormat="1"/>
    <xf numFmtId="184" fontId="0" fillId="0" borderId="0" xfId="15" applyNumberFormat="1" applyFont="1"/>
    <xf numFmtId="44" fontId="11" fillId="0" borderId="0" xfId="15" quotePrefix="1" applyFont="1"/>
    <xf numFmtId="3" fontId="11" fillId="0" borderId="0" xfId="13" applyNumberFormat="1"/>
    <xf numFmtId="175" fontId="0" fillId="0" borderId="0" xfId="14" applyNumberFormat="1" applyFont="1" applyAlignment="1"/>
    <xf numFmtId="44" fontId="11" fillId="0" borderId="0" xfId="15" applyFont="1"/>
    <xf numFmtId="175" fontId="0" fillId="0" borderId="0" xfId="14" applyNumberFormat="1" applyFont="1"/>
    <xf numFmtId="0" fontId="80" fillId="0" borderId="0" xfId="13" applyFont="1"/>
    <xf numFmtId="0" fontId="81" fillId="0" borderId="0" xfId="13" applyFont="1"/>
    <xf numFmtId="43" fontId="11" fillId="0" borderId="0" xfId="1" applyFont="1"/>
    <xf numFmtId="0" fontId="5" fillId="0" borderId="0" xfId="13" applyFont="1"/>
    <xf numFmtId="44" fontId="12" fillId="5" borderId="0" xfId="15" applyFont="1" applyFill="1"/>
    <xf numFmtId="184" fontId="12" fillId="0" borderId="0" xfId="15" applyNumberFormat="1" applyFont="1" applyFill="1"/>
    <xf numFmtId="0" fontId="11" fillId="0" borderId="0" xfId="13" applyAlignment="1">
      <alignment horizontal="right"/>
    </xf>
    <xf numFmtId="0" fontId="81" fillId="0" borderId="0" xfId="13" applyFont="1" applyAlignment="1">
      <alignment horizontal="center"/>
    </xf>
    <xf numFmtId="0" fontId="11" fillId="0" borderId="0" xfId="13" applyAlignment="1">
      <alignment horizontal="center" wrapText="1"/>
    </xf>
    <xf numFmtId="43" fontId="11" fillId="0" borderId="52" xfId="14" applyFont="1" applyBorder="1"/>
    <xf numFmtId="0" fontId="79" fillId="7" borderId="0" xfId="13" applyFont="1" applyFill="1"/>
    <xf numFmtId="0" fontId="82" fillId="7" borderId="0" xfId="13" applyFont="1" applyFill="1"/>
    <xf numFmtId="0" fontId="82" fillId="0" borderId="0" xfId="13" applyFont="1"/>
    <xf numFmtId="14" fontId="0" fillId="0" borderId="0" xfId="0" applyNumberFormat="1"/>
    <xf numFmtId="0" fontId="5" fillId="0" borderId="0" xfId="0" applyFont="1" applyAlignment="1">
      <alignment horizontal="center"/>
    </xf>
    <xf numFmtId="0" fontId="21" fillId="7" borderId="0" xfId="13" applyFont="1" applyFill="1"/>
    <xf numFmtId="0" fontId="83" fillId="7" borderId="0" xfId="13" applyFont="1" applyFill="1"/>
    <xf numFmtId="43" fontId="0" fillId="0" borderId="0" xfId="14" applyFont="1" applyBorder="1"/>
    <xf numFmtId="43" fontId="11" fillId="0" borderId="0" xfId="1" applyFont="1" applyBorder="1"/>
    <xf numFmtId="0" fontId="4" fillId="0" borderId="0" xfId="13" applyFont="1"/>
    <xf numFmtId="184" fontId="4" fillId="0" borderId="0" xfId="2" applyNumberFormat="1" applyFont="1"/>
    <xf numFmtId="44" fontId="4" fillId="0" borderId="0" xfId="13" applyNumberFormat="1" applyFont="1"/>
    <xf numFmtId="9" fontId="4" fillId="0" borderId="0" xfId="13" applyNumberFormat="1" applyFont="1" applyAlignment="1">
      <alignment horizontal="center"/>
    </xf>
    <xf numFmtId="17" fontId="12" fillId="0" borderId="0" xfId="13" applyNumberFormat="1" applyFont="1" applyAlignment="1">
      <alignment horizontal="center"/>
    </xf>
    <xf numFmtId="17" fontId="12" fillId="5" borderId="0" xfId="13" applyNumberFormat="1" applyFont="1" applyFill="1" applyAlignment="1">
      <alignment horizontal="center"/>
    </xf>
    <xf numFmtId="0" fontId="80" fillId="0" borderId="0" xfId="13" applyFont="1" applyAlignment="1">
      <alignment horizontal="center"/>
    </xf>
    <xf numFmtId="0" fontId="4" fillId="0" borderId="0" xfId="13" applyFont="1" applyAlignment="1">
      <alignment horizontal="center"/>
    </xf>
    <xf numFmtId="0" fontId="4" fillId="0" borderId="0" xfId="13" applyFont="1" applyAlignment="1">
      <alignment horizontal="center" wrapText="1"/>
    </xf>
    <xf numFmtId="0" fontId="79" fillId="0" borderId="0" xfId="13" applyFont="1" applyAlignment="1">
      <alignment horizontal="center"/>
    </xf>
    <xf numFmtId="43" fontId="11" fillId="0" borderId="0" xfId="14" applyFont="1" applyBorder="1"/>
    <xf numFmtId="0" fontId="12" fillId="0" borderId="59" xfId="13" applyFont="1" applyBorder="1"/>
    <xf numFmtId="43" fontId="12" fillId="0" borderId="59" xfId="14" applyFont="1" applyBorder="1"/>
    <xf numFmtId="0" fontId="5" fillId="0" borderId="0" xfId="13" applyFont="1" applyAlignment="1">
      <alignment horizontal="left"/>
    </xf>
    <xf numFmtId="0" fontId="63" fillId="0" borderId="0" xfId="16" applyFont="1" applyAlignment="1">
      <alignment horizontal="right"/>
    </xf>
    <xf numFmtId="0" fontId="63" fillId="0" borderId="0" xfId="17" applyFont="1" applyAlignment="1">
      <alignment horizontal="center"/>
    </xf>
    <xf numFmtId="0" fontId="63" fillId="0" borderId="0" xfId="16" applyFont="1" applyAlignment="1">
      <alignment horizontal="center"/>
    </xf>
    <xf numFmtId="0" fontId="48" fillId="0" borderId="0" xfId="16"/>
    <xf numFmtId="0" fontId="57" fillId="0" borderId="0" xfId="17" applyFont="1" applyAlignment="1">
      <alignment horizontal="center"/>
    </xf>
    <xf numFmtId="0" fontId="57" fillId="0" borderId="0" xfId="16" applyFont="1" applyAlignment="1">
      <alignment horizontal="center"/>
    </xf>
    <xf numFmtId="17" fontId="85" fillId="0" borderId="0" xfId="17" applyNumberFormat="1" applyFont="1" applyAlignment="1">
      <alignment horizontal="center"/>
    </xf>
    <xf numFmtId="0" fontId="85" fillId="0" borderId="0" xfId="17" applyFont="1" applyAlignment="1">
      <alignment horizontal="center"/>
    </xf>
    <xf numFmtId="17" fontId="85" fillId="0" borderId="0" xfId="16" applyNumberFormat="1" applyFont="1" applyAlignment="1">
      <alignment horizontal="center"/>
    </xf>
    <xf numFmtId="0" fontId="85" fillId="0" borderId="0" xfId="16" applyFont="1" applyAlignment="1">
      <alignment horizontal="center"/>
    </xf>
    <xf numFmtId="0" fontId="63" fillId="0" borderId="3" xfId="16" applyFont="1" applyBorder="1" applyAlignment="1">
      <alignment horizontal="center"/>
    </xf>
    <xf numFmtId="174" fontId="86" fillId="0" borderId="0" xfId="16" applyNumberFormat="1" applyFont="1"/>
    <xf numFmtId="0" fontId="87" fillId="0" borderId="0" xfId="16" applyFont="1" applyAlignment="1">
      <alignment horizontal="right"/>
    </xf>
    <xf numFmtId="179" fontId="57" fillId="0" borderId="9" xfId="16" applyNumberFormat="1" applyFont="1" applyBorder="1"/>
    <xf numFmtId="179" fontId="88" fillId="0" borderId="0" xfId="16" applyNumberFormat="1" applyFont="1"/>
    <xf numFmtId="0" fontId="57" fillId="0" borderId="0" xfId="17" applyFont="1" applyAlignment="1">
      <alignment horizontal="right"/>
    </xf>
    <xf numFmtId="0" fontId="55" fillId="0" borderId="0" xfId="16" applyFont="1" applyAlignment="1">
      <alignment horizontal="right"/>
    </xf>
    <xf numFmtId="0" fontId="89" fillId="0" borderId="0" xfId="16" applyFont="1" applyAlignment="1">
      <alignment horizontal="right"/>
    </xf>
    <xf numFmtId="174" fontId="90" fillId="0" borderId="0" xfId="16" applyNumberFormat="1" applyFont="1" applyAlignment="1">
      <alignment horizontal="left" vertical="center"/>
    </xf>
    <xf numFmtId="0" fontId="85" fillId="0" borderId="0" xfId="16" applyFont="1"/>
    <xf numFmtId="9" fontId="91" fillId="0" borderId="0" xfId="16" applyNumberFormat="1" applyFont="1" applyAlignment="1">
      <alignment horizontal="center"/>
    </xf>
    <xf numFmtId="0" fontId="63" fillId="0" borderId="0" xfId="16" applyFont="1" applyAlignment="1">
      <alignment horizontal="left"/>
    </xf>
    <xf numFmtId="0" fontId="48" fillId="0" borderId="0" xfId="16" applyAlignment="1">
      <alignment horizontal="right"/>
    </xf>
    <xf numFmtId="174" fontId="86" fillId="0" borderId="60" xfId="16" applyNumberFormat="1" applyFont="1" applyBorder="1"/>
    <xf numFmtId="174" fontId="86" fillId="5" borderId="0" xfId="16" applyNumberFormat="1" applyFont="1" applyFill="1"/>
    <xf numFmtId="38" fontId="86" fillId="0" borderId="61" xfId="16" applyNumberFormat="1" applyFont="1" applyBorder="1"/>
    <xf numFmtId="0" fontId="57" fillId="0" borderId="0" xfId="16" applyFont="1" applyAlignment="1">
      <alignment horizontal="right"/>
    </xf>
    <xf numFmtId="0" fontId="57" fillId="0" borderId="0" xfId="16" applyFont="1"/>
    <xf numFmtId="37" fontId="86" fillId="0" borderId="0" xfId="16" applyNumberFormat="1" applyFont="1"/>
    <xf numFmtId="37" fontId="57" fillId="0" borderId="6" xfId="16" applyNumberFormat="1" applyFont="1" applyBorder="1"/>
    <xf numFmtId="37" fontId="57" fillId="0" borderId="0" xfId="16" applyNumberFormat="1" applyFont="1"/>
    <xf numFmtId="0" fontId="85" fillId="0" borderId="0" xfId="16" applyFont="1" applyAlignment="1">
      <alignment horizontal="right"/>
    </xf>
    <xf numFmtId="37" fontId="86" fillId="0" borderId="62" xfId="16" applyNumberFormat="1" applyFont="1" applyBorder="1"/>
    <xf numFmtId="175" fontId="53" fillId="5" borderId="0" xfId="8" applyNumberFormat="1" applyFont="1" applyFill="1" applyAlignment="1">
      <alignment horizontal="center" vertical="center"/>
    </xf>
    <xf numFmtId="43" fontId="12" fillId="0" borderId="0" xfId="14" applyFont="1" applyBorder="1"/>
    <xf numFmtId="43" fontId="12" fillId="0" borderId="60" xfId="14" applyFont="1" applyBorder="1"/>
    <xf numFmtId="0" fontId="55" fillId="0" borderId="0" xfId="16" applyFont="1" applyAlignment="1">
      <alignment horizontal="left"/>
    </xf>
    <xf numFmtId="0" fontId="48" fillId="0" borderId="0" xfId="16" applyAlignment="1">
      <alignment horizontal="left"/>
    </xf>
    <xf numFmtId="0" fontId="87" fillId="0" borderId="0" xfId="16" applyFont="1" applyAlignment="1">
      <alignment horizontal="left"/>
    </xf>
    <xf numFmtId="0" fontId="41" fillId="0" borderId="0" xfId="0" applyFont="1"/>
    <xf numFmtId="43" fontId="11" fillId="0" borderId="52" xfId="1" applyFont="1" applyBorder="1"/>
    <xf numFmtId="43" fontId="12" fillId="0" borderId="59" xfId="13" applyNumberFormat="1" applyFont="1" applyBorder="1"/>
    <xf numFmtId="43" fontId="5" fillId="0" borderId="0" xfId="13" applyNumberFormat="1" applyFont="1"/>
    <xf numFmtId="43" fontId="12" fillId="0" borderId="63" xfId="13" applyNumberFormat="1" applyFont="1" applyBorder="1"/>
    <xf numFmtId="175" fontId="53" fillId="0" borderId="0" xfId="1" applyNumberFormat="1" applyFont="1"/>
    <xf numFmtId="43" fontId="11" fillId="0" borderId="52" xfId="13" applyNumberFormat="1" applyBorder="1"/>
    <xf numFmtId="9" fontId="4" fillId="0" borderId="0" xfId="13" applyNumberFormat="1" applyFont="1"/>
    <xf numFmtId="43" fontId="4" fillId="0" borderId="0" xfId="1" applyFont="1" applyFill="1"/>
    <xf numFmtId="43" fontId="11" fillId="0" borderId="0" xfId="1" applyFont="1" applyFill="1"/>
    <xf numFmtId="1" fontId="11" fillId="0" borderId="0" xfId="13" applyNumberFormat="1" applyAlignment="1">
      <alignment horizontal="center"/>
    </xf>
    <xf numFmtId="1" fontId="11" fillId="0" borderId="0" xfId="13" applyNumberFormat="1"/>
    <xf numFmtId="184" fontId="11" fillId="0" borderId="0" xfId="15" quotePrefix="1" applyNumberFormat="1" applyFont="1"/>
    <xf numFmtId="184" fontId="11" fillId="0" borderId="0" xfId="13" applyNumberFormat="1"/>
    <xf numFmtId="175" fontId="11" fillId="0" borderId="0" xfId="1" applyNumberFormat="1" applyFont="1"/>
    <xf numFmtId="44" fontId="11" fillId="0" borderId="0" xfId="13" applyNumberFormat="1" applyAlignment="1">
      <alignment horizontal="left"/>
    </xf>
    <xf numFmtId="0" fontId="12" fillId="0" borderId="0" xfId="13" applyFont="1" applyAlignment="1">
      <alignment horizontal="center"/>
    </xf>
    <xf numFmtId="44" fontId="12" fillId="0" borderId="60" xfId="13" applyNumberFormat="1" applyFont="1" applyBorder="1"/>
    <xf numFmtId="43" fontId="12" fillId="0" borderId="64" xfId="13" applyNumberFormat="1" applyFont="1" applyBorder="1"/>
    <xf numFmtId="43" fontId="12" fillId="0" borderId="64" xfId="1" applyFont="1" applyBorder="1"/>
    <xf numFmtId="0" fontId="19" fillId="7" borderId="0" xfId="13" applyFont="1" applyFill="1"/>
    <xf numFmtId="0" fontId="93" fillId="7" borderId="0" xfId="13" applyFont="1" applyFill="1"/>
    <xf numFmtId="0" fontId="5" fillId="0" borderId="0" xfId="13" applyFont="1" applyAlignment="1">
      <alignment horizontal="center" wrapText="1"/>
    </xf>
    <xf numFmtId="0" fontId="94" fillId="0" borderId="0" xfId="13" applyFont="1"/>
    <xf numFmtId="43" fontId="12" fillId="0" borderId="0" xfId="13" applyNumberFormat="1" applyFont="1"/>
    <xf numFmtId="43" fontId="12" fillId="0" borderId="0" xfId="1" applyFont="1"/>
    <xf numFmtId="0" fontId="5" fillId="0" borderId="0" xfId="13" applyFont="1" applyAlignment="1">
      <alignment horizontal="center"/>
    </xf>
    <xf numFmtId="1" fontId="12" fillId="0" borderId="64" xfId="13" applyNumberFormat="1" applyFont="1" applyBorder="1" applyAlignment="1">
      <alignment horizontal="center"/>
    </xf>
    <xf numFmtId="0" fontId="63" fillId="7" borderId="0" xfId="16" applyFont="1" applyFill="1" applyAlignment="1">
      <alignment horizontal="center"/>
    </xf>
    <xf numFmtId="0" fontId="84" fillId="7" borderId="0" xfId="16" applyFont="1" applyFill="1"/>
    <xf numFmtId="0" fontId="84" fillId="7" borderId="0" xfId="16" applyFont="1" applyFill="1" applyAlignment="1">
      <alignment horizontal="center" vertical="center" wrapText="1"/>
    </xf>
    <xf numFmtId="0" fontId="48" fillId="7" borderId="0" xfId="16" applyFill="1"/>
    <xf numFmtId="0" fontId="57" fillId="7" borderId="0" xfId="16" applyFont="1" applyFill="1" applyAlignment="1">
      <alignment horizontal="center"/>
    </xf>
    <xf numFmtId="0" fontId="84" fillId="7" borderId="0" xfId="16" applyFont="1" applyFill="1" applyAlignment="1">
      <alignment horizontal="center"/>
    </xf>
    <xf numFmtId="0" fontId="85" fillId="7" borderId="0" xfId="16" applyFont="1" applyFill="1" applyAlignment="1">
      <alignment horizontal="center"/>
    </xf>
    <xf numFmtId="17" fontId="85" fillId="7" borderId="0" xfId="16" applyNumberFormat="1" applyFont="1" applyFill="1" applyAlignment="1">
      <alignment horizontal="center"/>
    </xf>
    <xf numFmtId="174" fontId="86" fillId="7" borderId="0" xfId="16" applyNumberFormat="1" applyFont="1" applyFill="1"/>
    <xf numFmtId="0" fontId="84" fillId="7" borderId="0" xfId="16" applyFont="1" applyFill="1" applyAlignment="1">
      <alignment horizontal="center" vertical="center"/>
    </xf>
    <xf numFmtId="179" fontId="57" fillId="7" borderId="9" xfId="16" applyNumberFormat="1" applyFont="1" applyFill="1" applyBorder="1"/>
    <xf numFmtId="179" fontId="57" fillId="7" borderId="0" xfId="16" applyNumberFormat="1" applyFont="1" applyFill="1"/>
    <xf numFmtId="0" fontId="63" fillId="7" borderId="0" xfId="16" applyFont="1" applyFill="1"/>
    <xf numFmtId="179" fontId="57" fillId="7" borderId="0" xfId="16" applyNumberFormat="1" applyFont="1" applyFill="1" applyAlignment="1">
      <alignment horizontal="right"/>
    </xf>
    <xf numFmtId="0" fontId="55" fillId="7" borderId="0" xfId="16" applyFont="1" applyFill="1" applyAlignment="1">
      <alignment horizontal="right"/>
    </xf>
    <xf numFmtId="17" fontId="4" fillId="7" borderId="0" xfId="16" applyNumberFormat="1" applyFont="1" applyFill="1" applyAlignment="1">
      <alignment horizontal="right"/>
    </xf>
    <xf numFmtId="174" fontId="90" fillId="7" borderId="0" xfId="16" applyNumberFormat="1" applyFont="1" applyFill="1" applyAlignment="1">
      <alignment horizontal="left" vertical="center"/>
    </xf>
    <xf numFmtId="17" fontId="48" fillId="7" borderId="0" xfId="16" applyNumberFormat="1" applyFill="1" applyAlignment="1">
      <alignment horizontal="right"/>
    </xf>
    <xf numFmtId="9" fontId="91" fillId="7" borderId="0" xfId="16" applyNumberFormat="1" applyFont="1" applyFill="1" applyAlignment="1">
      <alignment horizontal="center"/>
    </xf>
    <xf numFmtId="0" fontId="63" fillId="7" borderId="0" xfId="16" applyFont="1" applyFill="1" applyAlignment="1">
      <alignment horizontal="left"/>
    </xf>
    <xf numFmtId="174" fontId="86" fillId="7" borderId="59" xfId="16" applyNumberFormat="1" applyFont="1" applyFill="1" applyBorder="1"/>
    <xf numFmtId="0" fontId="48" fillId="7" borderId="0" xfId="16" applyFill="1" applyAlignment="1">
      <alignment horizontal="right"/>
    </xf>
    <xf numFmtId="174" fontId="86" fillId="7" borderId="60" xfId="16" applyNumberFormat="1" applyFont="1" applyFill="1" applyBorder="1"/>
    <xf numFmtId="185" fontId="57" fillId="7" borderId="9" xfId="16" applyNumberFormat="1" applyFont="1" applyFill="1" applyBorder="1"/>
    <xf numFmtId="0" fontId="92" fillId="7" borderId="0" xfId="16" applyFont="1" applyFill="1"/>
    <xf numFmtId="0" fontId="4" fillId="7" borderId="52" xfId="16" applyFont="1" applyFill="1" applyBorder="1"/>
    <xf numFmtId="0" fontId="4" fillId="7" borderId="0" xfId="16" applyFont="1" applyFill="1"/>
    <xf numFmtId="38" fontId="86" fillId="7" borderId="61" xfId="16" applyNumberFormat="1" applyFont="1" applyFill="1" applyBorder="1"/>
    <xf numFmtId="38" fontId="86" fillId="7" borderId="0" xfId="16" applyNumberFormat="1" applyFont="1" applyFill="1"/>
    <xf numFmtId="185" fontId="57" fillId="7" borderId="0" xfId="16" applyNumberFormat="1" applyFont="1" applyFill="1"/>
    <xf numFmtId="0" fontId="57" fillId="7" borderId="0" xfId="16" applyFont="1" applyFill="1"/>
    <xf numFmtId="37" fontId="86" fillId="7" borderId="0" xfId="16" applyNumberFormat="1" applyFont="1" applyFill="1"/>
    <xf numFmtId="37" fontId="57" fillId="7" borderId="6" xfId="16" applyNumberFormat="1" applyFont="1" applyFill="1" applyBorder="1"/>
    <xf numFmtId="37" fontId="57" fillId="7" borderId="0" xfId="16" applyNumberFormat="1" applyFont="1" applyFill="1"/>
    <xf numFmtId="37" fontId="86" fillId="7" borderId="62" xfId="16" applyNumberFormat="1" applyFont="1" applyFill="1" applyBorder="1"/>
    <xf numFmtId="17" fontId="0" fillId="0" borderId="0" xfId="0" applyNumberFormat="1"/>
    <xf numFmtId="178" fontId="0" fillId="0" borderId="0" xfId="0" applyNumberFormat="1"/>
    <xf numFmtId="175" fontId="0" fillId="0" borderId="54" xfId="0" applyNumberFormat="1" applyBorder="1"/>
    <xf numFmtId="179" fontId="0" fillId="0" borderId="54" xfId="0" applyNumberFormat="1" applyBorder="1"/>
    <xf numFmtId="17" fontId="11" fillId="0" borderId="0" xfId="0" applyNumberFormat="1" applyFont="1" applyAlignment="1">
      <alignment horizontal="center"/>
    </xf>
    <xf numFmtId="0" fontId="95" fillId="0" borderId="0" xfId="0" applyFont="1" applyAlignment="1">
      <alignment vertical="top"/>
    </xf>
    <xf numFmtId="0" fontId="96" fillId="0" borderId="0" xfId="0" applyFont="1" applyAlignment="1">
      <alignment vertical="top"/>
    </xf>
    <xf numFmtId="43" fontId="96" fillId="0" borderId="0" xfId="1" applyFont="1" applyAlignment="1">
      <alignment vertical="top"/>
    </xf>
    <xf numFmtId="9" fontId="97" fillId="0" borderId="0" xfId="0" applyNumberFormat="1" applyFont="1" applyAlignment="1">
      <alignment vertical="top"/>
    </xf>
    <xf numFmtId="0" fontId="95" fillId="0" borderId="0" xfId="0" applyFont="1" applyAlignment="1">
      <alignment horizontal="center" vertical="top"/>
    </xf>
    <xf numFmtId="43" fontId="95" fillId="0" borderId="0" xfId="1" applyFont="1" applyAlignment="1">
      <alignment vertical="top"/>
    </xf>
    <xf numFmtId="14" fontId="96" fillId="0" borderId="0" xfId="0" applyNumberFormat="1" applyFont="1" applyAlignment="1">
      <alignment vertical="top"/>
    </xf>
    <xf numFmtId="0" fontId="96" fillId="0" borderId="0" xfId="0" applyFont="1" applyAlignment="1">
      <alignment horizontal="center" vertical="top"/>
    </xf>
    <xf numFmtId="43" fontId="96" fillId="0" borderId="0" xfId="0" applyNumberFormat="1" applyFont="1" applyAlignment="1">
      <alignment vertical="top"/>
    </xf>
    <xf numFmtId="43" fontId="98" fillId="0" borderId="0" xfId="1" applyFont="1" applyAlignment="1">
      <alignment vertical="top"/>
    </xf>
    <xf numFmtId="0" fontId="95" fillId="0" borderId="56" xfId="0" applyFont="1" applyBorder="1" applyAlignment="1">
      <alignment horizontal="center" vertical="top"/>
    </xf>
    <xf numFmtId="43" fontId="95" fillId="0" borderId="57" xfId="1" applyFont="1" applyBorder="1" applyAlignment="1">
      <alignment vertical="top"/>
    </xf>
    <xf numFmtId="43" fontId="95" fillId="5" borderId="57" xfId="1" applyFont="1" applyFill="1" applyBorder="1" applyAlignment="1">
      <alignment vertical="top"/>
    </xf>
    <xf numFmtId="43" fontId="95" fillId="5" borderId="58" xfId="1" applyFont="1" applyFill="1" applyBorder="1" applyAlignment="1">
      <alignment vertical="top"/>
    </xf>
    <xf numFmtId="186" fontId="96" fillId="0" borderId="0" xfId="0" applyNumberFormat="1" applyFont="1" applyAlignment="1">
      <alignment vertical="top"/>
    </xf>
    <xf numFmtId="187" fontId="96" fillId="0" borderId="0" xfId="0" applyNumberFormat="1" applyFont="1" applyAlignment="1">
      <alignment vertical="top"/>
    </xf>
    <xf numFmtId="0" fontId="4" fillId="0" borderId="14" xfId="0" applyFont="1" applyBorder="1"/>
    <xf numFmtId="0" fontId="6" fillId="0" borderId="18" xfId="0" applyFont="1" applyBorder="1"/>
    <xf numFmtId="0" fontId="6" fillId="0" borderId="15" xfId="0" applyFont="1" applyBorder="1"/>
    <xf numFmtId="0" fontId="5" fillId="0" borderId="39" xfId="0" applyFont="1" applyBorder="1"/>
    <xf numFmtId="0" fontId="6" fillId="0" borderId="40" xfId="0" applyFont="1" applyBorder="1"/>
    <xf numFmtId="0" fontId="6" fillId="0" borderId="41" xfId="0" applyFont="1" applyBorder="1"/>
    <xf numFmtId="0" fontId="5" fillId="0" borderId="14" xfId="0" applyFont="1" applyBorder="1"/>
    <xf numFmtId="0" fontId="6" fillId="0" borderId="42" xfId="0" applyFont="1" applyBorder="1"/>
    <xf numFmtId="0" fontId="4" fillId="0" borderId="30" xfId="0" applyFont="1" applyBorder="1"/>
    <xf numFmtId="175" fontId="46" fillId="0" borderId="14" xfId="1" applyNumberFormat="1" applyFont="1" applyBorder="1" applyAlignment="1"/>
    <xf numFmtId="175" fontId="47" fillId="0" borderId="15" xfId="1" applyNumberFormat="1" applyFont="1" applyBorder="1" applyAlignment="1"/>
    <xf numFmtId="0" fontId="66" fillId="0" borderId="14" xfId="0" applyFont="1" applyBorder="1"/>
    <xf numFmtId="0" fontId="66" fillId="0" borderId="15" xfId="0" applyFont="1" applyBorder="1"/>
    <xf numFmtId="0" fontId="45" fillId="0" borderId="30" xfId="0" applyFont="1" applyBorder="1" applyAlignment="1">
      <alignment horizontal="right"/>
    </xf>
    <xf numFmtId="0" fontId="45" fillId="0" borderId="18" xfId="0" applyFont="1" applyBorder="1"/>
    <xf numFmtId="0" fontId="45" fillId="0" borderId="15" xfId="0" applyFont="1" applyBorder="1"/>
    <xf numFmtId="0" fontId="5" fillId="0" borderId="30" xfId="0" applyFont="1" applyBorder="1"/>
    <xf numFmtId="0" fontId="66" fillId="0" borderId="18" xfId="0" applyFont="1" applyBorder="1"/>
    <xf numFmtId="0" fontId="47" fillId="0" borderId="14" xfId="0" applyFont="1" applyBorder="1"/>
    <xf numFmtId="0" fontId="47" fillId="0" borderId="18" xfId="0" applyFont="1" applyBorder="1"/>
    <xf numFmtId="0" fontId="47" fillId="0" borderId="15" xfId="0" applyFont="1" applyBorder="1"/>
    <xf numFmtId="0" fontId="46" fillId="0" borderId="14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5" fillId="0" borderId="3" xfId="0" applyFont="1" applyBorder="1" applyAlignment="1">
      <alignment horizontal="center"/>
    </xf>
    <xf numFmtId="0" fontId="6" fillId="0" borderId="4" xfId="0" applyFont="1" applyBorder="1"/>
    <xf numFmtId="0" fontId="4" fillId="0" borderId="18" xfId="0" applyFont="1" applyBorder="1"/>
    <xf numFmtId="0" fontId="84" fillId="7" borderId="0" xfId="16" applyFont="1" applyFill="1" applyAlignment="1">
      <alignment horizontal="center" vertical="center" wrapText="1"/>
    </xf>
    <xf numFmtId="0" fontId="49" fillId="7" borderId="0" xfId="17" applyFill="1"/>
    <xf numFmtId="0" fontId="8" fillId="0" borderId="0" xfId="0" applyFont="1"/>
    <xf numFmtId="0" fontId="8" fillId="0" borderId="0" xfId="0" applyFont="1" applyAlignment="1">
      <alignment horizontal="center"/>
    </xf>
    <xf numFmtId="0" fontId="9" fillId="0" borderId="11" xfId="0" applyFont="1" applyBorder="1" applyAlignment="1">
      <alignment horizontal="center" vertical="top"/>
    </xf>
    <xf numFmtId="0" fontId="6" fillId="0" borderId="11" xfId="0" applyFont="1" applyBorder="1"/>
    <xf numFmtId="0" fontId="6" fillId="0" borderId="10" xfId="0" applyFont="1" applyBorder="1"/>
    <xf numFmtId="0" fontId="8" fillId="0" borderId="12" xfId="0" applyFont="1" applyBorder="1"/>
    <xf numFmtId="0" fontId="6" fillId="0" borderId="3" xfId="0" applyFont="1" applyBorder="1"/>
    <xf numFmtId="0" fontId="17" fillId="0" borderId="0" xfId="0" applyFont="1"/>
    <xf numFmtId="0" fontId="32" fillId="0" borderId="24" xfId="0" applyFont="1" applyBorder="1" applyAlignment="1">
      <alignment horizontal="center"/>
    </xf>
    <xf numFmtId="0" fontId="6" fillId="0" borderId="22" xfId="0" applyFont="1" applyBorder="1"/>
    <xf numFmtId="0" fontId="14" fillId="0" borderId="0" xfId="0" applyFont="1"/>
    <xf numFmtId="0" fontId="9" fillId="0" borderId="0" xfId="0" applyFont="1"/>
  </cellXfs>
  <cellStyles count="18">
    <cellStyle name="Comma" xfId="1" builtinId="3"/>
    <cellStyle name="Comma 2" xfId="4" xr:uid="{841B402B-7839-E340-8CD7-52DDB324B9B8}"/>
    <cellStyle name="Comma 2 2" xfId="10" xr:uid="{9D8F9D6B-A53C-3642-A7E3-37E6B5AD634E}"/>
    <cellStyle name="Comma 3" xfId="12" xr:uid="{B38C368C-8ADE-B344-947F-5D29F4AE4A96}"/>
    <cellStyle name="Comma 4" xfId="14" xr:uid="{D9133D2F-546E-6543-8989-A3A7F94576E7}"/>
    <cellStyle name="Currency" xfId="2" builtinId="4"/>
    <cellStyle name="Currency 2" xfId="15" xr:uid="{A99B4849-4326-2749-8E71-4C56266DFE7F}"/>
    <cellStyle name="Hyperlink" xfId="6" builtinId="8"/>
    <cellStyle name="Normal" xfId="0" builtinId="0"/>
    <cellStyle name="Normal 2" xfId="3" xr:uid="{C4D1F248-0465-0440-886A-EFCE5904D7EE}"/>
    <cellStyle name="Normal 3" xfId="7" xr:uid="{B061F038-5A3B-394F-B435-A71568BAEE7F}"/>
    <cellStyle name="Normal 3 2" xfId="16" xr:uid="{33AECD61-7F32-954E-87DE-D32E3EA01426}"/>
    <cellStyle name="Normal 4" xfId="8" xr:uid="{1E80486E-EA3D-234E-835C-7B8976804232}"/>
    <cellStyle name="Normal 5" xfId="11" xr:uid="{9BB8749C-42DC-3749-AC96-E2FC395BD7AF}"/>
    <cellStyle name="Normal 6" xfId="13" xr:uid="{A7BB78EE-83C3-FE4E-BDC5-ED99992485F7}"/>
    <cellStyle name="Normal 7" xfId="9" xr:uid="{AA58D963-27FF-5244-9AAF-5AD429B541DB}"/>
    <cellStyle name="Normal 8" xfId="17" xr:uid="{AF7768E2-2833-004B-867A-493CDAAABD26}"/>
    <cellStyle name="Per 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SG" b="0">
                <a:solidFill>
                  <a:srgbClr val="757575"/>
                </a:solidFill>
                <a:latin typeface="+mn-lt"/>
              </a:rPr>
              <a:t>GyroGear Ltd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A0C8-4940-8AA8-AEB17DB60604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A0C8-4940-8AA8-AEB17DB60604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A0C8-4940-8AA8-AEB17DB60604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A0C8-4940-8AA8-AEB17DB60604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A0C8-4940-8AA8-AEB17DB60604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A0C8-4940-8AA8-AEB17DB60604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A0C8-4940-8AA8-AEB17DB60604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A0C8-4940-8AA8-AEB17DB60604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A0C8-4940-8AA8-AEB17DB60604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A0C8-4940-8AA8-AEB17DB60604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A0C8-4940-8AA8-AEB17DB60604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A0C8-4940-8AA8-AEB17DB60604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A0C8-4940-8AA8-AEB17DB60604}"/>
              </c:ext>
            </c:extLst>
          </c:dPt>
          <c:dLbls>
            <c:dLbl>
              <c:idx val="11"/>
              <c:layout>
                <c:manualLayout>
                  <c:x val="5.4738134797370511E-2"/>
                  <c:y val="5.56069228970141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0C8-4940-8AA8-AEB17DB6060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'04 MFG Batch 0001 Cost (330pc)'!$B$23:$B$34</c:f>
              <c:strCache>
                <c:ptCount val="12"/>
                <c:pt idx="0">
                  <c:v>PCBA</c:v>
                </c:pt>
                <c:pt idx="1">
                  <c:v>* Harnesses parts</c:v>
                </c:pt>
                <c:pt idx="2">
                  <c:v>Other metal parts</c:v>
                </c:pt>
                <c:pt idx="3">
                  <c:v>Remaining components</c:v>
                </c:pt>
                <c:pt idx="4">
                  <c:v>NRE</c:v>
                </c:pt>
                <c:pt idx="5">
                  <c:v>Laser balancing</c:v>
                </c:pt>
                <c:pt idx="6">
                  <c:v>* Motors</c:v>
                </c:pt>
                <c:pt idx="7">
                  <c:v>Harness sewing</c:v>
                </c:pt>
                <c:pt idx="8">
                  <c:v>Assembly</c:v>
                </c:pt>
                <c:pt idx="9">
                  <c:v>Packaging</c:v>
                </c:pt>
                <c:pt idx="10">
                  <c:v>* Chargers</c:v>
                </c:pt>
                <c:pt idx="11">
                  <c:v>Flywheels &amp; Gimbals</c:v>
                </c:pt>
              </c:strCache>
            </c:strRef>
          </c:cat>
          <c:val>
            <c:numRef>
              <c:f>'04 MFG Batch 0001 Cost (330pc)'!$C$23:$C$34</c:f>
              <c:numCache>
                <c:formatCode>#,##0.00</c:formatCode>
                <c:ptCount val="12"/>
                <c:pt idx="0">
                  <c:v>57956.114915422542</c:v>
                </c:pt>
                <c:pt idx="1">
                  <c:v>51808.135999999999</c:v>
                </c:pt>
                <c:pt idx="2">
                  <c:v>62222.775460122699</c:v>
                </c:pt>
                <c:pt idx="3">
                  <c:v>11789.97</c:v>
                </c:pt>
                <c:pt idx="4">
                  <c:v>40813.178873239442</c:v>
                </c:pt>
                <c:pt idx="5">
                  <c:v>26881.199999999997</c:v>
                </c:pt>
                <c:pt idx="6">
                  <c:v>43135</c:v>
                </c:pt>
                <c:pt idx="7">
                  <c:v>12500</c:v>
                </c:pt>
                <c:pt idx="8">
                  <c:v>46200</c:v>
                </c:pt>
                <c:pt idx="9">
                  <c:v>18150</c:v>
                </c:pt>
                <c:pt idx="10">
                  <c:v>8093.25</c:v>
                </c:pt>
                <c:pt idx="11">
                  <c:v>30714.29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0C8-4940-8AA8-AEB17DB60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Manufacturing</a:t>
            </a:r>
            <a:r>
              <a:rPr lang="en-GB" baseline="0"/>
              <a:t> Costs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'08 BOM Costs'!$C$3</c:f>
              <c:strCache>
                <c:ptCount val="1"/>
                <c:pt idx="0">
                  <c:v>Production Units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'08 BOM Costs'!$A$4:$B$7</c:f>
              <c:multiLvlStrCache>
                <c:ptCount val="4"/>
                <c:lvl>
                  <c:pt idx="0">
                    <c:v>Sample A &amp; B</c:v>
                  </c:pt>
                  <c:pt idx="1">
                    <c:v>Mass production V1.0 PCB</c:v>
                  </c:pt>
                  <c:pt idx="2">
                    <c:v>Mass production V1.1 PCB</c:v>
                  </c:pt>
                  <c:pt idx="3">
                    <c:v>Mass production V1.1. PCB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'08 BOM Costs'!$C$4:$C$7</c:f>
              <c:numCache>
                <c:formatCode>General</c:formatCode>
                <c:ptCount val="4"/>
                <c:pt idx="0">
                  <c:v>180</c:v>
                </c:pt>
                <c:pt idx="1">
                  <c:v>330</c:v>
                </c:pt>
                <c:pt idx="2" formatCode="#,##0">
                  <c:v>1000</c:v>
                </c:pt>
                <c:pt idx="3" formatCode="#,##0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B-2341-BBC3-F732F9E6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144975"/>
        <c:axId val="466265663"/>
      </c:barChart>
      <c:lineChart>
        <c:grouping val="standard"/>
        <c:varyColors val="0"/>
        <c:ser>
          <c:idx val="1"/>
          <c:order val="1"/>
          <c:tx>
            <c:strRef>
              <c:f>'08 BOM Costs'!$D$3</c:f>
              <c:strCache>
                <c:ptCount val="1"/>
                <c:pt idx="0">
                  <c:v>US$/unit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'08 BOM Costs'!$A$4:$B$7</c:f>
              <c:multiLvlStrCache>
                <c:ptCount val="4"/>
                <c:lvl>
                  <c:pt idx="0">
                    <c:v>Sample A &amp; B</c:v>
                  </c:pt>
                  <c:pt idx="1">
                    <c:v>Mass production V1.0 PCB</c:v>
                  </c:pt>
                  <c:pt idx="2">
                    <c:v>Mass production V1.1 PCB</c:v>
                  </c:pt>
                  <c:pt idx="3">
                    <c:v>Mass production V1.1. PCB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'08 BOM Costs'!$D$4:$D$7</c:f>
              <c:numCache>
                <c:formatCode>_(* #,##0_);_(* \(#,##0\);_(* "-"??_);_(@_)</c:formatCode>
                <c:ptCount val="4"/>
                <c:pt idx="0" formatCode="#,##0">
                  <c:v>1762</c:v>
                </c:pt>
                <c:pt idx="1">
                  <c:v>1202.4108067291384</c:v>
                </c:pt>
                <c:pt idx="2">
                  <c:v>1050.9526249109565</c:v>
                </c:pt>
                <c:pt idx="3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B-2341-BBC3-F732F9E6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141247"/>
        <c:axId val="382066736"/>
      </c:lineChart>
      <c:catAx>
        <c:axId val="46614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65663"/>
        <c:crosses val="autoZero"/>
        <c:auto val="1"/>
        <c:lblAlgn val="ctr"/>
        <c:lblOffset val="100"/>
        <c:noMultiLvlLbl val="0"/>
      </c:catAx>
      <c:valAx>
        <c:axId val="4662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Production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44975"/>
        <c:crosses val="autoZero"/>
        <c:crossBetween val="between"/>
      </c:valAx>
      <c:valAx>
        <c:axId val="382066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US$/unit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41247"/>
        <c:crosses val="max"/>
        <c:crossBetween val="between"/>
      </c:valAx>
      <c:catAx>
        <c:axId val="608141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2066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900" b="0" i="0">
                <a:solidFill>
                  <a:srgbClr val="757575"/>
                </a:solidFill>
                <a:latin typeface="Arial"/>
              </a:defRPr>
            </a:pPr>
            <a:r>
              <a:rPr lang="en-SG" sz="900" b="0" i="0">
                <a:solidFill>
                  <a:srgbClr val="757575"/>
                </a:solidFill>
                <a:latin typeface="Arial"/>
              </a:rPr>
              <a:t>OPEX FY24/25</a:t>
            </a:r>
          </a:p>
        </c:rich>
      </c:tx>
      <c:layout>
        <c:manualLayout>
          <c:xMode val="edge"/>
          <c:yMode val="edge"/>
          <c:x val="0.3092309397163120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7453698569373"/>
          <c:y val="8.3231701300495328E-2"/>
          <c:w val="0.55366283439922126"/>
          <c:h val="0.88669311072957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4BF-5649-860A-DFAF0D9B8C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4BF-5649-860A-DFAF0D9B8C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4BF-5649-860A-DFAF0D9B8C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4BF-5649-860A-DFAF0D9B8CE5}"/>
              </c:ext>
            </c:extLst>
          </c:dPt>
          <c:dPt>
            <c:idx val="4"/>
            <c:bubble3D val="0"/>
            <c:explosion val="1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E4BF-5649-860A-DFAF0D9B8C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E4BF-5649-860A-DFAF0D9B8CE5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E4BF-5649-860A-DFAF0D9B8CE5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F-E4BF-5649-860A-DFAF0D9B8CE5}"/>
              </c:ext>
            </c:extLst>
          </c:dPt>
          <c:dPt>
            <c:idx val="8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1-E4BF-5649-860A-DFAF0D9B8CE5}"/>
              </c:ext>
            </c:extLst>
          </c:dPt>
          <c:dPt>
            <c:idx val="9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3-E4BF-5649-860A-DFAF0D9B8CE5}"/>
              </c:ext>
            </c:extLst>
          </c:dPt>
          <c:dPt>
            <c:idx val="1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15-E4BF-5649-860A-DFAF0D9B8CE5}"/>
              </c:ext>
            </c:extLst>
          </c:dPt>
          <c:dPt>
            <c:idx val="11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7-E4BF-5649-860A-DFAF0D9B8CE5}"/>
              </c:ext>
            </c:extLst>
          </c:dPt>
          <c:dPt>
            <c:idx val="1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19-E4BF-5649-860A-DFAF0D9B8CE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P&amp;L-USD Yr Jul_Jun Best'!$A$12:$A$24</c:f>
              <c:strCache>
                <c:ptCount val="13"/>
                <c:pt idx="0">
                  <c:v>Clinical Trials</c:v>
                </c:pt>
                <c:pt idx="1">
                  <c:v>Product Development</c:v>
                </c:pt>
                <c:pt idx="2">
                  <c:v>Marketing</c:v>
                </c:pt>
                <c:pt idx="3">
                  <c:v>Sales Commissions</c:v>
                </c:pt>
                <c:pt idx="4">
                  <c:v>Payroll and Personnel</c:v>
                </c:pt>
                <c:pt idx="5">
                  <c:v>Administration</c:v>
                </c:pt>
                <c:pt idx="6">
                  <c:v>Recruitment Costs</c:v>
                </c:pt>
                <c:pt idx="7">
                  <c:v>Other Consultants</c:v>
                </c:pt>
                <c:pt idx="8">
                  <c:v>Legal Fees</c:v>
                </c:pt>
                <c:pt idx="9">
                  <c:v>Rent</c:v>
                </c:pt>
                <c:pt idx="10">
                  <c:v>Travel </c:v>
                </c:pt>
                <c:pt idx="11">
                  <c:v>Patents</c:v>
                </c:pt>
                <c:pt idx="12">
                  <c:v>QARA-Quality Assurance</c:v>
                </c:pt>
              </c:strCache>
            </c:strRef>
          </c:cat>
          <c:val>
            <c:numRef>
              <c:f>'Summary P&amp;L-USD Yr Jul_Jun Best'!$M$12:$M$24</c:f>
              <c:numCache>
                <c:formatCode>_-* #,##0_-;\-* #,##0_-;_-* "-"??_-;_-@</c:formatCode>
                <c:ptCount val="13"/>
                <c:pt idx="0">
                  <c:v>1329244</c:v>
                </c:pt>
                <c:pt idx="1">
                  <c:v>550513</c:v>
                </c:pt>
                <c:pt idx="2">
                  <c:v>296177</c:v>
                </c:pt>
                <c:pt idx="3">
                  <c:v>412930</c:v>
                </c:pt>
                <c:pt idx="4">
                  <c:v>2121355</c:v>
                </c:pt>
                <c:pt idx="5">
                  <c:v>271911</c:v>
                </c:pt>
                <c:pt idx="6">
                  <c:v>245519</c:v>
                </c:pt>
                <c:pt idx="7">
                  <c:v>115337</c:v>
                </c:pt>
                <c:pt idx="8">
                  <c:v>38978</c:v>
                </c:pt>
                <c:pt idx="9">
                  <c:v>212845</c:v>
                </c:pt>
                <c:pt idx="10">
                  <c:v>303510</c:v>
                </c:pt>
                <c:pt idx="11">
                  <c:v>169606</c:v>
                </c:pt>
                <c:pt idx="12">
                  <c:v>115338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4BF-5649-860A-DFAF0D9B8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l"/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Arial"/>
            </a:defRPr>
          </a:pPr>
          <a:endParaRPr lang="zh-TW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Arial"/>
              </a:defRPr>
            </a:pPr>
            <a:r>
              <a:rPr lang="en-SG" sz="1400" b="0" i="0">
                <a:solidFill>
                  <a:srgbClr val="757575"/>
                </a:solidFill>
                <a:latin typeface="Arial"/>
              </a:rPr>
              <a:t>Use of Proceeds (USD)</a:t>
            </a:r>
          </a:p>
        </c:rich>
      </c:tx>
      <c:layout>
        <c:manualLayout>
          <c:xMode val="edge"/>
          <c:yMode val="edge"/>
          <c:x val="0.34460576015108585"/>
          <c:y val="2.3770714479760934E-2"/>
        </c:manualLayout>
      </c:layout>
      <c:overlay val="0"/>
    </c:title>
    <c:autoTitleDeleted val="0"/>
    <c:plotArea>
      <c:layout>
        <c:manualLayout>
          <c:xMode val="edge"/>
          <c:yMode val="edge"/>
          <c:x val="0.16150865534871722"/>
          <c:y val="0.11494156805818267"/>
          <c:w val="0.56821082335806294"/>
          <c:h val="0.82374697576210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C78C-D745-8BCE-6D40EFF5C3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C78C-D745-8BCE-6D40EFF5C3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C78C-D745-8BCE-6D40EFF5C3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C78C-D745-8BCE-6D40EFF5C321}"/>
              </c:ext>
            </c:extLst>
          </c:dPt>
          <c:dPt>
            <c:idx val="4"/>
            <c:bubble3D val="0"/>
            <c:explosion val="1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C78C-D745-8BCE-6D40EFF5C32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C78C-D745-8BCE-6D40EFF5C321}"/>
              </c:ext>
            </c:extLst>
          </c:dPt>
          <c:dPt>
            <c:idx val="6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D-C78C-D745-8BCE-6D40EFF5C321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F-C78C-D745-8BCE-6D40EFF5C321}"/>
              </c:ext>
            </c:extLst>
          </c:dPt>
          <c:dPt>
            <c:idx val="8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1-C78C-D745-8BCE-6D40EFF5C321}"/>
              </c:ext>
            </c:extLst>
          </c:dPt>
          <c:dPt>
            <c:idx val="9"/>
            <c:bubble3D val="0"/>
            <c:spPr>
              <a:solidFill>
                <a:srgbClr val="FFD34D"/>
              </a:solidFill>
            </c:spPr>
            <c:extLst>
              <c:ext xmlns:c16="http://schemas.microsoft.com/office/drawing/2014/chart" uri="{C3380CC4-5D6E-409C-BE32-E72D297353CC}">
                <c16:uniqueId val="{00000013-C78C-D745-8BCE-6D40EFF5C321}"/>
              </c:ext>
            </c:extLst>
          </c:dPt>
          <c:dPt>
            <c:idx val="10"/>
            <c:bubble3D val="0"/>
            <c:spPr>
              <a:solidFill>
                <a:srgbClr val="8CB9E2"/>
              </a:solidFill>
            </c:spPr>
            <c:extLst>
              <c:ext xmlns:c16="http://schemas.microsoft.com/office/drawing/2014/chart" uri="{C3380CC4-5D6E-409C-BE32-E72D297353CC}">
                <c16:uniqueId val="{00000015-C78C-D745-8BCE-6D40EFF5C321}"/>
              </c:ext>
            </c:extLst>
          </c:dPt>
          <c:dPt>
            <c:idx val="11"/>
            <c:bubble3D val="0"/>
            <c:spPr>
              <a:solidFill>
                <a:srgbClr val="9BC67E"/>
              </a:solidFill>
            </c:spPr>
            <c:extLst>
              <c:ext xmlns:c16="http://schemas.microsoft.com/office/drawing/2014/chart" uri="{C3380CC4-5D6E-409C-BE32-E72D297353CC}">
                <c16:uniqueId val="{00000017-C78C-D745-8BCE-6D40EFF5C321}"/>
              </c:ext>
            </c:extLst>
          </c:dPt>
          <c:dPt>
            <c:idx val="12"/>
            <c:bubble3D val="0"/>
            <c:spPr>
              <a:solidFill>
                <a:srgbClr val="B4C7E7"/>
              </a:solidFill>
            </c:spPr>
            <c:extLst>
              <c:ext xmlns:c16="http://schemas.microsoft.com/office/drawing/2014/chart" uri="{C3380CC4-5D6E-409C-BE32-E72D297353CC}">
                <c16:uniqueId val="{00000019-C78C-D745-8BCE-6D40EFF5C321}"/>
              </c:ext>
            </c:extLst>
          </c:dPt>
          <c:dLbls>
            <c:dLbl>
              <c:idx val="5"/>
              <c:layout>
                <c:manualLayout>
                  <c:x val="-2.5985566833047698E-2"/>
                  <c:y val="3.04766932066452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78C-D745-8BCE-6D40EFF5C321}"/>
                </c:ext>
              </c:extLst>
            </c:dLbl>
            <c:dLbl>
              <c:idx val="6"/>
              <c:layout>
                <c:manualLayout>
                  <c:x val="0.11303789338471419"/>
                  <c:y val="7.280605287467557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79961464354527"/>
                      <c:h val="0.1480446927374301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78C-D745-8BCE-6D40EFF5C321}"/>
                </c:ext>
              </c:extLst>
            </c:dLbl>
            <c:dLbl>
              <c:idx val="7"/>
              <c:layout>
                <c:manualLayout>
                  <c:x val="-1.436701915150789E-2"/>
                  <c:y val="0.1167201865129987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21836865767502"/>
                      <c:h val="0.147542046071056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C78C-D745-8BCE-6D40EFF5C321}"/>
                </c:ext>
              </c:extLst>
            </c:dLbl>
            <c:dLbl>
              <c:idx val="8"/>
              <c:layout>
                <c:manualLayout>
                  <c:x val="9.722472552202642E-2"/>
                  <c:y val="8.99546914177627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78C-D745-8BCE-6D40EFF5C321}"/>
                </c:ext>
              </c:extLst>
            </c:dLbl>
            <c:dLbl>
              <c:idx val="9"/>
              <c:layout>
                <c:manualLayout>
                  <c:x val="6.1904429576360664E-2"/>
                  <c:y val="0.1105429698382674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8C-D745-8BCE-6D40EFF5C321}"/>
                </c:ext>
              </c:extLst>
            </c:dLbl>
            <c:dLbl>
              <c:idx val="10"/>
              <c:layout>
                <c:manualLayout>
                  <c:x val="6.2670489888185937E-2"/>
                  <c:y val="0.1234472646226484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78C-D745-8BCE-6D40EFF5C321}"/>
                </c:ext>
              </c:extLst>
            </c:dLbl>
            <c:dLbl>
              <c:idx val="11"/>
              <c:layout>
                <c:manualLayout>
                  <c:x val="5.9012536727706628E-2"/>
                  <c:y val="0.1462373348582823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78C-D745-8BCE-6D40EFF5C321}"/>
                </c:ext>
              </c:extLst>
            </c:dLbl>
            <c:dLbl>
              <c:idx val="12"/>
              <c:layout>
                <c:manualLayout>
                  <c:x val="5.5230177152711307E-2"/>
                  <c:y val="0.2322529655860055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78C-D745-8BCE-6D40EFF5C32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P&amp;L-USD Yr Jul_Jun Best'!$A$91:$A$103</c:f>
              <c:strCache>
                <c:ptCount val="13"/>
                <c:pt idx="0">
                  <c:v>Clinical Trials</c:v>
                </c:pt>
                <c:pt idx="1">
                  <c:v>Product Development</c:v>
                </c:pt>
                <c:pt idx="2">
                  <c:v>Marketing</c:v>
                </c:pt>
                <c:pt idx="3">
                  <c:v>Sales Commission</c:v>
                </c:pt>
                <c:pt idx="4">
                  <c:v>Payroll and Personnel</c:v>
                </c:pt>
                <c:pt idx="5">
                  <c:v>Administration</c:v>
                </c:pt>
                <c:pt idx="6">
                  <c:v>Recruitment Costs</c:v>
                </c:pt>
                <c:pt idx="7">
                  <c:v>Other Consultants</c:v>
                </c:pt>
                <c:pt idx="8">
                  <c:v>Legal Fees</c:v>
                </c:pt>
                <c:pt idx="9">
                  <c:v>Rent</c:v>
                </c:pt>
                <c:pt idx="10">
                  <c:v>Travel </c:v>
                </c:pt>
                <c:pt idx="11">
                  <c:v>Patents</c:v>
                </c:pt>
                <c:pt idx="12">
                  <c:v>QARA-Quality Assurance</c:v>
                </c:pt>
              </c:strCache>
            </c:strRef>
          </c:cat>
          <c:val>
            <c:numRef>
              <c:f>'Summary P&amp;L-USD Yr Jul_Jun Best'!$K$91:$K$103</c:f>
              <c:numCache>
                <c:formatCode>_-* #,##0_-;\-* #,##0_-;_-* "-"??_-;_-@</c:formatCode>
                <c:ptCount val="13"/>
                <c:pt idx="0">
                  <c:v>9056357</c:v>
                </c:pt>
                <c:pt idx="1">
                  <c:v>3399778</c:v>
                </c:pt>
                <c:pt idx="2">
                  <c:v>7107462</c:v>
                </c:pt>
                <c:pt idx="3">
                  <c:v>8610371</c:v>
                </c:pt>
                <c:pt idx="4">
                  <c:v>10193625</c:v>
                </c:pt>
                <c:pt idx="5">
                  <c:v>963185</c:v>
                </c:pt>
                <c:pt idx="6">
                  <c:v>583690</c:v>
                </c:pt>
                <c:pt idx="7">
                  <c:v>2603722</c:v>
                </c:pt>
                <c:pt idx="8">
                  <c:v>964156</c:v>
                </c:pt>
                <c:pt idx="9">
                  <c:v>781815</c:v>
                </c:pt>
                <c:pt idx="10">
                  <c:v>1185040</c:v>
                </c:pt>
                <c:pt idx="11">
                  <c:v>1140130</c:v>
                </c:pt>
                <c:pt idx="12">
                  <c:v>413998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78C-D745-8BCE-6D40EFF5C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2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900" b="0" i="0">
                <a:solidFill>
                  <a:srgbClr val="757575"/>
                </a:solidFill>
                <a:latin typeface="Arial"/>
              </a:defRPr>
            </a:pPr>
            <a:r>
              <a:rPr lang="en-SG" sz="900" b="0" i="0">
                <a:solidFill>
                  <a:srgbClr val="757575"/>
                </a:solidFill>
                <a:latin typeface="Arial"/>
              </a:rPr>
              <a:t>OPEX FY25/26</a:t>
            </a:r>
          </a:p>
        </c:rich>
      </c:tx>
      <c:layout>
        <c:manualLayout>
          <c:xMode val="edge"/>
          <c:yMode val="edge"/>
          <c:x val="0.3092309397163120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9379397529437266"/>
          <c:y val="8.4211048422096854E-2"/>
          <c:w val="0.5335100772953838"/>
          <c:h val="0.915788951577902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C264-8C43-8319-B94F951E74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C264-8C43-8319-B94F951E74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C264-8C43-8319-B94F951E74C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C264-8C43-8319-B94F951E74C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C264-8C43-8319-B94F951E74C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C264-8C43-8319-B94F951E74CA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C264-8C43-8319-B94F951E74CA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F-C264-8C43-8319-B94F951E74CA}"/>
              </c:ext>
            </c:extLst>
          </c:dPt>
          <c:dPt>
            <c:idx val="8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1-C264-8C43-8319-B94F951E74CA}"/>
              </c:ext>
            </c:extLst>
          </c:dPt>
          <c:dPt>
            <c:idx val="9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3-C264-8C43-8319-B94F951E74CA}"/>
              </c:ext>
            </c:extLst>
          </c:dPt>
          <c:dPt>
            <c:idx val="1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15-C264-8C43-8319-B94F951E74CA}"/>
              </c:ext>
            </c:extLst>
          </c:dPt>
          <c:dPt>
            <c:idx val="11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7-C264-8C43-8319-B94F951E74CA}"/>
              </c:ext>
            </c:extLst>
          </c:dPt>
          <c:dPt>
            <c:idx val="1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19-C264-8C43-8319-B94F951E74C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P&amp;L-USD Yr Jul_Jun Best'!$A$12:$A$24</c:f>
              <c:strCache>
                <c:ptCount val="13"/>
                <c:pt idx="0">
                  <c:v>Clinical Trials</c:v>
                </c:pt>
                <c:pt idx="1">
                  <c:v>Product Development</c:v>
                </c:pt>
                <c:pt idx="2">
                  <c:v>Marketing</c:v>
                </c:pt>
                <c:pt idx="3">
                  <c:v>Sales Commissions</c:v>
                </c:pt>
                <c:pt idx="4">
                  <c:v>Payroll and Personnel</c:v>
                </c:pt>
                <c:pt idx="5">
                  <c:v>Administration</c:v>
                </c:pt>
                <c:pt idx="6">
                  <c:v>Recruitment Costs</c:v>
                </c:pt>
                <c:pt idx="7">
                  <c:v>Other Consultants</c:v>
                </c:pt>
                <c:pt idx="8">
                  <c:v>Legal Fees</c:v>
                </c:pt>
                <c:pt idx="9">
                  <c:v>Rent</c:v>
                </c:pt>
                <c:pt idx="10">
                  <c:v>Travel </c:v>
                </c:pt>
                <c:pt idx="11">
                  <c:v>Patents</c:v>
                </c:pt>
                <c:pt idx="12">
                  <c:v>QARA-Quality Assurance</c:v>
                </c:pt>
              </c:strCache>
            </c:strRef>
          </c:cat>
          <c:val>
            <c:numRef>
              <c:f>'Summary P&amp;L-USD Yr Jul_Jun Best'!$N$12:$N$24</c:f>
              <c:numCache>
                <c:formatCode>_-* #,##0_-;\-* #,##0_-;_-* "-"??_-;_-@</c:formatCode>
                <c:ptCount val="13"/>
                <c:pt idx="0">
                  <c:v>3659192</c:v>
                </c:pt>
                <c:pt idx="1">
                  <c:v>1042216</c:v>
                </c:pt>
                <c:pt idx="2">
                  <c:v>1410307</c:v>
                </c:pt>
                <c:pt idx="3">
                  <c:v>2123640</c:v>
                </c:pt>
                <c:pt idx="4">
                  <c:v>3906784</c:v>
                </c:pt>
                <c:pt idx="5">
                  <c:v>337207</c:v>
                </c:pt>
                <c:pt idx="6">
                  <c:v>164961</c:v>
                </c:pt>
                <c:pt idx="7">
                  <c:v>275814</c:v>
                </c:pt>
                <c:pt idx="8">
                  <c:v>189188</c:v>
                </c:pt>
                <c:pt idx="9">
                  <c:v>267888</c:v>
                </c:pt>
                <c:pt idx="10">
                  <c:v>430015</c:v>
                </c:pt>
                <c:pt idx="11">
                  <c:v>347457</c:v>
                </c:pt>
                <c:pt idx="12">
                  <c:v>141223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264-8C43-8319-B94F951E7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l"/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Arial"/>
            </a:defRPr>
          </a:pPr>
          <a:endParaRPr lang="zh-TW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900" b="0" i="0">
                <a:solidFill>
                  <a:srgbClr val="757575"/>
                </a:solidFill>
                <a:latin typeface="Arial"/>
              </a:defRPr>
            </a:pPr>
            <a:r>
              <a:rPr lang="en-SG" sz="900" b="0" i="0">
                <a:solidFill>
                  <a:srgbClr val="757575"/>
                </a:solidFill>
                <a:latin typeface="Arial"/>
              </a:rPr>
              <a:t>OPEX FY26/27</a:t>
            </a:r>
          </a:p>
        </c:rich>
      </c:tx>
      <c:layout>
        <c:manualLayout>
          <c:xMode val="edge"/>
          <c:yMode val="edge"/>
          <c:x val="0.30923093971631205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155-C248-9732-0ACC952FFC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155-C248-9732-0ACC952FFC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5155-C248-9732-0ACC952FFC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5155-C248-9732-0ACC952FFC4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5155-C248-9732-0ACC952FFC4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5155-C248-9732-0ACC952FFC4A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5155-C248-9732-0ACC952FFC4A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F-5155-C248-9732-0ACC952FFC4A}"/>
              </c:ext>
            </c:extLst>
          </c:dPt>
          <c:dPt>
            <c:idx val="8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1-5155-C248-9732-0ACC952FFC4A}"/>
              </c:ext>
            </c:extLst>
          </c:dPt>
          <c:dPt>
            <c:idx val="9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3-5155-C248-9732-0ACC952FFC4A}"/>
              </c:ext>
            </c:extLst>
          </c:dPt>
          <c:dPt>
            <c:idx val="1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15-5155-C248-9732-0ACC952FFC4A}"/>
              </c:ext>
            </c:extLst>
          </c:dPt>
          <c:dPt>
            <c:idx val="11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7-5155-C248-9732-0ACC952FFC4A}"/>
              </c:ext>
            </c:extLst>
          </c:dPt>
          <c:dPt>
            <c:idx val="1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19-5155-C248-9732-0ACC952FFC4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P&amp;L-USD Yr Jul_Jun Best'!$A$12:$A$24</c:f>
              <c:strCache>
                <c:ptCount val="13"/>
                <c:pt idx="0">
                  <c:v>Clinical Trials</c:v>
                </c:pt>
                <c:pt idx="1">
                  <c:v>Product Development</c:v>
                </c:pt>
                <c:pt idx="2">
                  <c:v>Marketing</c:v>
                </c:pt>
                <c:pt idx="3">
                  <c:v>Sales Commissions</c:v>
                </c:pt>
                <c:pt idx="4">
                  <c:v>Payroll and Personnel</c:v>
                </c:pt>
                <c:pt idx="5">
                  <c:v>Administration</c:v>
                </c:pt>
                <c:pt idx="6">
                  <c:v>Recruitment Costs</c:v>
                </c:pt>
                <c:pt idx="7">
                  <c:v>Other Consultants</c:v>
                </c:pt>
                <c:pt idx="8">
                  <c:v>Legal Fees</c:v>
                </c:pt>
                <c:pt idx="9">
                  <c:v>Rent</c:v>
                </c:pt>
                <c:pt idx="10">
                  <c:v>Travel </c:v>
                </c:pt>
                <c:pt idx="11">
                  <c:v>Patents</c:v>
                </c:pt>
                <c:pt idx="12">
                  <c:v>QARA-Quality Assurance</c:v>
                </c:pt>
              </c:strCache>
            </c:strRef>
          </c:cat>
          <c:val>
            <c:numRef>
              <c:f>'Summary P&amp;L-USD Yr Jul_Jun Best'!$O$12:$O$24</c:f>
              <c:numCache>
                <c:formatCode>_-* #,##0_-;\-* #,##0_-;_-* "-"??_-;_-@</c:formatCode>
                <c:ptCount val="13"/>
                <c:pt idx="0">
                  <c:v>4067921</c:v>
                </c:pt>
                <c:pt idx="1">
                  <c:v>1807049</c:v>
                </c:pt>
                <c:pt idx="2">
                  <c:v>5400978</c:v>
                </c:pt>
                <c:pt idx="3">
                  <c:v>6073801</c:v>
                </c:pt>
                <c:pt idx="4">
                  <c:v>4165486</c:v>
                </c:pt>
                <c:pt idx="5">
                  <c:v>354067</c:v>
                </c:pt>
                <c:pt idx="6">
                  <c:v>173210</c:v>
                </c:pt>
                <c:pt idx="7">
                  <c:v>2212571</c:v>
                </c:pt>
                <c:pt idx="8">
                  <c:v>735990</c:v>
                </c:pt>
                <c:pt idx="9">
                  <c:v>301082</c:v>
                </c:pt>
                <c:pt idx="10">
                  <c:v>451515</c:v>
                </c:pt>
                <c:pt idx="11">
                  <c:v>623067</c:v>
                </c:pt>
                <c:pt idx="12">
                  <c:v>157436.99076000002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155-C248-9732-0ACC952F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l"/>
      <c:layout>
        <c:manualLayout>
          <c:xMode val="edge"/>
          <c:yMode val="edge"/>
          <c:x val="2.7401815047718579E-2"/>
          <c:y val="0.16786957968282135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Arial"/>
            </a:defRPr>
          </a:pPr>
          <a:endParaRPr lang="zh-TW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SG" sz="1400" b="0" i="0">
                <a:solidFill>
                  <a:srgbClr val="757575"/>
                </a:solidFill>
                <a:latin typeface="+mn-lt"/>
              </a:rPr>
              <a:t>Use of Proceeds based on Importance Allocation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28721805286025859"/>
          <c:y val="0.15026387110569531"/>
          <c:w val="0.4517365917326418"/>
          <c:h val="0.847072299523653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1-2302-F84A-B3E6-C865EEA247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2302-F84A-B3E6-C865EEA247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2302-F84A-B3E6-C865EEA247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2302-F84A-B3E6-C865EEA247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2302-F84A-B3E6-C865EEA247D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P&amp;L-USD Yr Jul_Jun Best'!$N$141:$N$145</c:f>
              <c:strCache>
                <c:ptCount val="5"/>
                <c:pt idx="0">
                  <c:v>Clinical Trials</c:v>
                </c:pt>
                <c:pt idx="1">
                  <c:v>Research &amp; Development</c:v>
                </c:pt>
                <c:pt idx="2">
                  <c:v>Marketing &amp; Commercialisation Support</c:v>
                </c:pt>
                <c:pt idx="3">
                  <c:v>Legal Compliance &amp; Patents</c:v>
                </c:pt>
                <c:pt idx="4">
                  <c:v>General &amp; Administrative</c:v>
                </c:pt>
              </c:strCache>
            </c:strRef>
          </c:cat>
          <c:val>
            <c:numRef>
              <c:f>'Summary P&amp;L-USD Yr Jul_Jun Best'!$O$141:$O$145</c:f>
              <c:numCache>
                <c:formatCode>_-* #,##0_-;\-* #,##0_-;_-* "-"??_-;_-@</c:formatCode>
                <c:ptCount val="5"/>
                <c:pt idx="0">
                  <c:v>9056356.5173838288</c:v>
                </c:pt>
                <c:pt idx="1">
                  <c:v>3399777.8406819617</c:v>
                </c:pt>
                <c:pt idx="2">
                  <c:v>19231281.65262305</c:v>
                </c:pt>
                <c:pt idx="3">
                  <c:v>4896413.9387148377</c:v>
                </c:pt>
                <c:pt idx="4">
                  <c:v>10419498.962996323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02-F84A-B3E6-C865EEA24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GBP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37D-1349-A74F-EEEF7D7EC158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37D-1349-A74F-EEEF7D7EC158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F37D-1349-A74F-EEEF7D7EC158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F37D-1349-A74F-EEEF7D7EC158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F37D-1349-A74F-EEEF7D7EC158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F37D-1349-A74F-EEEF7D7EC158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F37D-1349-A74F-EEEF7D7EC158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F37D-1349-A74F-EEEF7D7EC158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F37D-1349-A74F-EEEF7D7EC158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2-F37D-1349-A74F-EEEF7D7EC158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3-F37D-1349-A74F-EEEF7D7EC158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4-F37D-1349-A74F-EEEF7D7EC15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5-F37D-1349-A74F-EEEF7D7EC158}"/>
              </c:ext>
            </c:extLst>
          </c:dPt>
          <c:cat>
            <c:strRef>
              <c:f>'OPEX Workings'!$A$4:$A$16</c:f>
              <c:strCache>
                <c:ptCount val="13"/>
                <c:pt idx="0">
                  <c:v>Tim</c:v>
                </c:pt>
                <c:pt idx="1">
                  <c:v>Jack</c:v>
                </c:pt>
                <c:pt idx="2">
                  <c:v>David</c:v>
                </c:pt>
                <c:pt idx="3">
                  <c:v>subtotal</c:v>
                </c:pt>
                <c:pt idx="5">
                  <c:v>PAYE</c:v>
                </c:pt>
                <c:pt idx="6">
                  <c:v>NEST Pension</c:v>
                </c:pt>
                <c:pt idx="8">
                  <c:v>Rent</c:v>
                </c:pt>
                <c:pt idx="10">
                  <c:v>NLB</c:v>
                </c:pt>
                <c:pt idx="12">
                  <c:v>Big Yellow Storage</c:v>
                </c:pt>
              </c:strCache>
            </c:strRef>
          </c:cat>
          <c:val>
            <c:numRef>
              <c:f>'OPEX Workings'!$B$4:$B$16</c:f>
              <c:numCache>
                <c:formatCode>"£"#,##0</c:formatCode>
                <c:ptCount val="13"/>
                <c:pt idx="0">
                  <c:v>6597</c:v>
                </c:pt>
                <c:pt idx="1">
                  <c:v>2068</c:v>
                </c:pt>
                <c:pt idx="2">
                  <c:v>2313</c:v>
                </c:pt>
                <c:pt idx="3">
                  <c:v>10978</c:v>
                </c:pt>
                <c:pt idx="8">
                  <c:v>2200</c:v>
                </c:pt>
                <c:pt idx="10">
                  <c:v>2448</c:v>
                </c:pt>
                <c:pt idx="12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7D-1349-A74F-EEEF7D7EC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image" Target="../media/image13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chart" Target="../charts/chart8.xml"/><Relationship Id="rId6" Type="http://schemas.openxmlformats.org/officeDocument/2006/relationships/image" Target="../media/image18.png"/><Relationship Id="rId5" Type="http://schemas.openxmlformats.org/officeDocument/2006/relationships/image" Target="../media/image17.jp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123825</xdr:colOff>
      <xdr:row>18</xdr:row>
      <xdr:rowOff>190500</xdr:rowOff>
    </xdr:from>
    <xdr:ext cx="5505450" cy="3848100"/>
    <xdr:graphicFrame macro="">
      <xdr:nvGraphicFramePr>
        <xdr:cNvPr id="5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16</xdr:row>
      <xdr:rowOff>19050</xdr:rowOff>
    </xdr:from>
    <xdr:ext cx="4876800" cy="2743200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30</xdr:row>
      <xdr:rowOff>114300</xdr:rowOff>
    </xdr:from>
    <xdr:ext cx="4876800" cy="2743200"/>
    <xdr:pic>
      <xdr:nvPicPr>
        <xdr:cNvPr id="3" name="image26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44</xdr:row>
      <xdr:rowOff>152400</xdr:rowOff>
    </xdr:from>
    <xdr:ext cx="4876800" cy="2733675"/>
    <xdr:pic>
      <xdr:nvPicPr>
        <xdr:cNvPr id="4" name="image16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70</xdr:row>
      <xdr:rowOff>19050</xdr:rowOff>
    </xdr:from>
    <xdr:ext cx="4876800" cy="2743200"/>
    <xdr:pic>
      <xdr:nvPicPr>
        <xdr:cNvPr id="5" name="image13.pn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59</xdr:row>
      <xdr:rowOff>38100</xdr:rowOff>
    </xdr:from>
    <xdr:ext cx="4867275" cy="2743200"/>
    <xdr:pic>
      <xdr:nvPicPr>
        <xdr:cNvPr id="6" name="image22.pn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0</xdr:row>
      <xdr:rowOff>8067675</xdr:rowOff>
    </xdr:from>
    <xdr:ext cx="4876800" cy="2743200"/>
    <xdr:pic>
      <xdr:nvPicPr>
        <xdr:cNvPr id="7" name="image20.pn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55</xdr:row>
      <xdr:rowOff>57150</xdr:rowOff>
    </xdr:from>
    <xdr:ext cx="4876800" cy="2743200"/>
    <xdr:pic>
      <xdr:nvPicPr>
        <xdr:cNvPr id="8" name="image19.pn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61</xdr:row>
      <xdr:rowOff>180975</xdr:rowOff>
    </xdr:from>
    <xdr:ext cx="4867275" cy="2733675"/>
    <xdr:pic>
      <xdr:nvPicPr>
        <xdr:cNvPr id="9" name="image24.png" title="Imag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47</xdr:row>
      <xdr:rowOff>95250</xdr:rowOff>
    </xdr:from>
    <xdr:ext cx="4867275" cy="2743200"/>
    <xdr:pic>
      <xdr:nvPicPr>
        <xdr:cNvPr id="10" name="image14.png" title="Imag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33</xdr:row>
      <xdr:rowOff>47625</xdr:rowOff>
    </xdr:from>
    <xdr:ext cx="4876800" cy="2743200"/>
    <xdr:pic>
      <xdr:nvPicPr>
        <xdr:cNvPr id="11" name="image15.png" title="Imag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16</xdr:row>
      <xdr:rowOff>19050</xdr:rowOff>
    </xdr:from>
    <xdr:ext cx="4876800" cy="2743200"/>
    <xdr:pic>
      <xdr:nvPicPr>
        <xdr:cNvPr id="12" name="image23.png" title="Imag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8</xdr:row>
      <xdr:rowOff>190500</xdr:rowOff>
    </xdr:from>
    <xdr:to>
      <xdr:col>4</xdr:col>
      <xdr:colOff>533400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CB806-7D92-7544-A11F-C0D350B1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0</xdr:row>
      <xdr:rowOff>0</xdr:rowOff>
    </xdr:from>
    <xdr:ext cx="6572250" cy="8439150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228600</xdr:colOff>
      <xdr:row>4</xdr:row>
      <xdr:rowOff>47625</xdr:rowOff>
    </xdr:from>
    <xdr:ext cx="4057650" cy="25336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55321-12D5-F94F-931B-5B348274D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397688</xdr:colOff>
      <xdr:row>29</xdr:row>
      <xdr:rowOff>137617</xdr:rowOff>
    </xdr:from>
    <xdr:ext cx="4943475" cy="340995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C20036-A543-5344-B1CE-C89BD3F3A15A}"/>
            </a:ext>
            <a:ext uri="{147F2762-F138-4A5C-976F-8EAC2B608ADB}">
              <a16:predDERef xmlns:a16="http://schemas.microsoft.com/office/drawing/2014/main" pred="{2D455321-12D5-F94F-931B-5B348274D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20</xdr:col>
      <xdr:colOff>228600</xdr:colOff>
      <xdr:row>23</xdr:row>
      <xdr:rowOff>123825</xdr:rowOff>
    </xdr:from>
    <xdr:ext cx="4152900" cy="241935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437B89-F845-AE47-9E6E-DC517B68BBDF}"/>
            </a:ext>
            <a:ext uri="{147F2762-F138-4A5C-976F-8EAC2B608ADB}">
              <a16:predDERef xmlns:a16="http://schemas.microsoft.com/office/drawing/2014/main" pred="{63C20036-A543-5344-B1CE-C89BD3F3A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20</xdr:col>
      <xdr:colOff>247650</xdr:colOff>
      <xdr:row>41</xdr:row>
      <xdr:rowOff>123825</xdr:rowOff>
    </xdr:from>
    <xdr:ext cx="4162425" cy="27051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BFCCD7-8D2A-2447-9C82-BF849F487DE4}"/>
            </a:ext>
            <a:ext uri="{147F2762-F138-4A5C-976F-8EAC2B608ADB}">
              <a16:predDERef xmlns:a16="http://schemas.microsoft.com/office/drawing/2014/main" pred="{CF437B89-F845-AE47-9E6E-DC517B68B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12</xdr:col>
      <xdr:colOff>15773</xdr:colOff>
      <xdr:row>139</xdr:row>
      <xdr:rowOff>41149</xdr:rowOff>
    </xdr:from>
    <xdr:ext cx="5314950" cy="3438525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BDC7D3-4C8A-134C-8AEF-C5506DD0DC59}"/>
            </a:ext>
            <a:ext uri="{147F2762-F138-4A5C-976F-8EAC2B608ADB}">
              <a16:predDERef xmlns:a16="http://schemas.microsoft.com/office/drawing/2014/main" pred="{09BFCCD7-8D2A-2447-9C82-BF849F487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933450</xdr:colOff>
      <xdr:row>104</xdr:row>
      <xdr:rowOff>104775</xdr:rowOff>
    </xdr:from>
    <xdr:ext cx="5467350" cy="3876675"/>
    <xdr:pic>
      <xdr:nvPicPr>
        <xdr:cNvPr id="7" name="image5.png">
          <a:extLst>
            <a:ext uri="{FF2B5EF4-FFF2-40B4-BE49-F238E27FC236}">
              <a16:creationId xmlns:a16="http://schemas.microsoft.com/office/drawing/2014/main" id="{3A798525-0EE9-FE4E-9F74-38C88EE5812A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873750" y="10556875"/>
          <a:ext cx="5467350" cy="38766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57150</xdr:colOff>
      <xdr:row>20</xdr:row>
      <xdr:rowOff>104775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762000</xdr:colOff>
      <xdr:row>17</xdr:row>
      <xdr:rowOff>171450</xdr:rowOff>
    </xdr:from>
    <xdr:ext cx="4867275" cy="3448050"/>
    <xdr:pic>
      <xdr:nvPicPr>
        <xdr:cNvPr id="3" name="image17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762000</xdr:colOff>
      <xdr:row>35</xdr:row>
      <xdr:rowOff>76200</xdr:rowOff>
    </xdr:from>
    <xdr:ext cx="4867275" cy="5553075"/>
    <xdr:pic>
      <xdr:nvPicPr>
        <xdr:cNvPr id="4" name="image18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752475</xdr:colOff>
      <xdr:row>9</xdr:row>
      <xdr:rowOff>28575</xdr:rowOff>
    </xdr:from>
    <xdr:ext cx="2705100" cy="1238250"/>
    <xdr:pic>
      <xdr:nvPicPr>
        <xdr:cNvPr id="5" name="image11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762000</xdr:colOff>
      <xdr:row>64</xdr:row>
      <xdr:rowOff>38100</xdr:rowOff>
    </xdr:from>
    <xdr:ext cx="4876800" cy="2743200"/>
    <xdr:pic>
      <xdr:nvPicPr>
        <xdr:cNvPr id="6" name="image12.jp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20</xdr:row>
      <xdr:rowOff>171450</xdr:rowOff>
    </xdr:from>
    <xdr:ext cx="2352675" cy="2838450"/>
    <xdr:pic>
      <xdr:nvPicPr>
        <xdr:cNvPr id="7" name="image25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39</xdr:row>
      <xdr:rowOff>9525</xdr:rowOff>
    </xdr:from>
    <xdr:ext cx="4876800" cy="3019425"/>
    <xdr:pic>
      <xdr:nvPicPr>
        <xdr:cNvPr id="8" name="image10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17</xdr:row>
      <xdr:rowOff>66675</xdr:rowOff>
    </xdr:from>
    <xdr:ext cx="3352800" cy="429577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676275</xdr:colOff>
      <xdr:row>17</xdr:row>
      <xdr:rowOff>66675</xdr:rowOff>
    </xdr:from>
    <xdr:ext cx="3867150" cy="8934450"/>
    <xdr:pic>
      <xdr:nvPicPr>
        <xdr:cNvPr id="3" name="image6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39</xdr:row>
      <xdr:rowOff>9525</xdr:rowOff>
    </xdr:from>
    <xdr:ext cx="3352800" cy="161925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1790700</xdr:colOff>
      <xdr:row>17</xdr:row>
      <xdr:rowOff>66675</xdr:rowOff>
    </xdr:from>
    <xdr:ext cx="3228975" cy="6048375"/>
    <xdr:pic>
      <xdr:nvPicPr>
        <xdr:cNvPr id="5" name="image8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819150</xdr:colOff>
      <xdr:row>11</xdr:row>
      <xdr:rowOff>38100</xdr:rowOff>
    </xdr:from>
    <xdr:ext cx="8772525" cy="158115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819150</xdr:colOff>
      <xdr:row>19</xdr:row>
      <xdr:rowOff>133350</xdr:rowOff>
    </xdr:from>
    <xdr:ext cx="6057900" cy="4848225"/>
    <xdr:pic>
      <xdr:nvPicPr>
        <xdr:cNvPr id="7" name="image4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209550</xdr:colOff>
      <xdr:row>19</xdr:row>
      <xdr:rowOff>133350</xdr:rowOff>
    </xdr:from>
    <xdr:ext cx="4876800" cy="5534025"/>
    <xdr:pic>
      <xdr:nvPicPr>
        <xdr:cNvPr id="8" name="image5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819150</xdr:colOff>
      <xdr:row>43</xdr:row>
      <xdr:rowOff>200025</xdr:rowOff>
    </xdr:from>
    <xdr:ext cx="6057900" cy="3371850"/>
    <xdr:pic>
      <xdr:nvPicPr>
        <xdr:cNvPr id="9" name="image2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ctoriayong/Desktop/Financial%20and%20costings/240527%20GG%20Financial%20Model%20-%205%20Years%20Forecast%202024-2029%20v11.1%20%20final.xlsx" TargetMode="External"/><Relationship Id="rId1" Type="http://schemas.openxmlformats.org/officeDocument/2006/relationships/externalLinkPath" Target="240527%20GG%20Financial%20Model%20-%205%20Years%20Forecast%202024-2029%20v11.1%20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victoriayong/Desktop/Financial%20and%20costings/240527%20GG%20Financial%20Model%20-%205%20Years%20Forecast%202024-2029%20v11.1%20%20final.xlsx" TargetMode="External"/><Relationship Id="rId1" Type="http://schemas.openxmlformats.org/officeDocument/2006/relationships/externalLinkPath" Target="https://d.docs.live.net/Users/victoriayong/Desktop/Financial%20and%20costings/240527%20GG%20Financial%20Model%20-%205%20Years%20Forecast%202024-2029%20v11.1%20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ctoriayong/Downloads/250615%20GyroGear%20Phase%202A%20(2025-2026)%20Plan%20and%20Financial%20Forecast%20DRAFT%20v0.11%20VICTORIA.xlsx" TargetMode="External"/><Relationship Id="rId1" Type="http://schemas.openxmlformats.org/officeDocument/2006/relationships/externalLinkPath" Target="/Users/victoriayong/Downloads/250615%20GyroGear%20Phase%202A%20(2025-2026)%20Plan%20and%20Financial%20Forecast%20DRAFT%20v0.11%20VICTORIA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victoriayong/Desktop/Quotation%20of%20Mass%20Production/250717%20GyroGear%20Ltd%20PO%20for%20300%20units%20mass%20production%20v2.xlsx" TargetMode="External"/><Relationship Id="rId1" Type="http://schemas.openxmlformats.org/officeDocument/2006/relationships/externalLinkPath" Target="https://d.docs.live.net/Users/victoriayong/Desktop/Quotation%20of%20Mass%20Production/250717%20GyroGear%20Ltd%20PO%20for%20300%20units%20mass%20production%20v2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ctoriayong/Desktop/Financial%20and%20costings/250729%20Shareholder%20update/250731%20GG%20Mr%20Ong%20Loans.xlsx" TargetMode="External"/><Relationship Id="rId1" Type="http://schemas.openxmlformats.org/officeDocument/2006/relationships/externalLinkPath" Target="250729%20Shareholder%20update/250731%20GG%20Mr%20Ong%20Loa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P&amp;L-USD Yr Jul_Jun  NS"/>
      <sheetName val="FORECAST &gt;&gt;&gt;&gt;&gt;&gt;"/>
      <sheetName val="Assumptions &amp; Variables"/>
      <sheetName val="Summary P&amp;L-USD Yr Jul_Jun Best"/>
      <sheetName val="5yr Business Plan for Deck"/>
      <sheetName val="Assumptions"/>
      <sheetName val="Summary CF Forecast $USD"/>
      <sheetName val="Summary CF Forecast GBP"/>
      <sheetName val="Summary P&amp;L-USD Yr Jul_Jun MID"/>
      <sheetName val="Summary P&amp;L-USD Yr BASE"/>
      <sheetName val="SummaryP&amp;LUSDYr Jul_Jun BASE1"/>
      <sheetName val="Summary P&amp;L - GBP Yr Jul_Jun"/>
      <sheetName val="Summary P&amp;L - USD FY Apr_Mar"/>
      <sheetName val="Summary P&amp;L - GBP FY Apr_Mar"/>
      <sheetName val="Payroll Variables"/>
      <sheetName val="Payroll Breakdown summary"/>
      <sheetName val="Charts"/>
      <sheetName val="Payroll Breakdown summary Qtly"/>
      <sheetName val="Sheet1"/>
      <sheetName val="Sheet2"/>
      <sheetName val="Sheet3"/>
      <sheetName val="CashFlow Forecast Driver INPUTS"/>
      <sheetName val="Summary Forecast ACT Inputs GBP"/>
      <sheetName val="Revenue Model &gt;&gt;&gt;&gt;&gt;&gt;&gt;"/>
      <sheetName val="Revenue Pricing Variables"/>
      <sheetName val="Revenue Unit Variables "/>
      <sheetName val="Staff Allocation by Country"/>
      <sheetName val="Payroll Total &amp; CAPEX New Hires"/>
      <sheetName val="On-Costs % on Staff Salaries"/>
      <sheetName val="Staff Directory - All Employees"/>
      <sheetName val="Notes"/>
      <sheetName val="Payroll Detail - Breakdown TW"/>
      <sheetName val="ACTUALS&gt;&gt;&gt;&gt;&gt;&gt;"/>
      <sheetName val="Cash Summary-GG UK Xero Mthly"/>
      <sheetName val="ACT GG UK P&amp;L FY24"/>
      <sheetName val="Act GG FY21-24 Consolidate FS"/>
      <sheetName val="ACT GG SG FY21-24  P&amp;L "/>
      <sheetName val="ACT GG UK P&amp;L (Multi Currency)"/>
      <sheetName val="Actual GG SG P&amp;L FY20-24 SGD "/>
      <sheetName val="Act GG UK FY21-FY24 P&amp;L "/>
      <sheetName val="Ex rate used by GGSG"/>
      <sheetName val="Gen 1.5 (2024)"/>
      <sheetName val="Gen 2.0 (2025)"/>
      <sheetName val="Gen 2.5 (2026)"/>
    </sheetNames>
    <sheetDataSet>
      <sheetData sheetId="0"/>
      <sheetData sheetId="1"/>
      <sheetData sheetId="2">
        <row r="20">
          <cell r="E20">
            <v>1.25634</v>
          </cell>
        </row>
        <row r="21">
          <cell r="E21">
            <v>1.1499999999999999</v>
          </cell>
        </row>
        <row r="22">
          <cell r="E22">
            <v>1.68</v>
          </cell>
        </row>
        <row r="106">
          <cell r="C106">
            <v>0.1</v>
          </cell>
        </row>
        <row r="109">
          <cell r="C109">
            <v>0.05</v>
          </cell>
        </row>
        <row r="110">
          <cell r="C110">
            <v>20000</v>
          </cell>
        </row>
        <row r="125">
          <cell r="C125">
            <v>1668</v>
          </cell>
        </row>
        <row r="126">
          <cell r="C126">
            <v>2387.8886288743493</v>
          </cell>
        </row>
        <row r="127">
          <cell r="C127">
            <v>3500</v>
          </cell>
        </row>
        <row r="145">
          <cell r="C145">
            <v>48410</v>
          </cell>
        </row>
        <row r="147">
          <cell r="C147">
            <v>600</v>
          </cell>
        </row>
        <row r="149">
          <cell r="C149">
            <v>60000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B3">
            <v>0.15</v>
          </cell>
        </row>
        <row r="4">
          <cell r="B4">
            <v>0.03</v>
          </cell>
        </row>
        <row r="5">
          <cell r="B5">
            <v>0.15049999999999999</v>
          </cell>
        </row>
        <row r="6">
          <cell r="B6">
            <v>0.17</v>
          </cell>
        </row>
        <row r="8">
          <cell r="B8">
            <v>7800</v>
          </cell>
        </row>
        <row r="9">
          <cell r="B9">
            <v>0.05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P&amp;L-USD Yr Jul_Jun  NS"/>
      <sheetName val="FORECAST &gt;&gt;&gt;&gt;&gt;&gt;"/>
      <sheetName val="Assumptions &amp; Variables"/>
      <sheetName val="Summary P&amp;L-USD Yr Jul_Jun Best"/>
      <sheetName val="5yr Business Plan for Deck"/>
      <sheetName val="Assumptions"/>
      <sheetName val="Summary CF Forecast $USD"/>
      <sheetName val="Summary CF Forecast GBP"/>
      <sheetName val="Summary P&amp;L-USD Yr Jul_Jun MID"/>
      <sheetName val="Summary P&amp;L-USD Yr BASE"/>
      <sheetName val="SummaryP&amp;LUSDYr Jul_Jun BASE1"/>
      <sheetName val="Summary P&amp;L - GBP Yr Jul_Jun"/>
      <sheetName val="Summary P&amp;L - USD FY Apr_Mar"/>
      <sheetName val="Summary P&amp;L - GBP FY Apr_Mar"/>
      <sheetName val="Payroll Variables"/>
      <sheetName val="Payroll Breakdown summary"/>
      <sheetName val="Charts"/>
      <sheetName val="Payroll Breakdown summary Qtly"/>
      <sheetName val="Sheet1"/>
      <sheetName val="Sheet2"/>
      <sheetName val="Sheet3"/>
      <sheetName val="CashFlow Forecast Driver INPUTS"/>
      <sheetName val="Summary Forecast ACT Inputs GBP"/>
      <sheetName val="Revenue Model &gt;&gt;&gt;&gt;&gt;&gt;&gt;"/>
      <sheetName val="Revenue Pricing Variables"/>
      <sheetName val="Revenue Unit Variables "/>
      <sheetName val="Staff Allocation by Country"/>
      <sheetName val="Payroll Total &amp; CAPEX New Hires"/>
      <sheetName val="On-Costs % on Staff Salaries"/>
      <sheetName val="Staff Directory - All Employees"/>
      <sheetName val="Notes"/>
      <sheetName val="Payroll Detail - Breakdown TW"/>
      <sheetName val="ACTUALS&gt;&gt;&gt;&gt;&gt;&gt;"/>
      <sheetName val="Cash Summary-GG UK Xero Mthly"/>
      <sheetName val="ACT GG UK P&amp;L FY24"/>
      <sheetName val="Act GG FY21-24 Consolidate FS"/>
      <sheetName val="ACT GG SG FY21-24  P&amp;L "/>
      <sheetName val="ACT GG UK P&amp;L (Multi Currency)"/>
      <sheetName val="Actual GG SG P&amp;L FY20-24 SGD "/>
      <sheetName val="Act GG UK FY21-FY24 P&amp;L "/>
      <sheetName val="Ex rate used by GGSG"/>
      <sheetName val="Gen 1.5 (2024)"/>
      <sheetName val="Gen 2.0 (2025)"/>
      <sheetName val="Gen 2.5 (2026)"/>
    </sheetNames>
    <sheetDataSet>
      <sheetData sheetId="0"/>
      <sheetData sheetId="1"/>
      <sheetData sheetId="2">
        <row r="20">
          <cell r="E20">
            <v>1.25634</v>
          </cell>
        </row>
        <row r="21">
          <cell r="E21">
            <v>1.1499999999999999</v>
          </cell>
        </row>
        <row r="22">
          <cell r="E22">
            <v>1.68</v>
          </cell>
        </row>
        <row r="28">
          <cell r="C28">
            <v>1.25634</v>
          </cell>
        </row>
        <row r="70">
          <cell r="B70" t="str">
            <v>Y1 Gen 1 short (30 pax) first run (2 weeks)</v>
          </cell>
          <cell r="D70">
            <v>140.71008</v>
          </cell>
        </row>
        <row r="71">
          <cell r="B71" t="str">
            <v>Y1 Rerun Gen 1 short (30 pax) first run admin costs only (2 weeks)</v>
          </cell>
          <cell r="D71">
            <v>138.19739999999999</v>
          </cell>
        </row>
        <row r="74">
          <cell r="B74" t="str">
            <v>Y1 Gen 1 long (50 pax) first run (3 months)</v>
          </cell>
          <cell r="D74">
            <v>443.48802000000001</v>
          </cell>
        </row>
        <row r="75">
          <cell r="B75" t="str">
            <v>Y1 Rerun Gen 1 long (50 pax) first run  (with hardware replacement) (3 months)</v>
          </cell>
          <cell r="D75">
            <v>314.08499999999998</v>
          </cell>
        </row>
        <row r="78">
          <cell r="B78" t="str">
            <v>Y2 Gen 2 short (50 pax) first run  (2 weeks)</v>
          </cell>
          <cell r="D78">
            <v>314.08499999999998</v>
          </cell>
        </row>
        <row r="79">
          <cell r="B79" t="str">
            <v>Y2 Rerun Gen 2 short (50 pax) first run  (2 weeks)</v>
          </cell>
          <cell r="D79">
            <v>628.16999999999996</v>
          </cell>
        </row>
        <row r="82">
          <cell r="B82" t="str">
            <v>Y3 Gen 2 long (80 pax) first run  (3 months)</v>
          </cell>
          <cell r="D82">
            <v>942.255</v>
          </cell>
        </row>
        <row r="83">
          <cell r="B83" t="str">
            <v>Y3 Rerun Gen 2 long (80 pax) first run (3 months)</v>
          </cell>
          <cell r="D83">
            <v>1005.072</v>
          </cell>
        </row>
        <row r="101">
          <cell r="C101">
            <v>240812.52877405795</v>
          </cell>
        </row>
        <row r="106">
          <cell r="C106">
            <v>0.1</v>
          </cell>
        </row>
        <row r="109">
          <cell r="C109">
            <v>0.05</v>
          </cell>
        </row>
        <row r="110">
          <cell r="C110">
            <v>20000</v>
          </cell>
        </row>
        <row r="125">
          <cell r="C125">
            <v>1668</v>
          </cell>
        </row>
        <row r="126">
          <cell r="C126">
            <v>2387.8886288743493</v>
          </cell>
        </row>
        <row r="127">
          <cell r="C127">
            <v>3500</v>
          </cell>
        </row>
        <row r="145">
          <cell r="C145">
            <v>48410</v>
          </cell>
        </row>
        <row r="147">
          <cell r="C147">
            <v>600</v>
          </cell>
        </row>
        <row r="149">
          <cell r="C149">
            <v>60000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I3">
            <v>0</v>
          </cell>
          <cell r="J3">
            <v>27</v>
          </cell>
          <cell r="K3">
            <v>500</v>
          </cell>
          <cell r="L3">
            <v>2176</v>
          </cell>
          <cell r="M3">
            <v>8659</v>
          </cell>
          <cell r="N3">
            <v>21198</v>
          </cell>
          <cell r="O3">
            <v>35717</v>
          </cell>
          <cell r="P3">
            <v>51903</v>
          </cell>
        </row>
        <row r="4">
          <cell r="K4">
            <v>2058926</v>
          </cell>
          <cell r="L4">
            <v>9902717</v>
          </cell>
          <cell r="M4">
            <v>38222328</v>
          </cell>
          <cell r="N4">
            <v>93768311</v>
          </cell>
          <cell r="O4">
            <v>166906002</v>
          </cell>
          <cell r="P4">
            <v>257457526</v>
          </cell>
        </row>
        <row r="6">
          <cell r="K6">
            <v>316857</v>
          </cell>
          <cell r="L6">
            <v>1760839</v>
          </cell>
          <cell r="M6">
            <v>7377250</v>
          </cell>
          <cell r="N6">
            <v>18602517</v>
          </cell>
          <cell r="O6">
            <v>33733847</v>
          </cell>
          <cell r="P6">
            <v>52455577</v>
          </cell>
        </row>
        <row r="12">
          <cell r="K12">
            <v>1058029</v>
          </cell>
          <cell r="L12">
            <v>2912581</v>
          </cell>
          <cell r="M12">
            <v>3237914</v>
          </cell>
          <cell r="N12">
            <v>2396459</v>
          </cell>
          <cell r="O12">
            <v>4355032</v>
          </cell>
          <cell r="P12">
            <v>6563347</v>
          </cell>
        </row>
        <row r="13">
          <cell r="K13">
            <v>438188</v>
          </cell>
          <cell r="L13">
            <v>829565</v>
          </cell>
          <cell r="M13">
            <v>1438344</v>
          </cell>
          <cell r="N13">
            <v>3071513</v>
          </cell>
          <cell r="O13">
            <v>4717819</v>
          </cell>
          <cell r="P13">
            <v>7984206</v>
          </cell>
        </row>
        <row r="14">
          <cell r="K14">
            <v>235746</v>
          </cell>
          <cell r="L14">
            <v>1122552</v>
          </cell>
          <cell r="M14">
            <v>4298978</v>
          </cell>
          <cell r="N14">
            <v>9244351</v>
          </cell>
          <cell r="O14">
            <v>13769745</v>
          </cell>
          <cell r="P14">
            <v>21240246</v>
          </cell>
        </row>
        <row r="15">
          <cell r="K15">
            <v>328677</v>
          </cell>
          <cell r="L15">
            <v>1690339</v>
          </cell>
          <cell r="M15">
            <v>4834520</v>
          </cell>
          <cell r="N15">
            <v>9124780</v>
          </cell>
          <cell r="O15">
            <v>12756976</v>
          </cell>
          <cell r="P15">
            <v>18890197</v>
          </cell>
        </row>
        <row r="16">
          <cell r="K16">
            <v>1688520</v>
          </cell>
          <cell r="L16">
            <v>3109655</v>
          </cell>
          <cell r="M16">
            <v>3315572</v>
          </cell>
          <cell r="N16">
            <v>3484667</v>
          </cell>
          <cell r="O16">
            <v>3616277</v>
          </cell>
          <cell r="P16">
            <v>3800707</v>
          </cell>
        </row>
        <row r="17">
          <cell r="K17">
            <v>216431</v>
          </cell>
          <cell r="L17">
            <v>268404</v>
          </cell>
          <cell r="M17">
            <v>281824</v>
          </cell>
          <cell r="N17">
            <v>295915</v>
          </cell>
          <cell r="O17">
            <v>306875</v>
          </cell>
          <cell r="P17">
            <v>326247</v>
          </cell>
        </row>
        <row r="18">
          <cell r="K18">
            <v>195424</v>
          </cell>
          <cell r="L18">
            <v>131303</v>
          </cell>
          <cell r="M18">
            <v>137869</v>
          </cell>
          <cell r="N18">
            <v>144762</v>
          </cell>
          <cell r="O18">
            <v>150124</v>
          </cell>
          <cell r="P18">
            <v>159600</v>
          </cell>
        </row>
        <row r="19">
          <cell r="K19">
            <v>91804</v>
          </cell>
          <cell r="L19">
            <v>219538</v>
          </cell>
          <cell r="M19">
            <v>1761124</v>
          </cell>
          <cell r="N19">
            <v>4061887</v>
          </cell>
          <cell r="O19">
            <v>6353554</v>
          </cell>
          <cell r="P19">
            <v>10849253</v>
          </cell>
        </row>
        <row r="20">
          <cell r="K20">
            <v>31025</v>
          </cell>
          <cell r="L20">
            <v>150587</v>
          </cell>
          <cell r="M20">
            <v>585821</v>
          </cell>
          <cell r="N20">
            <v>1444803</v>
          </cell>
          <cell r="O20">
            <v>2301216</v>
          </cell>
          <cell r="P20">
            <v>3982954</v>
          </cell>
        </row>
        <row r="21">
          <cell r="K21">
            <v>169417</v>
          </cell>
          <cell r="L21">
            <v>213229</v>
          </cell>
          <cell r="M21">
            <v>239650</v>
          </cell>
          <cell r="N21">
            <v>251633</v>
          </cell>
          <cell r="O21">
            <v>260952</v>
          </cell>
          <cell r="P21">
            <v>277425</v>
          </cell>
        </row>
        <row r="22">
          <cell r="K22">
            <v>241583</v>
          </cell>
          <cell r="L22">
            <v>342276</v>
          </cell>
          <cell r="M22">
            <v>359389</v>
          </cell>
          <cell r="N22">
            <v>377359</v>
          </cell>
          <cell r="O22">
            <v>391335</v>
          </cell>
          <cell r="P22">
            <v>416038</v>
          </cell>
        </row>
        <row r="23">
          <cell r="K23">
            <v>135000</v>
          </cell>
          <cell r="L23">
            <v>276563</v>
          </cell>
          <cell r="M23">
            <v>495938</v>
          </cell>
          <cell r="N23">
            <v>754688</v>
          </cell>
          <cell r="O23">
            <v>948750</v>
          </cell>
          <cell r="P23">
            <v>1272188</v>
          </cell>
        </row>
        <row r="24">
          <cell r="K24">
            <v>91805</v>
          </cell>
          <cell r="L24">
            <v>112408</v>
          </cell>
          <cell r="M24">
            <v>125314</v>
          </cell>
          <cell r="N24">
            <v>162908</v>
          </cell>
          <cell r="O24">
            <v>197005</v>
          </cell>
          <cell r="P24">
            <v>275314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</sheetData>
      <sheetData sheetId="12"/>
      <sheetData sheetId="13"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/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/>
        </row>
        <row r="11">
          <cell r="C11">
            <v>0</v>
          </cell>
          <cell r="D11">
            <v>60</v>
          </cell>
          <cell r="E11">
            <v>0</v>
          </cell>
          <cell r="F11">
            <v>667</v>
          </cell>
          <cell r="G11">
            <v>0</v>
          </cell>
          <cell r="H11"/>
          <cell r="I11"/>
        </row>
        <row r="12">
          <cell r="C12">
            <v>8238.380000000001</v>
          </cell>
          <cell r="D12">
            <v>27526.200000000004</v>
          </cell>
          <cell r="E12">
            <v>55214.000000000007</v>
          </cell>
          <cell r="F12">
            <v>176927.03</v>
          </cell>
          <cell r="G12">
            <v>86258.500000000015</v>
          </cell>
          <cell r="H12"/>
          <cell r="I12"/>
        </row>
        <row r="13">
          <cell r="C13">
            <v>621.62</v>
          </cell>
          <cell r="D13">
            <v>4452.1099999999997</v>
          </cell>
          <cell r="E13">
            <v>4038.68</v>
          </cell>
          <cell r="F13">
            <v>640.73</v>
          </cell>
          <cell r="G13">
            <v>22703.35</v>
          </cell>
          <cell r="H13"/>
          <cell r="I13"/>
        </row>
        <row r="15">
          <cell r="C15">
            <v>0</v>
          </cell>
          <cell r="D15">
            <v>35678.259999999995</v>
          </cell>
          <cell r="E15">
            <v>101642.44</v>
          </cell>
          <cell r="F15">
            <v>295108.15000000002</v>
          </cell>
          <cell r="G15">
            <v>706228.06</v>
          </cell>
          <cell r="H15"/>
          <cell r="I15"/>
        </row>
        <row r="16">
          <cell r="C16">
            <v>302.94</v>
          </cell>
          <cell r="D16">
            <v>6867.2000000000016</v>
          </cell>
          <cell r="E16">
            <v>27107.839999999993</v>
          </cell>
          <cell r="F16">
            <v>42755.55</v>
          </cell>
          <cell r="G16">
            <v>42160.770000000004</v>
          </cell>
          <cell r="H16"/>
          <cell r="I16"/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/>
          <cell r="I17"/>
        </row>
        <row r="18">
          <cell r="C18">
            <v>2400</v>
          </cell>
          <cell r="D18">
            <v>89130.86</v>
          </cell>
          <cell r="E18">
            <v>69316.44</v>
          </cell>
          <cell r="F18">
            <v>175199.9</v>
          </cell>
          <cell r="G18">
            <v>80174.989999999991</v>
          </cell>
          <cell r="H18"/>
          <cell r="I18"/>
        </row>
        <row r="19">
          <cell r="C19">
            <v>0</v>
          </cell>
          <cell r="D19">
            <v>1466.6699999999992</v>
          </cell>
          <cell r="E19">
            <v>35451.800000000003</v>
          </cell>
          <cell r="F19">
            <v>28165.1</v>
          </cell>
          <cell r="G19">
            <v>13708.8</v>
          </cell>
          <cell r="H19"/>
          <cell r="I19"/>
        </row>
        <row r="20">
          <cell r="C20">
            <v>0</v>
          </cell>
          <cell r="D20">
            <v>28291.360000000001</v>
          </cell>
          <cell r="E20">
            <v>42820.42</v>
          </cell>
          <cell r="F20">
            <v>49717.15</v>
          </cell>
          <cell r="G20">
            <v>51780.57</v>
          </cell>
          <cell r="H20"/>
          <cell r="I20"/>
        </row>
        <row r="21">
          <cell r="C21">
            <v>5172.6099999999997</v>
          </cell>
          <cell r="D21">
            <v>4556.1899999999996</v>
          </cell>
          <cell r="E21">
            <v>39304.420000000006</v>
          </cell>
          <cell r="F21">
            <v>72650.19</v>
          </cell>
          <cell r="G21">
            <v>76880.31</v>
          </cell>
          <cell r="H21"/>
          <cell r="I21"/>
        </row>
        <row r="22">
          <cell r="C22">
            <v>296.37</v>
          </cell>
          <cell r="D22">
            <v>7085.47</v>
          </cell>
          <cell r="E22">
            <v>46389.4</v>
          </cell>
          <cell r="F22">
            <v>13422.73</v>
          </cell>
          <cell r="G22">
            <v>43171.56</v>
          </cell>
          <cell r="H22"/>
          <cell r="I22"/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/>
          <cell r="I23"/>
        </row>
        <row r="26">
          <cell r="C26">
            <v>10000</v>
          </cell>
          <cell r="D26">
            <v>53277</v>
          </cell>
          <cell r="E26">
            <v>94142</v>
          </cell>
          <cell r="F26">
            <v>750550</v>
          </cell>
          <cell r="G26">
            <v>512952.35</v>
          </cell>
          <cell r="H26"/>
          <cell r="I26"/>
        </row>
      </sheetData>
      <sheetData sheetId="14">
        <row r="3">
          <cell r="B3">
            <v>0.15</v>
          </cell>
        </row>
        <row r="4">
          <cell r="B4">
            <v>0.03</v>
          </cell>
        </row>
        <row r="5">
          <cell r="B5">
            <v>0.15049999999999999</v>
          </cell>
        </row>
        <row r="6">
          <cell r="B6">
            <v>0.17</v>
          </cell>
        </row>
        <row r="7">
          <cell r="B7"/>
        </row>
        <row r="8">
          <cell r="B8">
            <v>7800</v>
          </cell>
        </row>
        <row r="9">
          <cell r="B9">
            <v>0.05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6">
          <cell r="L6">
            <v>218554.69189868984</v>
          </cell>
        </row>
        <row r="8">
          <cell r="L8">
            <v>128462.00869191463</v>
          </cell>
        </row>
        <row r="10">
          <cell r="L10">
            <v>516521.80062465573</v>
          </cell>
        </row>
        <row r="14">
          <cell r="L14">
            <v>29551.46935741917</v>
          </cell>
        </row>
        <row r="15">
          <cell r="L15">
            <v>647682.52568686823</v>
          </cell>
        </row>
        <row r="16">
          <cell r="L16">
            <v>360626.22161763534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>
        <row r="7">
          <cell r="AC7">
            <v>0</v>
          </cell>
          <cell r="AD7">
            <v>276708.23170320003</v>
          </cell>
        </row>
        <row r="8">
          <cell r="AC8">
            <v>260.62773299999998</v>
          </cell>
          <cell r="AD8">
            <v>1.6279780000000001</v>
          </cell>
        </row>
        <row r="13">
          <cell r="AC13">
            <v>47837.961277499999</v>
          </cell>
          <cell r="AD13">
            <v>300898.06064749998</v>
          </cell>
        </row>
        <row r="16">
          <cell r="AC16">
            <v>5293.4127023999999</v>
          </cell>
          <cell r="AD16">
            <v>10980.495356000001</v>
          </cell>
        </row>
        <row r="17">
          <cell r="AC17">
            <v>371705.48451629997</v>
          </cell>
          <cell r="AD17">
            <v>227385.49762160002</v>
          </cell>
        </row>
        <row r="18">
          <cell r="AC18">
            <v>11998.461592200001</v>
          </cell>
          <cell r="AD18">
            <v>108552.06912453334</v>
          </cell>
        </row>
        <row r="19">
          <cell r="AC19">
            <v>0</v>
          </cell>
          <cell r="AD19">
            <v>0</v>
          </cell>
        </row>
        <row r="20">
          <cell r="AC20">
            <v>1043285.6940402</v>
          </cell>
          <cell r="AD20">
            <v>761570.70208933344</v>
          </cell>
        </row>
        <row r="21">
          <cell r="AC21">
            <v>125168.5504566</v>
          </cell>
          <cell r="AD21">
            <v>213217.18056253335</v>
          </cell>
        </row>
        <row r="22">
          <cell r="AC22">
            <v>671.32527900000002</v>
          </cell>
          <cell r="AD22">
            <v>213.494044</v>
          </cell>
        </row>
        <row r="23">
          <cell r="AC23">
            <v>451277.29048019997</v>
          </cell>
          <cell r="AD23">
            <v>484102.17034226662</v>
          </cell>
        </row>
        <row r="24">
          <cell r="AC24">
            <v>74308.741980000006</v>
          </cell>
          <cell r="AD24">
            <v>3708.4644119999998</v>
          </cell>
        </row>
        <row r="26">
          <cell r="AC26">
            <v>72190.836226500003</v>
          </cell>
          <cell r="AD26">
            <v>105451.05318573333</v>
          </cell>
        </row>
        <row r="27">
          <cell r="AC27">
            <v>93434.0626797</v>
          </cell>
          <cell r="AD27">
            <v>229390.89723093333</v>
          </cell>
        </row>
        <row r="28">
          <cell r="AC28">
            <v>169459.81278480001</v>
          </cell>
          <cell r="AD28">
            <v>148709.0962728</v>
          </cell>
        </row>
        <row r="29">
          <cell r="AC29">
            <v>30170.238732599999</v>
          </cell>
          <cell r="AD29">
            <v>43645.335356000011</v>
          </cell>
        </row>
        <row r="32">
          <cell r="AC32">
            <v>33648.742671</v>
          </cell>
          <cell r="AD32">
            <v>-17789.87143653334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shflow Statement Forecast"/>
      <sheetName val="Cashflow Proj 12mo v0.5 25"/>
      <sheetName val="Cashflow Proj 12mo v0.4 25"/>
      <sheetName val="Summary Spend - Liabilities (2)"/>
      <sheetName val="Cashflow Proj 12mo v0.3 250729"/>
      <sheetName val="Cashflow Proj 12mo v0.1 250728"/>
      <sheetName val="Cashflow Proj 12mo v0.2 250729"/>
      <sheetName val="BOM Cost Presentation"/>
      <sheetName val="TEMP - TO DOS"/>
      <sheetName val="Cashflow Projection"/>
      <sheetName val="Reduced OPEX EDITED 250728"/>
      <sheetName val="Inventory Loan"/>
      <sheetName val="SS Ong-Loans"/>
      <sheetName val="03 - Mfg Batch 0001 Cost (330 )"/>
      <sheetName val="01 - Revenue Forecasts (KPIs)"/>
      <sheetName val="02 - Worst Case Scenario Model"/>
      <sheetName val="04 - OPEX Stakeholder Statement"/>
      <sheetName val="05 - GG Next Steps, Pipeline"/>
      <sheetName val="06 - SG MRA Grant"/>
      <sheetName val="OPEX Tabulation (DO NOT USE)"/>
      <sheetName val="Laser Balancing In-house vs Out"/>
      <sheetName val="Summary P&amp;L-USD Yr Jul_Jun Best"/>
      <sheetName val="OPEX 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D5">
            <v>1202.4108067291384</v>
          </cell>
        </row>
        <row r="6">
          <cell r="C6">
            <v>700</v>
          </cell>
        </row>
      </sheetData>
      <sheetData sheetId="8"/>
      <sheetData sheetId="9"/>
      <sheetData sheetId="10">
        <row r="84">
          <cell r="G84">
            <v>82340.335233817939</v>
          </cell>
        </row>
      </sheetData>
      <sheetData sheetId="11">
        <row r="23">
          <cell r="E23">
            <v>357396.73000000004</v>
          </cell>
        </row>
      </sheetData>
      <sheetData sheetId="12"/>
      <sheetData sheetId="13">
        <row r="35">
          <cell r="C35">
            <v>410263.91524878464</v>
          </cell>
        </row>
      </sheetData>
      <sheetData sheetId="14">
        <row r="15">
          <cell r="K15">
            <v>6050</v>
          </cell>
        </row>
        <row r="24">
          <cell r="K24">
            <v>5899</v>
          </cell>
        </row>
      </sheetData>
      <sheetData sheetId="15"/>
      <sheetData sheetId="16"/>
      <sheetData sheetId="17"/>
      <sheetData sheetId="18">
        <row r="9">
          <cell r="F9">
            <v>119885.375</v>
          </cell>
        </row>
      </sheetData>
      <sheetData sheetId="19"/>
      <sheetData sheetId="20">
        <row r="42">
          <cell r="B42">
            <v>320248.8</v>
          </cell>
        </row>
      </sheetData>
      <sheetData sheetId="21">
        <row r="12">
          <cell r="M12">
            <v>1329244</v>
          </cell>
        </row>
        <row r="13">
          <cell r="M13">
            <v>550513</v>
          </cell>
          <cell r="N13">
            <v>1042216</v>
          </cell>
        </row>
      </sheetData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ld FXN quotation on 512&amp;139"/>
      <sheetName val="SG-Mouser"/>
      <sheetName val="Summary"/>
      <sheetName val="Bobertag"/>
      <sheetName val="Constar"/>
      <sheetName val="PHI"/>
      <sheetName val="Payment Summary"/>
      <sheetName val="Foxconn （1 parts recieved)"/>
      <sheetName val="Foxconn (2)"/>
      <sheetName val="Foxconn (3)"/>
      <sheetName val="Foxconn (4)"/>
      <sheetName val="Foxconn （5） (old dun use)"/>
      <sheetName val="GG Gen 1.0 BOM PO1"/>
      <sheetName val="GG Gen 1.0 BOM PO2"/>
      <sheetName val="Foxconn (6)"/>
      <sheetName val="Foxconn (7)"/>
      <sheetName val="GG Gen 1.0 BOM （3）"/>
      <sheetName val="Master Quotation  (3)"/>
      <sheetName val="NRE List （3）"/>
      <sheetName val="Constar Quotation"/>
      <sheetName val="Master Quotation "/>
      <sheetName val="Master Quotation  (2)"/>
      <sheetName val="GG Gen 1.0 BOM PO1 (2)"/>
      <sheetName val="GG Gen 1.0 BOM PO2 (2)"/>
      <sheetName val="Harness siizes allocation-John"/>
      <sheetName val="Portescap"/>
      <sheetName val="Portescap (2)"/>
      <sheetName val="Cosmo"/>
      <sheetName val="XP adaptors 1000 units"/>
    </sheetNames>
    <sheetDataSet>
      <sheetData sheetId="0"/>
      <sheetData sheetId="1"/>
      <sheetData sheetId="2"/>
      <sheetData sheetId="3">
        <row r="30">
          <cell r="H30">
            <v>23580</v>
          </cell>
        </row>
      </sheetData>
      <sheetData sheetId="4">
        <row r="27">
          <cell r="H27">
            <v>6045.4</v>
          </cell>
        </row>
      </sheetData>
      <sheetData sheetId="5">
        <row r="36">
          <cell r="H36">
            <v>12500</v>
          </cell>
        </row>
      </sheetData>
      <sheetData sheetId="6"/>
      <sheetData sheetId="7"/>
      <sheetData sheetId="8">
        <row r="30">
          <cell r="H30">
            <v>57956.114915422542</v>
          </cell>
        </row>
      </sheetData>
      <sheetData sheetId="9">
        <row r="41">
          <cell r="H41">
            <v>51808.135999999999</v>
          </cell>
        </row>
      </sheetData>
      <sheetData sheetId="10">
        <row r="40">
          <cell r="H40">
            <v>62222.775460122699</v>
          </cell>
        </row>
      </sheetData>
      <sheetData sheetId="11"/>
      <sheetData sheetId="12"/>
      <sheetData sheetId="13"/>
      <sheetData sheetId="14">
        <row r="39">
          <cell r="H39">
            <v>11789.97</v>
          </cell>
        </row>
      </sheetData>
      <sheetData sheetId="15">
        <row r="26">
          <cell r="H26">
            <v>40813.178873239442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entory Loan"/>
      <sheetName val="SS Ong-Loans (2)"/>
      <sheetName val="SS Ong-Loans"/>
    </sheetNames>
    <sheetDataSet>
      <sheetData sheetId="0">
        <row r="26">
          <cell r="E26">
            <v>458000</v>
          </cell>
          <cell r="F26">
            <v>357812.5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victoria@gyrogear.co" TargetMode="External"/><Relationship Id="rId2" Type="http://schemas.openxmlformats.org/officeDocument/2006/relationships/hyperlink" Target="mailto:keet@gyrogear.co" TargetMode="External"/><Relationship Id="rId1" Type="http://schemas.openxmlformats.org/officeDocument/2006/relationships/hyperlink" Target="mailto:victoria@gyrogear.co" TargetMode="Externa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5xGUBpQyjz6SD_j2QRrchS9H4NFR_2WP/view?usp=drive_link" TargetMode="External"/><Relationship Id="rId2" Type="http://schemas.openxmlformats.org/officeDocument/2006/relationships/hyperlink" Target="https://drive.google.com/file/d/15xGUBpQyjz6SD_j2QRrchS9H4NFR_2WP/view?usp=drive_link" TargetMode="External"/><Relationship Id="rId1" Type="http://schemas.openxmlformats.org/officeDocument/2006/relationships/hyperlink" Target="https://drive.google.com/file/d/15xGUBpQyjz6SD_j2QRrchS9H4NFR_2WP/view?usp=drive_link" TargetMode="External"/><Relationship Id="rId4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ZzEtOs7dzsqhgSDPECTRoFIiP0tvJeSp/view?usp=share_link" TargetMode="External"/><Relationship Id="rId2" Type="http://schemas.openxmlformats.org/officeDocument/2006/relationships/hyperlink" Target="https://drive.google.com/file/d/1smnGi0tYo60ZT3RDrBofSgd7TREkXDfE/view?usp=share_link" TargetMode="External"/><Relationship Id="rId1" Type="http://schemas.openxmlformats.org/officeDocument/2006/relationships/hyperlink" Target="https://drive.google.com/file/d/1oNt5i7xLyLR8lKnUwS0lMMMlpN2g-ora/view?usp=sharing" TargetMode="External"/><Relationship Id="rId5" Type="http://schemas.openxmlformats.org/officeDocument/2006/relationships/hyperlink" Target="https://drive.google.com/file/d/1V7X205DZmdtuzFp4p2e1XB3zsAls9jHa/view?usp=share_link" TargetMode="External"/><Relationship Id="rId4" Type="http://schemas.openxmlformats.org/officeDocument/2006/relationships/hyperlink" Target="https://drive.google.com/file/d/1DsCNn2FkNBS26Pv8_o7lwSzxUejkptV5/view?usp=share_link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://otter.ai/" TargetMode="External"/><Relationship Id="rId1" Type="http://schemas.openxmlformats.org/officeDocument/2006/relationships/hyperlink" Target="mailto:victoria@gyrogear.co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hare-docs.clickup.com/4613621/p/h/4ctfn-13328/873d7b08490eb60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W100"/>
  <sheetViews>
    <sheetView topLeftCell="K15" zoomScaleNormal="100" workbookViewId="0">
      <selection activeCell="V34" sqref="V34"/>
    </sheetView>
  </sheetViews>
  <sheetFormatPr baseColWidth="10" defaultColWidth="12.6640625" defaultRowHeight="15.75" customHeight="1"/>
  <cols>
    <col min="1" max="10" width="0" hidden="1" customWidth="1"/>
    <col min="12" max="12" width="34.33203125" customWidth="1"/>
    <col min="13" max="13" width="13.1640625" bestFit="1" customWidth="1"/>
    <col min="15" max="15" width="16.5" customWidth="1"/>
    <col min="16" max="16" width="12.6640625" bestFit="1" customWidth="1"/>
    <col min="22" max="22" width="45.83203125" style="284" customWidth="1"/>
    <col min="23" max="23" width="29.5" style="284" customWidth="1"/>
  </cols>
  <sheetData>
    <row r="1" spans="1:23" ht="15.75" customHeight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281"/>
      <c r="W1" s="281"/>
    </row>
    <row r="2" spans="1:23" ht="15.75" customHeight="1">
      <c r="A2" s="100"/>
      <c r="B2" s="100"/>
      <c r="C2" s="100"/>
      <c r="D2" s="100"/>
      <c r="E2" s="100"/>
      <c r="F2" s="101" t="s">
        <v>0</v>
      </c>
      <c r="G2" s="100"/>
      <c r="H2" s="100"/>
      <c r="I2" s="100"/>
      <c r="J2" s="100"/>
      <c r="K2" s="100"/>
      <c r="L2" s="596" t="s">
        <v>1</v>
      </c>
      <c r="M2" s="595"/>
      <c r="N2" s="158"/>
      <c r="O2" s="158"/>
      <c r="P2" s="158"/>
      <c r="Q2" s="158"/>
      <c r="R2" s="158"/>
      <c r="S2" s="158"/>
      <c r="T2" s="100"/>
      <c r="U2" s="100"/>
      <c r="V2" s="282" t="s">
        <v>2</v>
      </c>
      <c r="W2" s="281"/>
    </row>
    <row r="3" spans="1:23" ht="15.75" customHeight="1">
      <c r="A3" s="100"/>
      <c r="B3" s="100"/>
      <c r="C3" s="100"/>
      <c r="D3" s="100"/>
      <c r="E3" s="100"/>
      <c r="F3" s="101" t="s">
        <v>3</v>
      </c>
      <c r="G3" s="100"/>
      <c r="H3" s="100"/>
      <c r="I3" s="100"/>
      <c r="J3" s="100"/>
      <c r="K3" s="100"/>
      <c r="L3" s="158"/>
      <c r="M3" s="158"/>
      <c r="N3" s="158"/>
      <c r="O3" s="158"/>
      <c r="P3" s="158"/>
      <c r="Q3" s="158"/>
      <c r="R3" s="158" t="s">
        <v>4</v>
      </c>
      <c r="S3" s="159">
        <v>1.28</v>
      </c>
      <c r="T3" s="100"/>
      <c r="U3" s="100"/>
      <c r="V3" s="282" t="s">
        <v>5</v>
      </c>
      <c r="W3" s="283" t="s">
        <v>6</v>
      </c>
    </row>
    <row r="4" spans="1:23" ht="15.75" customHeight="1">
      <c r="A4" s="100"/>
      <c r="B4" s="100"/>
      <c r="C4" s="100"/>
      <c r="D4" s="100"/>
      <c r="E4" s="100"/>
      <c r="F4" s="101" t="s">
        <v>7</v>
      </c>
      <c r="G4" s="100"/>
      <c r="H4" s="100"/>
      <c r="I4" s="100"/>
      <c r="J4" s="100"/>
      <c r="K4" s="100"/>
      <c r="L4" s="158"/>
      <c r="M4" s="158"/>
      <c r="N4" s="160" t="s">
        <v>8</v>
      </c>
      <c r="O4" s="158"/>
      <c r="P4" s="158"/>
      <c r="Q4" s="158"/>
      <c r="R4" s="158"/>
      <c r="S4" s="158"/>
      <c r="T4" s="100"/>
      <c r="U4" s="100"/>
      <c r="V4" s="586" t="s">
        <v>9</v>
      </c>
      <c r="W4" s="587"/>
    </row>
    <row r="5" spans="1:23" ht="15.75" customHeight="1">
      <c r="A5" s="100"/>
      <c r="B5" s="100"/>
      <c r="C5" s="100"/>
      <c r="D5" s="100"/>
      <c r="E5" s="100"/>
      <c r="F5" s="100" t="s">
        <v>10</v>
      </c>
      <c r="G5" s="100"/>
      <c r="H5" s="100"/>
      <c r="I5" s="100"/>
      <c r="J5" s="100"/>
      <c r="K5" s="100"/>
      <c r="L5" s="158" t="s">
        <v>11</v>
      </c>
      <c r="M5" s="275">
        <f>-'11 Forward OPEX 250728'!G84</f>
        <v>-84340.335233817939</v>
      </c>
      <c r="N5" s="275">
        <v>6</v>
      </c>
      <c r="O5" s="278">
        <f>+N5*M5</f>
        <v>-506042.01140290766</v>
      </c>
      <c r="P5" s="593"/>
      <c r="Q5" s="595"/>
      <c r="R5" s="158"/>
      <c r="S5" s="158"/>
      <c r="T5" s="100"/>
      <c r="U5" s="100"/>
      <c r="V5" s="586" t="s">
        <v>12</v>
      </c>
      <c r="W5" s="587"/>
    </row>
    <row r="6" spans="1:23" ht="15.75" customHeight="1">
      <c r="A6" s="100"/>
      <c r="B6" s="100"/>
      <c r="C6" s="100"/>
      <c r="D6" s="100"/>
      <c r="E6" s="100"/>
      <c r="F6" s="575" t="s">
        <v>13</v>
      </c>
      <c r="G6" s="577"/>
      <c r="H6" s="100"/>
      <c r="I6" s="100"/>
      <c r="J6" s="100"/>
      <c r="K6" s="100"/>
      <c r="L6" s="158" t="s">
        <v>14</v>
      </c>
      <c r="M6" s="275" t="s">
        <v>15</v>
      </c>
      <c r="N6" s="275">
        <v>1</v>
      </c>
      <c r="O6" s="278">
        <f>+N6*M6</f>
        <v>-367300</v>
      </c>
      <c r="P6" s="593"/>
      <c r="Q6" s="595"/>
      <c r="R6" s="158"/>
      <c r="S6" s="158"/>
      <c r="T6" s="100"/>
      <c r="U6" s="100"/>
      <c r="V6" s="586" t="s">
        <v>16</v>
      </c>
      <c r="W6" s="587"/>
    </row>
    <row r="7" spans="1:23" ht="15.75" customHeight="1">
      <c r="A7" s="100"/>
      <c r="B7" s="100"/>
      <c r="C7" s="100"/>
      <c r="D7" s="103"/>
      <c r="E7" s="100"/>
      <c r="F7" s="100"/>
      <c r="G7" s="100"/>
      <c r="H7" s="100"/>
      <c r="I7" s="100"/>
      <c r="J7" s="100"/>
      <c r="K7" s="100"/>
      <c r="L7" s="158"/>
      <c r="M7" s="276"/>
      <c r="N7" s="276"/>
      <c r="O7" s="278">
        <f>SUM(O5:O6)</f>
        <v>-873342.01140290766</v>
      </c>
      <c r="P7" s="158"/>
      <c r="Q7" s="158"/>
      <c r="R7" s="158"/>
      <c r="S7" s="158"/>
      <c r="T7" s="100"/>
      <c r="U7" s="100"/>
      <c r="V7" s="586" t="s">
        <v>17</v>
      </c>
      <c r="W7" s="587"/>
    </row>
    <row r="8" spans="1:23" ht="15.75" customHeight="1">
      <c r="A8" s="100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58"/>
      <c r="M8" s="158"/>
      <c r="N8" s="158"/>
      <c r="O8" s="279"/>
      <c r="P8" s="158"/>
      <c r="Q8" s="158"/>
      <c r="R8" s="158"/>
      <c r="S8" s="158"/>
      <c r="T8" s="100"/>
      <c r="U8" s="100"/>
      <c r="V8" s="586" t="s">
        <v>18</v>
      </c>
      <c r="W8" s="587"/>
    </row>
    <row r="9" spans="1:23" ht="15.75" customHeight="1">
      <c r="A9" s="100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58"/>
      <c r="M9" s="158"/>
      <c r="N9" s="158"/>
      <c r="O9" s="279"/>
      <c r="P9" s="158"/>
      <c r="Q9" s="158"/>
      <c r="R9" s="158"/>
      <c r="S9" s="158"/>
      <c r="T9" s="100"/>
      <c r="U9" s="100"/>
      <c r="V9" s="586" t="s">
        <v>19</v>
      </c>
      <c r="W9" s="587"/>
    </row>
    <row r="10" spans="1:23" ht="15.75" customHeight="1">
      <c r="A10" s="100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273" t="s">
        <v>20</v>
      </c>
      <c r="M10" s="274" t="s">
        <v>21</v>
      </c>
      <c r="N10" s="274">
        <v>1</v>
      </c>
      <c r="O10" s="278">
        <f>+N10*M10</f>
        <v>1258500</v>
      </c>
      <c r="P10" s="158"/>
      <c r="Q10" s="158"/>
      <c r="R10" s="158"/>
      <c r="S10" s="158"/>
      <c r="T10" s="100"/>
      <c r="U10" s="100"/>
      <c r="V10" s="281"/>
      <c r="W10" s="281"/>
    </row>
    <row r="11" spans="1:23" ht="15.75" customHeight="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273" t="s">
        <v>22</v>
      </c>
      <c r="M11" s="274" t="s">
        <v>23</v>
      </c>
      <c r="N11" s="274">
        <v>1</v>
      </c>
      <c r="O11" s="278">
        <f t="shared" ref="O11:O12" si="0">+N11*M11</f>
        <v>367300.02</v>
      </c>
      <c r="P11" s="158"/>
      <c r="Q11" s="158"/>
      <c r="R11" s="158"/>
      <c r="S11" s="158"/>
      <c r="T11" s="100"/>
      <c r="U11" s="100"/>
      <c r="V11" s="281"/>
      <c r="W11" s="281"/>
    </row>
    <row r="12" spans="1:23" ht="15.75" customHeight="1">
      <c r="A12" s="100"/>
      <c r="B12" s="100"/>
      <c r="C12" s="100"/>
      <c r="D12" s="104"/>
      <c r="E12" s="100"/>
      <c r="F12" s="100"/>
      <c r="G12" s="100"/>
      <c r="H12" s="100"/>
      <c r="I12" s="100"/>
      <c r="J12" s="100"/>
      <c r="K12" s="100"/>
      <c r="L12" s="273" t="s">
        <v>24</v>
      </c>
      <c r="M12" s="274" t="s">
        <v>25</v>
      </c>
      <c r="N12" s="274">
        <v>1</v>
      </c>
      <c r="O12" s="278">
        <f t="shared" si="0"/>
        <v>119885.38</v>
      </c>
      <c r="P12" s="593"/>
      <c r="Q12" s="594"/>
      <c r="R12" s="595"/>
      <c r="S12" s="158"/>
      <c r="T12" s="100"/>
      <c r="U12" s="100"/>
      <c r="V12" s="282" t="s">
        <v>11</v>
      </c>
      <c r="W12" s="281"/>
    </row>
    <row r="13" spans="1:23" ht="15.75" customHeight="1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273"/>
      <c r="M13" s="273"/>
      <c r="N13" s="273"/>
      <c r="O13" s="278">
        <f>SUM(O10:O12)</f>
        <v>1745685.4</v>
      </c>
      <c r="P13" s="158"/>
      <c r="Q13" s="158"/>
      <c r="R13" s="158"/>
      <c r="S13" s="158"/>
      <c r="T13" s="100"/>
      <c r="U13" s="100"/>
      <c r="V13" s="281" t="s">
        <v>26</v>
      </c>
      <c r="W13" s="281"/>
    </row>
    <row r="14" spans="1:23" ht="15.75" customHeight="1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273"/>
      <c r="M14" s="273"/>
      <c r="N14" s="273"/>
      <c r="O14" s="279"/>
      <c r="P14" s="158"/>
      <c r="Q14" s="158"/>
      <c r="R14" s="158"/>
      <c r="S14" s="158"/>
      <c r="T14" s="100"/>
      <c r="U14" s="100"/>
      <c r="V14" s="586" t="s">
        <v>27</v>
      </c>
      <c r="W14" s="587"/>
    </row>
    <row r="15" spans="1:23" ht="15.75" customHeight="1">
      <c r="A15" s="100"/>
      <c r="B15" s="100"/>
      <c r="C15" s="100"/>
      <c r="D15" s="104"/>
      <c r="E15" s="100"/>
      <c r="F15" s="100"/>
      <c r="G15" s="100"/>
      <c r="H15" s="100"/>
      <c r="I15" s="100"/>
      <c r="J15" s="100"/>
      <c r="K15" s="100"/>
      <c r="L15" s="584" t="s">
        <v>28</v>
      </c>
      <c r="M15" s="585"/>
      <c r="N15" s="273"/>
      <c r="O15" s="280">
        <f>+O13+O7</f>
        <v>872343.38859709224</v>
      </c>
      <c r="P15" s="158"/>
      <c r="Q15" s="158"/>
      <c r="R15" s="158"/>
      <c r="S15" s="158"/>
      <c r="T15" s="100"/>
      <c r="U15" s="100"/>
      <c r="V15" s="586" t="s">
        <v>29</v>
      </c>
      <c r="W15" s="587"/>
    </row>
    <row r="16" spans="1:23" ht="15.75" customHeight="1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281"/>
      <c r="W16" s="281"/>
    </row>
    <row r="17" spans="1:23" ht="15.75" customHeight="1">
      <c r="A17" s="100"/>
      <c r="B17" s="100"/>
      <c r="C17" s="174"/>
      <c r="D17" s="174"/>
      <c r="E17" s="100"/>
      <c r="F17" s="100"/>
      <c r="G17" s="100"/>
      <c r="H17" s="100"/>
      <c r="I17" s="100"/>
      <c r="J17" s="100"/>
      <c r="K17" s="100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281"/>
      <c r="W17" s="281"/>
    </row>
    <row r="18" spans="1:23" ht="15.75" customHeight="1">
      <c r="A18" s="100"/>
      <c r="B18" s="100"/>
      <c r="C18" s="174"/>
      <c r="D18" s="174"/>
      <c r="E18" s="100"/>
      <c r="F18" s="100"/>
      <c r="G18" s="100"/>
      <c r="H18" s="100"/>
      <c r="I18" s="100"/>
      <c r="J18" s="100"/>
      <c r="K18" s="100"/>
      <c r="L18" s="164" t="s">
        <v>30</v>
      </c>
      <c r="M18" s="285">
        <v>1</v>
      </c>
      <c r="N18" s="290" t="s">
        <v>31</v>
      </c>
      <c r="O18" s="164"/>
      <c r="P18" s="164"/>
      <c r="Q18" s="164"/>
      <c r="R18" s="164"/>
      <c r="S18" s="164"/>
      <c r="T18" s="164"/>
      <c r="U18" s="164"/>
      <c r="V18" s="281"/>
      <c r="W18" s="281"/>
    </row>
    <row r="19" spans="1:23" ht="15.75" customHeight="1" thickBot="1">
      <c r="A19" s="100"/>
      <c r="B19" s="100"/>
      <c r="C19" s="106"/>
      <c r="D19" s="106"/>
      <c r="E19" s="100"/>
      <c r="F19" s="100"/>
      <c r="G19" s="100"/>
      <c r="H19" s="100"/>
      <c r="I19" s="100"/>
      <c r="J19" s="100"/>
      <c r="K19" s="100"/>
      <c r="L19" s="164"/>
      <c r="M19" s="164"/>
      <c r="N19" s="164"/>
      <c r="O19" s="164"/>
      <c r="P19" s="164"/>
      <c r="Q19" s="164"/>
      <c r="R19" s="164"/>
      <c r="S19" s="164"/>
      <c r="T19" s="164"/>
      <c r="U19" s="164"/>
      <c r="V19" s="282" t="s">
        <v>32</v>
      </c>
      <c r="W19" s="281"/>
    </row>
    <row r="20" spans="1:23" ht="15.7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386" t="s">
        <v>33</v>
      </c>
      <c r="L20" s="304" t="s">
        <v>34</v>
      </c>
      <c r="M20" s="166"/>
      <c r="N20" s="166"/>
      <c r="O20" s="166"/>
      <c r="P20" s="166"/>
      <c r="Q20" s="166"/>
      <c r="R20" s="166"/>
      <c r="S20" s="166"/>
      <c r="T20" s="166"/>
      <c r="U20" s="167"/>
      <c r="V20" s="592" t="s">
        <v>35</v>
      </c>
      <c r="W20" s="587"/>
    </row>
    <row r="21" spans="1:23" ht="15.75" customHeight="1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386"/>
      <c r="L21" s="591" t="s">
        <v>36</v>
      </c>
      <c r="M21" s="576"/>
      <c r="N21" s="576"/>
      <c r="O21" s="576"/>
      <c r="P21" s="577"/>
      <c r="Q21" s="100"/>
      <c r="R21" s="100"/>
      <c r="S21" s="100"/>
      <c r="T21" s="100"/>
      <c r="U21" s="168"/>
      <c r="V21" s="592" t="s">
        <v>37</v>
      </c>
      <c r="W21" s="587"/>
    </row>
    <row r="22" spans="1:23" ht="15.75" customHeight="1">
      <c r="A22" s="581" t="s">
        <v>38</v>
      </c>
      <c r="B22" s="576"/>
      <c r="C22" s="576"/>
      <c r="D22" s="577"/>
      <c r="E22" s="100"/>
      <c r="F22" s="100"/>
      <c r="G22" s="100"/>
      <c r="H22" s="100"/>
      <c r="I22" s="100"/>
      <c r="J22" s="100"/>
      <c r="K22" s="386"/>
      <c r="L22" s="169" t="s">
        <v>39</v>
      </c>
      <c r="M22" s="161">
        <f>-M5</f>
        <v>84340.335233817939</v>
      </c>
      <c r="N22" s="102">
        <v>6</v>
      </c>
      <c r="O22" s="163">
        <f>+N22*M22</f>
        <v>506042.01140290766</v>
      </c>
      <c r="P22" s="100"/>
      <c r="Q22" s="100"/>
      <c r="R22" s="100"/>
      <c r="S22" s="100"/>
      <c r="T22" s="100"/>
      <c r="U22" s="168"/>
      <c r="V22" s="592" t="s">
        <v>40</v>
      </c>
      <c r="W22" s="587"/>
    </row>
    <row r="23" spans="1:23" ht="15.7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386"/>
      <c r="L23" s="169" t="s">
        <v>14</v>
      </c>
      <c r="M23" s="161">
        <f>-'04 MFG Batch 0001 Cost (330pc)'!E17</f>
        <v>-368874.77524878469</v>
      </c>
      <c r="N23" s="102">
        <v>1</v>
      </c>
      <c r="O23" s="163">
        <f>+N23*M23</f>
        <v>-368874.77524878469</v>
      </c>
      <c r="P23" s="100"/>
      <c r="Q23" s="100"/>
      <c r="R23" s="100"/>
      <c r="S23" s="100"/>
      <c r="T23" s="100"/>
      <c r="U23" s="168"/>
      <c r="V23" s="592" t="s">
        <v>41</v>
      </c>
      <c r="W23" s="587"/>
    </row>
    <row r="24" spans="1:23" ht="15.75" customHeight="1">
      <c r="A24" s="100"/>
      <c r="B24" s="101" t="s">
        <v>42</v>
      </c>
      <c r="C24" s="101" t="s">
        <v>43</v>
      </c>
      <c r="D24" s="101" t="s">
        <v>44</v>
      </c>
      <c r="E24" s="100"/>
      <c r="F24" s="100"/>
      <c r="G24" s="100"/>
      <c r="H24" s="100"/>
      <c r="I24" s="100"/>
      <c r="J24" s="100"/>
      <c r="K24" s="386"/>
      <c r="L24" s="169" t="s">
        <v>45</v>
      </c>
      <c r="M24" s="161">
        <f>-(28000+8500)</f>
        <v>-36500</v>
      </c>
      <c r="N24" s="102">
        <v>1</v>
      </c>
      <c r="O24" s="163">
        <f>+N24*M24</f>
        <v>-36500</v>
      </c>
      <c r="P24" s="575" t="s">
        <v>46</v>
      </c>
      <c r="Q24" s="576"/>
      <c r="R24" s="576"/>
      <c r="S24" s="576"/>
      <c r="T24" s="577"/>
      <c r="U24" s="168"/>
      <c r="V24" s="592" t="s">
        <v>47</v>
      </c>
      <c r="W24" s="587"/>
    </row>
    <row r="25" spans="1:23" ht="15.75" customHeight="1">
      <c r="A25" s="101" t="s">
        <v>48</v>
      </c>
      <c r="B25" s="102">
        <v>200</v>
      </c>
      <c r="C25" s="102" t="s">
        <v>49</v>
      </c>
      <c r="D25" s="102" t="s">
        <v>50</v>
      </c>
      <c r="E25" s="575" t="s">
        <v>51</v>
      </c>
      <c r="F25" s="577"/>
      <c r="G25" s="100"/>
      <c r="H25" s="100"/>
      <c r="I25" s="100"/>
      <c r="J25" s="100"/>
      <c r="K25" s="386"/>
      <c r="L25" s="588" t="s">
        <v>52</v>
      </c>
      <c r="M25" s="589"/>
      <c r="N25" s="590"/>
      <c r="O25" s="277">
        <f>SUM(O22:O24)</f>
        <v>100667.23615412298</v>
      </c>
      <c r="P25" s="180">
        <f>ROUNDUP(O25-O24-O22,0)</f>
        <v>-368875</v>
      </c>
      <c r="Q25" s="101" t="s">
        <v>53</v>
      </c>
      <c r="R25" s="100"/>
      <c r="S25" s="100"/>
      <c r="T25" s="100"/>
      <c r="U25" s="168"/>
      <c r="V25" s="383" t="s">
        <v>54</v>
      </c>
      <c r="W25" s="281"/>
    </row>
    <row r="26" spans="1:23" ht="15.75" customHeight="1">
      <c r="A26" s="100"/>
      <c r="B26" s="102">
        <v>100</v>
      </c>
      <c r="C26" s="102" t="s">
        <v>55</v>
      </c>
      <c r="D26" s="102" t="s">
        <v>56</v>
      </c>
      <c r="E26" s="100"/>
      <c r="F26" s="100"/>
      <c r="G26" s="100"/>
      <c r="H26" s="100"/>
      <c r="I26" s="100"/>
      <c r="J26" s="100"/>
      <c r="K26" s="386"/>
      <c r="L26" s="169"/>
      <c r="M26" s="100"/>
      <c r="N26" s="100"/>
      <c r="O26" s="180"/>
      <c r="P26" s="100"/>
      <c r="Q26" s="100"/>
      <c r="R26" s="100"/>
      <c r="S26" s="100"/>
      <c r="T26" s="100"/>
      <c r="U26" s="168"/>
      <c r="V26" s="383"/>
      <c r="W26" s="281"/>
    </row>
    <row r="27" spans="1:23" ht="15.75" customHeight="1">
      <c r="A27" s="100"/>
      <c r="B27" s="107">
        <v>300</v>
      </c>
      <c r="C27" s="104"/>
      <c r="D27" s="108" t="s">
        <v>21</v>
      </c>
      <c r="E27" s="100"/>
      <c r="F27" s="100"/>
      <c r="G27" s="100"/>
      <c r="H27" s="100"/>
      <c r="I27" s="100"/>
      <c r="J27" s="100"/>
      <c r="K27" s="386"/>
      <c r="L27" s="591" t="s">
        <v>57</v>
      </c>
      <c r="M27" s="576"/>
      <c r="N27" s="576"/>
      <c r="O27" s="577"/>
      <c r="P27" s="100"/>
      <c r="Q27" s="100"/>
      <c r="R27" s="100"/>
      <c r="S27" s="100"/>
      <c r="T27" s="100"/>
      <c r="U27" s="168"/>
      <c r="V27" s="383"/>
      <c r="W27" s="281"/>
    </row>
    <row r="28" spans="1:23" ht="15.7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386"/>
      <c r="L28" s="583" t="s">
        <v>58</v>
      </c>
      <c r="M28" s="577"/>
      <c r="N28" s="100">
        <v>300</v>
      </c>
      <c r="O28" s="162">
        <f>(200*('02 Rev Forecasts; Internal KPIs'!E15*0.85))+(100*'02 Rev Forecasts; Internal KPIs'!E6)</f>
        <v>1258500</v>
      </c>
      <c r="P28" s="575" t="s">
        <v>59</v>
      </c>
      <c r="Q28" s="576"/>
      <c r="R28" s="576"/>
      <c r="S28" s="577"/>
      <c r="T28" s="100"/>
      <c r="U28" s="168"/>
      <c r="V28" s="383"/>
      <c r="W28" s="281"/>
    </row>
    <row r="29" spans="1:23" ht="15.75" customHeight="1">
      <c r="A29" s="101" t="s">
        <v>60</v>
      </c>
      <c r="B29" s="102">
        <v>250</v>
      </c>
      <c r="C29" s="102" t="s">
        <v>49</v>
      </c>
      <c r="D29" s="102" t="s">
        <v>61</v>
      </c>
      <c r="E29" s="575" t="s">
        <v>51</v>
      </c>
      <c r="F29" s="577"/>
      <c r="G29" s="100"/>
      <c r="H29" s="100"/>
      <c r="I29" s="100"/>
      <c r="J29" s="100"/>
      <c r="K29" s="386"/>
      <c r="L29" s="169"/>
      <c r="M29" s="100"/>
      <c r="N29" s="100"/>
      <c r="O29" s="161"/>
      <c r="P29" s="100"/>
      <c r="Q29" s="100"/>
      <c r="R29" s="100"/>
      <c r="S29" s="100"/>
      <c r="T29" s="100"/>
      <c r="U29" s="168"/>
      <c r="V29" s="383"/>
      <c r="W29" s="281"/>
    </row>
    <row r="30" spans="1:23" ht="15.75" customHeight="1">
      <c r="A30" s="100"/>
      <c r="B30" s="102">
        <v>300</v>
      </c>
      <c r="C30" s="102" t="s">
        <v>55</v>
      </c>
      <c r="D30" s="102" t="s">
        <v>62</v>
      </c>
      <c r="E30" s="100"/>
      <c r="F30" s="100"/>
      <c r="G30" s="100"/>
      <c r="H30" s="100"/>
      <c r="I30" s="100"/>
      <c r="J30" s="100"/>
      <c r="K30" s="386"/>
      <c r="L30" s="169"/>
      <c r="M30" s="100"/>
      <c r="N30" s="100"/>
      <c r="O30" s="161"/>
      <c r="P30" s="100"/>
      <c r="Q30" s="100"/>
      <c r="R30" s="100"/>
      <c r="S30" s="100"/>
      <c r="T30" s="100"/>
      <c r="U30" s="168"/>
      <c r="V30" s="383"/>
      <c r="W30" s="281"/>
    </row>
    <row r="31" spans="1:23" ht="15.75" customHeight="1">
      <c r="A31" s="100"/>
      <c r="B31" s="107">
        <v>550</v>
      </c>
      <c r="C31" s="104"/>
      <c r="D31" s="108" t="s">
        <v>63</v>
      </c>
      <c r="E31" s="100"/>
      <c r="F31" s="100"/>
      <c r="G31" s="100"/>
      <c r="H31" s="100"/>
      <c r="I31" s="100"/>
      <c r="J31" s="100"/>
      <c r="K31" s="386"/>
      <c r="L31" s="169" t="s">
        <v>64</v>
      </c>
      <c r="M31" s="161">
        <f>+M5</f>
        <v>-84340.335233817939</v>
      </c>
      <c r="N31" s="102">
        <v>3</v>
      </c>
      <c r="O31" s="163">
        <f>+N31*M31</f>
        <v>-253021.00570145383</v>
      </c>
      <c r="P31" s="575" t="s">
        <v>65</v>
      </c>
      <c r="Q31" s="576"/>
      <c r="R31" s="577"/>
      <c r="S31" s="100"/>
      <c r="T31" s="100"/>
      <c r="U31" s="168"/>
      <c r="V31" s="383"/>
      <c r="W31" s="281"/>
    </row>
    <row r="32" spans="1:23" ht="15.7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386"/>
      <c r="L32" s="169" t="s">
        <v>66</v>
      </c>
      <c r="M32" s="161">
        <v>-1009</v>
      </c>
      <c r="N32" s="102">
        <f>900*M18</f>
        <v>900</v>
      </c>
      <c r="O32" s="163">
        <f>+N32*M32</f>
        <v>-908100</v>
      </c>
      <c r="P32" s="575" t="s">
        <v>67</v>
      </c>
      <c r="Q32" s="576"/>
      <c r="R32" s="576"/>
      <c r="S32" s="576"/>
      <c r="T32" s="577"/>
      <c r="U32" s="168"/>
      <c r="V32" s="383"/>
      <c r="W32" s="281"/>
    </row>
    <row r="33" spans="1:23" ht="15.7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386"/>
      <c r="L33" s="169"/>
      <c r="M33" s="100"/>
      <c r="N33" s="100"/>
      <c r="O33" s="162"/>
      <c r="P33" s="100"/>
      <c r="Q33" s="100"/>
      <c r="R33" s="100"/>
      <c r="S33" s="100"/>
      <c r="T33" s="100"/>
      <c r="U33" s="168"/>
      <c r="V33" s="383"/>
      <c r="W33" s="281"/>
    </row>
    <row r="34" spans="1:23" ht="15.75" customHeight="1">
      <c r="A34" s="109" t="s">
        <v>68</v>
      </c>
      <c r="B34" s="109">
        <v>850</v>
      </c>
      <c r="C34" s="106"/>
      <c r="D34" s="109" t="s">
        <v>69</v>
      </c>
      <c r="E34" s="575" t="s">
        <v>70</v>
      </c>
      <c r="F34" s="576"/>
      <c r="G34" s="576"/>
      <c r="H34" s="577"/>
      <c r="I34" s="100"/>
      <c r="J34" s="100"/>
      <c r="K34" s="386"/>
      <c r="L34" s="169"/>
      <c r="M34" s="100"/>
      <c r="N34" s="100"/>
      <c r="O34" s="163">
        <f>SUM(O31:O33)</f>
        <v>-1161121.0057014539</v>
      </c>
      <c r="P34" s="100"/>
      <c r="Q34" s="100"/>
      <c r="R34" s="100"/>
      <c r="S34" s="100"/>
      <c r="T34" s="100"/>
      <c r="U34" s="168"/>
      <c r="V34" s="383"/>
      <c r="W34" s="281"/>
    </row>
    <row r="35" spans="1:23" ht="15.7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386"/>
      <c r="L35" s="169"/>
      <c r="M35" s="100"/>
      <c r="N35" s="100"/>
      <c r="O35" s="161"/>
      <c r="P35" s="100"/>
      <c r="Q35" s="100"/>
      <c r="R35" s="100"/>
      <c r="S35" s="100"/>
      <c r="T35" s="100"/>
      <c r="U35" s="168"/>
      <c r="V35" s="383"/>
      <c r="W35" s="281"/>
    </row>
    <row r="36" spans="1:23" ht="15.7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386"/>
      <c r="L36" s="269" t="s">
        <v>71</v>
      </c>
      <c r="M36" s="101"/>
      <c r="N36" s="101"/>
      <c r="O36" s="270">
        <f>+O28+O34</f>
        <v>97378.994298546109</v>
      </c>
      <c r="P36" s="100"/>
      <c r="Q36" s="100"/>
      <c r="R36" s="100"/>
      <c r="S36" s="100"/>
      <c r="T36" s="100"/>
      <c r="U36" s="168"/>
      <c r="V36" s="383"/>
      <c r="W36" s="281"/>
    </row>
    <row r="37" spans="1:23" ht="15.75" customHeight="1" thickBo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386"/>
      <c r="L37" s="170"/>
      <c r="M37" s="171"/>
      <c r="N37" s="171"/>
      <c r="O37" s="171"/>
      <c r="P37" s="171"/>
      <c r="Q37" s="171"/>
      <c r="R37" s="171"/>
      <c r="S37" s="171"/>
      <c r="T37" s="171"/>
      <c r="U37" s="172"/>
      <c r="V37" s="383"/>
      <c r="W37" s="281"/>
    </row>
    <row r="38" spans="1:23" ht="15.75" customHeight="1" thickBo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386"/>
      <c r="L38" s="1"/>
      <c r="M38" s="1"/>
      <c r="N38" s="1"/>
      <c r="O38" s="1"/>
      <c r="P38" s="173"/>
      <c r="Q38" s="174"/>
      <c r="R38" s="174"/>
      <c r="S38" s="174"/>
      <c r="T38" s="174"/>
      <c r="U38" s="175"/>
      <c r="V38" s="383"/>
      <c r="W38" s="281"/>
    </row>
    <row r="39" spans="1:23" ht="15.7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386" t="s">
        <v>72</v>
      </c>
      <c r="L39" s="578" t="s">
        <v>73</v>
      </c>
      <c r="M39" s="579"/>
      <c r="N39" s="579"/>
      <c r="O39" s="579"/>
      <c r="P39" s="580"/>
      <c r="Q39" s="166"/>
      <c r="R39" s="166"/>
      <c r="S39" s="166"/>
      <c r="T39" s="166"/>
      <c r="U39" s="167"/>
      <c r="V39" s="383"/>
      <c r="W39" s="281"/>
    </row>
    <row r="40" spans="1:23" ht="15.7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386"/>
      <c r="L40" s="169" t="s">
        <v>74</v>
      </c>
      <c r="M40" s="100"/>
      <c r="N40" s="100">
        <f>900*M18</f>
        <v>900</v>
      </c>
      <c r="O40" s="162">
        <f>(+(600*'02 Rev Forecasts; Internal KPIs'!E15*0.85)+300*'02 Rev Forecasts; Internal KPIs'!E6)*M18</f>
        <v>3775500</v>
      </c>
      <c r="P40" s="575" t="s">
        <v>75</v>
      </c>
      <c r="Q40" s="576"/>
      <c r="R40" s="576"/>
      <c r="S40" s="577"/>
      <c r="T40" s="100"/>
      <c r="U40" s="168"/>
      <c r="V40" s="383"/>
      <c r="W40" s="281"/>
    </row>
    <row r="41" spans="1:23" ht="15.7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386"/>
      <c r="L41" s="169" t="s">
        <v>76</v>
      </c>
      <c r="M41" s="100"/>
      <c r="N41" s="100">
        <f>2100*M18</f>
        <v>2100</v>
      </c>
      <c r="O41" s="162">
        <f>(+'02 Rev Forecasts; Internal KPIs'!C33-'Cashflow Projection'!O28-'Cashflow Projection'!O40)*M18</f>
        <v>7355500</v>
      </c>
      <c r="P41" s="386" t="s">
        <v>77</v>
      </c>
      <c r="Q41" s="380"/>
      <c r="R41" s="380"/>
      <c r="S41" s="381"/>
      <c r="T41" s="100"/>
      <c r="U41" s="168"/>
      <c r="V41" s="383"/>
      <c r="W41" s="281"/>
    </row>
    <row r="42" spans="1:23" ht="15.7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386"/>
      <c r="L42" s="169" t="s">
        <v>78</v>
      </c>
      <c r="M42" s="161"/>
      <c r="N42" s="179">
        <f>+'02 Rev Forecasts; Internal KPIs'!B34*M18</f>
        <v>4000</v>
      </c>
      <c r="O42" s="162">
        <f>(+'02 Rev Forecasts; Internal KPIs'!C34-('02 Rev Forecasts; Internal KPIs'!C16*0.15))*M18</f>
        <v>15490200</v>
      </c>
      <c r="P42" s="100" t="s">
        <v>79</v>
      </c>
      <c r="Q42" s="100"/>
      <c r="R42" s="100"/>
      <c r="S42" s="100"/>
      <c r="T42" s="100"/>
      <c r="U42" s="168"/>
      <c r="V42" s="383"/>
      <c r="W42" s="281"/>
    </row>
    <row r="43" spans="1:23" ht="15.7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386"/>
      <c r="L43" s="169" t="s">
        <v>80</v>
      </c>
      <c r="M43" s="161"/>
      <c r="N43" s="179">
        <v>5</v>
      </c>
      <c r="O43" s="162">
        <f>+O12*1</f>
        <v>119885.38</v>
      </c>
      <c r="P43" s="100" t="s">
        <v>81</v>
      </c>
      <c r="Q43" s="100"/>
      <c r="R43" s="100"/>
      <c r="S43" s="100"/>
      <c r="T43" s="100"/>
      <c r="U43" s="168"/>
      <c r="V43" s="383"/>
      <c r="W43" s="281"/>
    </row>
    <row r="44" spans="1:23" ht="15.7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386"/>
      <c r="L44" s="169"/>
      <c r="M44" s="161"/>
      <c r="N44" s="100"/>
      <c r="O44" s="180">
        <f>SUM(O40:O43)</f>
        <v>26741085.379999999</v>
      </c>
      <c r="P44" s="100"/>
      <c r="Q44" s="100"/>
      <c r="R44" s="100"/>
      <c r="S44" s="100"/>
      <c r="T44" s="100"/>
      <c r="U44" s="168"/>
      <c r="V44" s="383"/>
      <c r="W44" s="281"/>
    </row>
    <row r="45" spans="1:23" ht="15.7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386"/>
      <c r="L45" s="169"/>
      <c r="M45" s="161"/>
      <c r="N45" s="100"/>
      <c r="O45" s="100"/>
      <c r="P45" s="100"/>
      <c r="Q45" s="100"/>
      <c r="R45" s="100"/>
      <c r="S45" s="100"/>
      <c r="T45" s="100"/>
      <c r="U45" s="168"/>
      <c r="V45" s="383"/>
      <c r="W45" s="281"/>
    </row>
    <row r="46" spans="1:23" ht="15.7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386"/>
      <c r="L46" s="169" t="s">
        <v>82</v>
      </c>
      <c r="M46" s="161">
        <f>+M31*2</f>
        <v>-168680.67046763588</v>
      </c>
      <c r="N46" s="102">
        <v>12</v>
      </c>
      <c r="O46" s="163">
        <f>+N46*M46</f>
        <v>-2024168.0456116307</v>
      </c>
      <c r="P46" s="100" t="s">
        <v>83</v>
      </c>
      <c r="Q46" s="100"/>
      <c r="R46" s="100"/>
      <c r="S46" s="100"/>
      <c r="T46" s="100"/>
      <c r="U46" s="168"/>
      <c r="V46" s="383"/>
      <c r="W46" s="281"/>
    </row>
    <row r="47" spans="1:23" ht="15.7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386"/>
      <c r="L47" s="169" t="s">
        <v>84</v>
      </c>
      <c r="M47" s="161">
        <f>+M32</f>
        <v>-1009</v>
      </c>
      <c r="N47" s="110">
        <f>(+'02 Rev Forecasts; Internal KPIs'!B33-800-300-100)*M18</f>
        <v>2100</v>
      </c>
      <c r="O47" s="163">
        <f>+N47*M47</f>
        <v>-2118900</v>
      </c>
      <c r="P47" s="575" t="s">
        <v>85</v>
      </c>
      <c r="Q47" s="576"/>
      <c r="R47" s="576"/>
      <c r="S47" s="576"/>
      <c r="T47" s="576"/>
      <c r="U47" s="582"/>
      <c r="V47" s="383"/>
      <c r="W47" s="281"/>
    </row>
    <row r="48" spans="1:23" ht="15.7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386"/>
      <c r="L48" s="169" t="s">
        <v>86</v>
      </c>
      <c r="M48" s="161">
        <v>-868</v>
      </c>
      <c r="N48" s="110">
        <f>+'02 Rev Forecasts; Internal KPIs'!B34*M18</f>
        <v>4000</v>
      </c>
      <c r="O48" s="163">
        <f>+N48*M48</f>
        <v>-3472000</v>
      </c>
      <c r="P48" s="386" t="s">
        <v>87</v>
      </c>
      <c r="Q48" s="380"/>
      <c r="R48" s="380"/>
      <c r="S48" s="380"/>
      <c r="T48" s="380"/>
      <c r="U48" s="387"/>
      <c r="V48" s="383"/>
      <c r="W48" s="281"/>
    </row>
    <row r="49" spans="1:23" ht="15.7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386"/>
      <c r="L49" s="169" t="s">
        <v>88</v>
      </c>
      <c r="M49" s="161">
        <v>-750</v>
      </c>
      <c r="N49" s="110">
        <f>IF(M18&lt;&gt;0.25,+'02 Rev Forecasts; Internal KPIs'!B35*M18,+'02 Rev Forecasts; Internal KPIs'!B35*0.05)</f>
        <v>7000</v>
      </c>
      <c r="O49" s="163">
        <f>+N49*M49</f>
        <v>-5250000</v>
      </c>
      <c r="P49" s="386" t="s">
        <v>89</v>
      </c>
      <c r="Q49" s="380"/>
      <c r="R49" s="380"/>
      <c r="S49" s="380"/>
      <c r="T49" s="380"/>
      <c r="U49" s="387"/>
      <c r="V49" s="383"/>
      <c r="W49" s="281"/>
    </row>
    <row r="50" spans="1:23" ht="15.7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386"/>
      <c r="L50" s="169" t="s">
        <v>90</v>
      </c>
      <c r="M50" s="161">
        <f>-'10 Laser Balancing Int vs Ext'!B42</f>
        <v>-320248.8</v>
      </c>
      <c r="N50" s="100">
        <v>1</v>
      </c>
      <c r="O50" s="163">
        <f>M50*N50</f>
        <v>-320248.8</v>
      </c>
      <c r="P50" s="100" t="s">
        <v>91</v>
      </c>
      <c r="Q50" s="100"/>
      <c r="R50" s="100"/>
      <c r="S50" s="100"/>
      <c r="T50" s="100"/>
      <c r="U50" s="168"/>
      <c r="V50" s="383"/>
      <c r="W50" s="281"/>
    </row>
    <row r="51" spans="1:23" ht="15.7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386"/>
      <c r="L51" s="169" t="s">
        <v>92</v>
      </c>
      <c r="M51" s="161">
        <v>-150000</v>
      </c>
      <c r="N51" s="100">
        <v>2</v>
      </c>
      <c r="O51" s="163">
        <f>M51*N51</f>
        <v>-300000</v>
      </c>
      <c r="P51" s="100" t="s">
        <v>93</v>
      </c>
      <c r="Q51" s="100"/>
      <c r="R51" s="100"/>
      <c r="S51" s="100"/>
      <c r="T51" s="100"/>
      <c r="U51" s="168"/>
      <c r="V51" s="383"/>
      <c r="W51" s="281"/>
    </row>
    <row r="52" spans="1:23" ht="15.7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386"/>
      <c r="L52" s="388" t="s">
        <v>94</v>
      </c>
      <c r="M52" s="181">
        <f>-'Summary P&amp;L-USD Yr Jul_Jun Best'!M12*M18</f>
        <v>-1329244</v>
      </c>
      <c r="N52" s="100">
        <v>1</v>
      </c>
      <c r="O52" s="163">
        <f>M52*N52</f>
        <v>-1329244</v>
      </c>
      <c r="P52" s="100" t="s">
        <v>95</v>
      </c>
      <c r="Q52" s="100"/>
      <c r="R52" s="100"/>
      <c r="S52" s="100"/>
      <c r="T52" s="100"/>
      <c r="U52" s="168"/>
      <c r="V52" s="383"/>
      <c r="W52" s="281"/>
    </row>
    <row r="53" spans="1:23" ht="15.7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386"/>
      <c r="L53" s="388" t="s">
        <v>96</v>
      </c>
      <c r="M53" s="181">
        <f>(-'Summary P&amp;L-USD Yr Jul_Jun Best'!M13-'Summary P&amp;L-USD Yr Jul_Jun Best'!N13)*M18</f>
        <v>-1592729</v>
      </c>
      <c r="N53" s="100">
        <v>1</v>
      </c>
      <c r="O53" s="163">
        <f>M53*N53</f>
        <v>-1592729</v>
      </c>
      <c r="P53" s="291" t="s">
        <v>97</v>
      </c>
      <c r="Q53" s="100"/>
      <c r="R53" s="100"/>
      <c r="S53" s="100"/>
      <c r="T53" s="100"/>
      <c r="U53" s="168"/>
      <c r="V53" s="383"/>
      <c r="W53" s="281"/>
    </row>
    <row r="54" spans="1:23" ht="15.7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386"/>
      <c r="L54" s="583" t="s">
        <v>98</v>
      </c>
      <c r="M54" s="577"/>
      <c r="N54" s="100"/>
      <c r="O54" s="163">
        <v>-1500000</v>
      </c>
      <c r="P54" s="100" t="s">
        <v>99</v>
      </c>
      <c r="Q54" s="100"/>
      <c r="R54" s="100"/>
      <c r="S54" s="100"/>
      <c r="T54" s="100"/>
      <c r="U54" s="168"/>
      <c r="V54" s="383"/>
      <c r="W54" s="281"/>
    </row>
    <row r="55" spans="1:23" ht="15.7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386"/>
      <c r="L55" s="388"/>
      <c r="M55" s="381"/>
      <c r="N55" s="100"/>
      <c r="O55" s="163">
        <f>SUM(O46:O54)</f>
        <v>-17907289.845611632</v>
      </c>
      <c r="P55" s="100"/>
      <c r="Q55" s="100"/>
      <c r="R55" s="100"/>
      <c r="S55" s="100"/>
      <c r="T55" s="100"/>
      <c r="U55" s="168"/>
      <c r="V55" s="383"/>
      <c r="W55" s="281"/>
    </row>
    <row r="56" spans="1:23" ht="15.7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386"/>
      <c r="L56" s="169"/>
      <c r="M56" s="100"/>
      <c r="N56" s="100"/>
      <c r="O56" s="162"/>
      <c r="P56" s="100"/>
      <c r="Q56" s="100"/>
      <c r="R56" s="100"/>
      <c r="S56" s="100"/>
      <c r="T56" s="100"/>
      <c r="U56" s="168"/>
      <c r="V56" s="383"/>
      <c r="W56" s="281"/>
    </row>
    <row r="57" spans="1:23" ht="15.7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386"/>
      <c r="L57" s="269" t="s">
        <v>71</v>
      </c>
      <c r="M57" s="101"/>
      <c r="N57" s="101"/>
      <c r="O57" s="270">
        <f>+O44+O55</f>
        <v>8833795.5343883671</v>
      </c>
      <c r="P57" s="100"/>
      <c r="Q57" s="100"/>
      <c r="R57" s="100"/>
      <c r="S57" s="100"/>
      <c r="T57" s="100"/>
      <c r="U57" s="168"/>
      <c r="V57" s="383"/>
      <c r="W57" s="281"/>
    </row>
    <row r="58" spans="1:23" ht="14" thickBo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386"/>
      <c r="L58" s="170"/>
      <c r="M58" s="171"/>
      <c r="N58" s="171"/>
      <c r="O58" s="171"/>
      <c r="P58" s="171"/>
      <c r="Q58" s="171"/>
      <c r="R58" s="171"/>
      <c r="S58" s="171"/>
      <c r="T58" s="171"/>
      <c r="U58" s="172"/>
      <c r="V58" s="383"/>
      <c r="W58" s="281"/>
    </row>
    <row r="59" spans="1:23" ht="13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U59" s="165"/>
      <c r="V59" s="281"/>
      <c r="W59" s="281"/>
    </row>
    <row r="60" spans="1:23" ht="13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U60" s="100"/>
      <c r="V60" s="281"/>
      <c r="W60" s="281"/>
    </row>
    <row r="61" spans="1:23" ht="13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U61" s="100"/>
      <c r="V61" s="281"/>
      <c r="W61" s="281"/>
    </row>
    <row r="62" spans="1:23" ht="13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281"/>
      <c r="W62" s="281"/>
    </row>
    <row r="63" spans="1:23" ht="1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76"/>
      <c r="M63" s="177"/>
      <c r="N63" s="177"/>
      <c r="O63" s="178"/>
      <c r="P63" s="165"/>
      <c r="Q63" s="165"/>
      <c r="R63" s="165"/>
      <c r="S63" s="165"/>
      <c r="T63" s="165"/>
      <c r="U63" s="100"/>
      <c r="V63" s="281"/>
      <c r="W63" s="281"/>
    </row>
    <row r="64" spans="1:23" ht="13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575"/>
      <c r="M64" s="577"/>
      <c r="N64" s="100"/>
      <c r="O64" s="100"/>
      <c r="P64" s="100"/>
      <c r="Q64" s="100"/>
      <c r="R64" s="100"/>
      <c r="S64" s="100"/>
      <c r="T64" s="100"/>
      <c r="U64" s="100"/>
      <c r="V64" s="281"/>
      <c r="W64" s="281"/>
    </row>
    <row r="65" spans="1:23" ht="13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281"/>
      <c r="W65" s="281"/>
    </row>
    <row r="66" spans="1:23" ht="13">
      <c r="A66" s="581" t="s">
        <v>100</v>
      </c>
      <c r="B66" s="577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281"/>
      <c r="W66" s="281"/>
    </row>
    <row r="67" spans="1:23" ht="13">
      <c r="A67" s="100"/>
      <c r="B67" s="101" t="s">
        <v>101</v>
      </c>
      <c r="C67" s="101" t="s">
        <v>102</v>
      </c>
      <c r="D67" s="100"/>
      <c r="E67" s="100"/>
      <c r="F67" s="101" t="s">
        <v>103</v>
      </c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281"/>
      <c r="W67" s="281"/>
    </row>
    <row r="68" spans="1:23" ht="13">
      <c r="A68" s="101" t="s">
        <v>104</v>
      </c>
      <c r="B68" s="100"/>
      <c r="C68" s="100"/>
      <c r="D68" s="100"/>
      <c r="E68" s="100"/>
      <c r="F68" s="581"/>
      <c r="G68" s="576"/>
      <c r="H68" s="576"/>
      <c r="I68" s="576"/>
      <c r="J68" s="576"/>
      <c r="K68" s="576"/>
      <c r="L68" s="576"/>
      <c r="M68" s="576"/>
      <c r="N68" s="576"/>
      <c r="O68" s="576"/>
      <c r="P68" s="577"/>
      <c r="Q68" s="100"/>
      <c r="R68" s="100"/>
      <c r="S68" s="100"/>
      <c r="T68" s="100"/>
      <c r="U68" s="100"/>
      <c r="V68" s="281"/>
      <c r="W68" s="281"/>
    </row>
    <row r="69" spans="1:23" ht="13">
      <c r="A69" s="100" t="s">
        <v>105</v>
      </c>
      <c r="B69" s="100" t="s">
        <v>106</v>
      </c>
      <c r="C69" s="102">
        <v>100</v>
      </c>
      <c r="D69" s="102" t="s">
        <v>107</v>
      </c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281"/>
      <c r="W69" s="281"/>
    </row>
    <row r="70" spans="1:23" ht="13">
      <c r="A70" s="100" t="s">
        <v>108</v>
      </c>
      <c r="B70" s="100" t="s">
        <v>109</v>
      </c>
      <c r="C70" s="102">
        <v>300</v>
      </c>
      <c r="D70" s="102" t="s">
        <v>110</v>
      </c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281"/>
      <c r="W70" s="281"/>
    </row>
    <row r="71" spans="1:23" ht="13">
      <c r="A71" s="100"/>
      <c r="B71" s="100"/>
      <c r="C71" s="108">
        <v>400</v>
      </c>
      <c r="D71" s="108" t="s">
        <v>111</v>
      </c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281"/>
      <c r="W71" s="281"/>
    </row>
    <row r="72" spans="1:23" ht="13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281"/>
      <c r="W72" s="281"/>
    </row>
    <row r="73" spans="1:23" ht="1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281"/>
      <c r="W73" s="281"/>
    </row>
    <row r="74" spans="1:23" ht="13">
      <c r="A74" s="101" t="s">
        <v>112</v>
      </c>
      <c r="B74" s="100"/>
      <c r="C74" s="100"/>
      <c r="D74" s="100"/>
      <c r="E74" s="100"/>
      <c r="F74" s="581"/>
      <c r="G74" s="576"/>
      <c r="H74" s="576"/>
      <c r="I74" s="576"/>
      <c r="J74" s="576"/>
      <c r="K74" s="576"/>
      <c r="L74" s="577"/>
      <c r="M74" s="100"/>
      <c r="N74" s="100"/>
      <c r="O74" s="100"/>
      <c r="P74" s="100"/>
      <c r="Q74" s="100"/>
      <c r="R74" s="100"/>
      <c r="S74" s="100"/>
      <c r="T74" s="100"/>
      <c r="U74" s="100"/>
      <c r="V74" s="281"/>
      <c r="W74" s="281"/>
    </row>
    <row r="75" spans="1:23" ht="13">
      <c r="A75" s="100" t="s">
        <v>113</v>
      </c>
      <c r="B75" s="100" t="s">
        <v>114</v>
      </c>
      <c r="C75" s="102">
        <v>50</v>
      </c>
      <c r="D75" s="102" t="s">
        <v>115</v>
      </c>
      <c r="E75" s="575" t="s">
        <v>116</v>
      </c>
      <c r="F75" s="577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281"/>
      <c r="W75" s="281"/>
    </row>
    <row r="76" spans="1:23" ht="13">
      <c r="A76" s="100"/>
      <c r="B76" s="100"/>
      <c r="C76" s="108">
        <v>50</v>
      </c>
      <c r="D76" s="108" t="s">
        <v>115</v>
      </c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281"/>
      <c r="W76" s="281"/>
    </row>
    <row r="77" spans="1:23" ht="13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281"/>
      <c r="W77" s="281"/>
    </row>
    <row r="78" spans="1:23" ht="13">
      <c r="A78" s="101" t="s">
        <v>117</v>
      </c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281"/>
      <c r="W78" s="281"/>
    </row>
    <row r="79" spans="1:23" ht="13">
      <c r="A79" s="100" t="s">
        <v>117</v>
      </c>
      <c r="B79" s="100" t="s">
        <v>114</v>
      </c>
      <c r="C79" s="102">
        <v>50</v>
      </c>
      <c r="D79" s="102" t="s">
        <v>118</v>
      </c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281"/>
      <c r="W79" s="281"/>
    </row>
    <row r="80" spans="1:23" ht="13">
      <c r="A80" s="100"/>
      <c r="B80" s="100" t="s">
        <v>109</v>
      </c>
      <c r="C80" s="102">
        <v>50</v>
      </c>
      <c r="D80" s="102" t="s">
        <v>118</v>
      </c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281"/>
      <c r="W80" s="281"/>
    </row>
    <row r="81" spans="1:23" ht="13">
      <c r="A81" s="100"/>
      <c r="B81" s="100"/>
      <c r="C81" s="108">
        <v>100</v>
      </c>
      <c r="D81" s="108" t="s">
        <v>119</v>
      </c>
      <c r="E81" s="100"/>
      <c r="F81" s="100"/>
      <c r="G81" s="101" t="s">
        <v>120</v>
      </c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281"/>
      <c r="W81" s="281"/>
    </row>
    <row r="82" spans="1:23" ht="13">
      <c r="A82" s="100"/>
      <c r="B82" s="100"/>
      <c r="C82" s="100"/>
      <c r="D82" s="100"/>
      <c r="E82" s="100"/>
      <c r="F82" s="100"/>
      <c r="G82" s="100" t="s">
        <v>114</v>
      </c>
      <c r="H82" s="102" t="s">
        <v>121</v>
      </c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281"/>
      <c r="W82" s="281"/>
    </row>
    <row r="83" spans="1:23" ht="13">
      <c r="A83" s="100"/>
      <c r="B83" s="100"/>
      <c r="C83" s="111" t="s">
        <v>68</v>
      </c>
      <c r="D83" s="109" t="s">
        <v>122</v>
      </c>
      <c r="E83" s="100"/>
      <c r="F83" s="100"/>
      <c r="G83" s="100" t="s">
        <v>123</v>
      </c>
      <c r="H83" s="102" t="s">
        <v>124</v>
      </c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281"/>
      <c r="W83" s="281"/>
    </row>
    <row r="84" spans="1:23" ht="13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281"/>
      <c r="W84" s="281"/>
    </row>
    <row r="85" spans="1:23" ht="13">
      <c r="A85" s="100"/>
      <c r="B85" s="100"/>
      <c r="C85" s="100"/>
      <c r="D85" s="100"/>
      <c r="E85" s="100"/>
      <c r="F85" s="100"/>
      <c r="G85" s="100" t="s">
        <v>68</v>
      </c>
      <c r="H85" s="105" t="s">
        <v>122</v>
      </c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281"/>
      <c r="W85" s="281"/>
    </row>
    <row r="86" spans="1:23" ht="13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281"/>
      <c r="W86" s="281"/>
    </row>
    <row r="87" spans="1:23" ht="13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281"/>
      <c r="W87" s="281"/>
    </row>
    <row r="88" spans="1:23" ht="13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281"/>
      <c r="W88" s="281"/>
    </row>
    <row r="89" spans="1:23" ht="13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281"/>
      <c r="W89" s="281"/>
    </row>
    <row r="90" spans="1:23" ht="13">
      <c r="A90" s="581" t="s">
        <v>125</v>
      </c>
      <c r="B90" s="577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281"/>
      <c r="W90" s="281"/>
    </row>
    <row r="91" spans="1:23" ht="13">
      <c r="A91" s="100" t="s">
        <v>126</v>
      </c>
      <c r="B91" s="100" t="s">
        <v>127</v>
      </c>
      <c r="C91" s="100"/>
      <c r="D91" s="102" t="s">
        <v>128</v>
      </c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281"/>
      <c r="W91" s="281"/>
    </row>
    <row r="92" spans="1:23" ht="13">
      <c r="A92" s="100" t="s">
        <v>129</v>
      </c>
      <c r="B92" s="100" t="s">
        <v>109</v>
      </c>
      <c r="C92" s="102">
        <v>100</v>
      </c>
      <c r="D92" s="102" t="s">
        <v>56</v>
      </c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281"/>
      <c r="W92" s="281"/>
    </row>
    <row r="93" spans="1:23" ht="13">
      <c r="A93" s="100"/>
      <c r="B93" s="100"/>
      <c r="C93" s="101" t="s">
        <v>130</v>
      </c>
      <c r="D93" s="108" t="s">
        <v>131</v>
      </c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281"/>
      <c r="W93" s="281"/>
    </row>
    <row r="94" spans="1:23" ht="13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281"/>
      <c r="W94" s="281"/>
    </row>
    <row r="95" spans="1:23" ht="13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281"/>
      <c r="W95" s="281"/>
    </row>
    <row r="96" spans="1:23" ht="13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281"/>
      <c r="W96" s="281"/>
    </row>
    <row r="97" spans="1:23" ht="13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281"/>
      <c r="W97" s="281"/>
    </row>
    <row r="98" spans="1:23" ht="13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281"/>
      <c r="W98" s="281"/>
    </row>
    <row r="99" spans="1:23" ht="13">
      <c r="A99" s="100"/>
      <c r="B99" s="100"/>
      <c r="C99" s="101" t="s">
        <v>68</v>
      </c>
      <c r="D99" s="105" t="s">
        <v>132</v>
      </c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281"/>
      <c r="W99" s="281"/>
    </row>
    <row r="100" spans="1:23" ht="13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281"/>
      <c r="W100" s="281"/>
    </row>
  </sheetData>
  <mergeCells count="41">
    <mergeCell ref="L2:M2"/>
    <mergeCell ref="V4:W4"/>
    <mergeCell ref="P5:Q5"/>
    <mergeCell ref="V5:W5"/>
    <mergeCell ref="F6:G6"/>
    <mergeCell ref="P6:Q6"/>
    <mergeCell ref="V6:W6"/>
    <mergeCell ref="V7:W7"/>
    <mergeCell ref="V8:W8"/>
    <mergeCell ref="V9:W9"/>
    <mergeCell ref="P12:R12"/>
    <mergeCell ref="V14:W14"/>
    <mergeCell ref="L15:M15"/>
    <mergeCell ref="V15:W15"/>
    <mergeCell ref="A22:D22"/>
    <mergeCell ref="E25:F25"/>
    <mergeCell ref="E29:F29"/>
    <mergeCell ref="L25:N25"/>
    <mergeCell ref="L27:O27"/>
    <mergeCell ref="L28:M28"/>
    <mergeCell ref="P28:S28"/>
    <mergeCell ref="P24:T24"/>
    <mergeCell ref="V24:W24"/>
    <mergeCell ref="V20:W20"/>
    <mergeCell ref="L21:P21"/>
    <mergeCell ref="V21:W21"/>
    <mergeCell ref="V22:W22"/>
    <mergeCell ref="V23:W23"/>
    <mergeCell ref="P32:T32"/>
    <mergeCell ref="L39:P39"/>
    <mergeCell ref="P31:R31"/>
    <mergeCell ref="A90:B90"/>
    <mergeCell ref="L64:M64"/>
    <mergeCell ref="F68:P68"/>
    <mergeCell ref="F74:L74"/>
    <mergeCell ref="E75:F75"/>
    <mergeCell ref="E34:H34"/>
    <mergeCell ref="A66:B66"/>
    <mergeCell ref="P40:S40"/>
    <mergeCell ref="P47:U47"/>
    <mergeCell ref="L54:M54"/>
  </mergeCells>
  <dataValidations count="1">
    <dataValidation type="list" allowBlank="1" showInputMessage="1" showErrorMessage="1" sqref="M18" xr:uid="{995FB537-9A37-7341-AA80-3CF42257D311}">
      <formula1>"25%,50%,75%,100%"</formula1>
    </dataValidation>
  </dataValidations>
  <hyperlinks>
    <hyperlink ref="P53" location="'05 - GG Next Steps, Pipeline'!A1" display="R&amp;D for Y1 - see 05 - GG Next Steps, Pipeline" xr:uid="{052E44B4-D9EE-4A47-A71A-0A54B3BF9D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BF13-253A-8548-9DB0-C28770EB8EE7}">
  <sheetPr>
    <outlinePr summaryBelow="0" summaryRight="0"/>
  </sheetPr>
  <dimension ref="A1:K45"/>
  <sheetViews>
    <sheetView topLeftCell="G1" zoomScale="120" zoomScaleNormal="120" workbookViewId="0">
      <selection activeCell="G40" sqref="G40"/>
    </sheetView>
  </sheetViews>
  <sheetFormatPr baseColWidth="10" defaultColWidth="12.6640625" defaultRowHeight="15.75" customHeight="1"/>
  <cols>
    <col min="2" max="9" width="23.5" customWidth="1"/>
  </cols>
  <sheetData>
    <row r="1" spans="1:11" ht="15.75" customHeight="1">
      <c r="A1" s="389" t="s">
        <v>161</v>
      </c>
      <c r="D1" s="2"/>
    </row>
    <row r="2" spans="1:11" ht="15.75" customHeight="1">
      <c r="A2" s="2"/>
      <c r="D2" s="2"/>
    </row>
    <row r="3" spans="1:11" ht="15.75" customHeight="1">
      <c r="A3" s="2" t="s">
        <v>162</v>
      </c>
      <c r="D3" s="2" t="s">
        <v>163</v>
      </c>
    </row>
    <row r="5" spans="1:11" ht="15.75" customHeight="1">
      <c r="A5" s="2" t="s">
        <v>164</v>
      </c>
      <c r="B5" s="597" t="s">
        <v>165</v>
      </c>
      <c r="C5" s="598"/>
      <c r="D5" s="597" t="s">
        <v>166</v>
      </c>
      <c r="E5" s="598"/>
      <c r="F5" s="597" t="s">
        <v>167</v>
      </c>
      <c r="G5" s="598"/>
      <c r="H5" s="597" t="s">
        <v>168</v>
      </c>
      <c r="I5" s="598"/>
      <c r="K5" s="2" t="s">
        <v>169</v>
      </c>
    </row>
    <row r="6" spans="1:11" ht="15.75" customHeight="1">
      <c r="A6" s="2" t="s">
        <v>170</v>
      </c>
      <c r="B6" s="3">
        <v>2000</v>
      </c>
      <c r="C6" s="3">
        <v>2000</v>
      </c>
      <c r="D6" s="4">
        <f t="shared" ref="D6:E8" si="0">B6*$K$6</f>
        <v>4600000</v>
      </c>
      <c r="E6" s="4">
        <f t="shared" si="0"/>
        <v>4600000</v>
      </c>
      <c r="F6" s="3">
        <v>2000</v>
      </c>
      <c r="G6" s="3">
        <v>5000</v>
      </c>
      <c r="H6" s="4">
        <f t="shared" ref="H6:I8" si="1">F6*$K$6</f>
        <v>4600000</v>
      </c>
      <c r="I6" s="4">
        <f t="shared" si="1"/>
        <v>11500000</v>
      </c>
      <c r="K6" s="4">
        <v>2300</v>
      </c>
    </row>
    <row r="7" spans="1:11" ht="15.75" customHeight="1">
      <c r="A7" s="2" t="s">
        <v>171</v>
      </c>
      <c r="B7" s="3">
        <v>2000</v>
      </c>
      <c r="C7" s="3">
        <v>3000</v>
      </c>
      <c r="D7" s="4">
        <f t="shared" si="0"/>
        <v>4600000</v>
      </c>
      <c r="E7" s="4">
        <f t="shared" si="0"/>
        <v>6900000</v>
      </c>
      <c r="F7" s="3">
        <v>5000</v>
      </c>
      <c r="G7" s="3">
        <v>10000</v>
      </c>
      <c r="H7" s="4">
        <f t="shared" si="1"/>
        <v>11500000</v>
      </c>
      <c r="I7" s="4">
        <f t="shared" si="1"/>
        <v>23000000</v>
      </c>
    </row>
    <row r="8" spans="1:11" ht="15.75" customHeight="1" thickBot="1">
      <c r="A8" s="2" t="s">
        <v>172</v>
      </c>
      <c r="B8" s="3">
        <v>3000</v>
      </c>
      <c r="C8" s="3">
        <v>5000</v>
      </c>
      <c r="D8" s="4">
        <f t="shared" si="0"/>
        <v>6900000</v>
      </c>
      <c r="E8" s="4">
        <f t="shared" si="0"/>
        <v>11500000</v>
      </c>
      <c r="F8" s="3">
        <v>15000</v>
      </c>
      <c r="G8" s="3">
        <v>20000</v>
      </c>
      <c r="H8" s="4">
        <f t="shared" si="1"/>
        <v>34500000</v>
      </c>
      <c r="I8" s="4">
        <f t="shared" si="1"/>
        <v>46000000</v>
      </c>
    </row>
    <row r="9" spans="1:11" ht="15.75" customHeight="1">
      <c r="A9" s="5" t="s">
        <v>173</v>
      </c>
      <c r="B9" s="6">
        <f t="shared" ref="B9:I9" si="2">SUM(B6:B8)</f>
        <v>7000</v>
      </c>
      <c r="C9" s="6">
        <f t="shared" si="2"/>
        <v>10000</v>
      </c>
      <c r="D9" s="7">
        <f t="shared" si="2"/>
        <v>16100000</v>
      </c>
      <c r="E9" s="7">
        <f t="shared" si="2"/>
        <v>23000000</v>
      </c>
      <c r="F9" s="6">
        <f t="shared" si="2"/>
        <v>22000</v>
      </c>
      <c r="G9" s="6">
        <f t="shared" si="2"/>
        <v>35000</v>
      </c>
      <c r="H9" s="7">
        <f t="shared" si="2"/>
        <v>50600000</v>
      </c>
      <c r="I9" s="7">
        <f t="shared" si="2"/>
        <v>80500000</v>
      </c>
    </row>
    <row r="12" spans="1:11" ht="15.75" customHeight="1">
      <c r="A12" s="2" t="s">
        <v>174</v>
      </c>
      <c r="D12" s="2" t="s">
        <v>175</v>
      </c>
    </row>
    <row r="14" spans="1:11" ht="15.75" customHeight="1">
      <c r="A14" s="2" t="s">
        <v>164</v>
      </c>
      <c r="B14" s="597" t="s">
        <v>165</v>
      </c>
      <c r="C14" s="598"/>
      <c r="D14" s="597" t="s">
        <v>166</v>
      </c>
      <c r="E14" s="598"/>
      <c r="F14" s="597" t="s">
        <v>167</v>
      </c>
      <c r="G14" s="598"/>
      <c r="H14" s="597" t="s">
        <v>168</v>
      </c>
      <c r="I14" s="598"/>
      <c r="K14" s="2" t="s">
        <v>169</v>
      </c>
    </row>
    <row r="15" spans="1:11" ht="15.75" customHeight="1">
      <c r="A15" s="2" t="s">
        <v>170</v>
      </c>
      <c r="B15" s="3">
        <v>800</v>
      </c>
      <c r="C15" s="3">
        <v>800</v>
      </c>
      <c r="D15" s="4">
        <f t="shared" ref="D15:E17" si="3">B15*$K$15</f>
        <v>4840000</v>
      </c>
      <c r="E15" s="4">
        <f t="shared" si="3"/>
        <v>4840000</v>
      </c>
      <c r="F15" s="3">
        <v>1000</v>
      </c>
      <c r="G15" s="3">
        <v>1000</v>
      </c>
      <c r="H15" s="4">
        <f t="shared" ref="H15:I17" si="4">F15*$K$15</f>
        <v>6050000</v>
      </c>
      <c r="I15" s="4">
        <f t="shared" si="4"/>
        <v>6050000</v>
      </c>
      <c r="K15" s="4">
        <v>6050</v>
      </c>
    </row>
    <row r="16" spans="1:11" ht="15.75" customHeight="1">
      <c r="A16" s="2" t="s">
        <v>171</v>
      </c>
      <c r="B16" s="3">
        <v>1200</v>
      </c>
      <c r="C16" s="3">
        <v>1200</v>
      </c>
      <c r="D16" s="4">
        <f t="shared" si="3"/>
        <v>7260000</v>
      </c>
      <c r="E16" s="4">
        <f t="shared" si="3"/>
        <v>7260000</v>
      </c>
      <c r="F16" s="3">
        <v>1800</v>
      </c>
      <c r="G16" s="3">
        <v>1800</v>
      </c>
      <c r="H16" s="4">
        <f t="shared" si="4"/>
        <v>10890000</v>
      </c>
      <c r="I16" s="4">
        <f t="shared" si="4"/>
        <v>10890000</v>
      </c>
    </row>
    <row r="17" spans="1:11" ht="15.75" customHeight="1" thickBot="1">
      <c r="A17" s="2" t="s">
        <v>172</v>
      </c>
      <c r="B17" s="3">
        <v>2000</v>
      </c>
      <c r="C17" s="3">
        <v>2000</v>
      </c>
      <c r="D17" s="4">
        <f t="shared" si="3"/>
        <v>12100000</v>
      </c>
      <c r="E17" s="4">
        <f t="shared" si="3"/>
        <v>12100000</v>
      </c>
      <c r="F17" s="3">
        <v>2800</v>
      </c>
      <c r="G17" s="3">
        <v>2800</v>
      </c>
      <c r="H17" s="4">
        <f t="shared" si="4"/>
        <v>16940000</v>
      </c>
      <c r="I17" s="4">
        <f t="shared" si="4"/>
        <v>16940000</v>
      </c>
    </row>
    <row r="18" spans="1:11" ht="15.75" customHeight="1">
      <c r="A18" s="5" t="s">
        <v>173</v>
      </c>
      <c r="B18" s="6">
        <f t="shared" ref="B18:I18" si="5">SUM(B15:B17)</f>
        <v>4000</v>
      </c>
      <c r="C18" s="6">
        <f t="shared" si="5"/>
        <v>4000</v>
      </c>
      <c r="D18" s="7">
        <f t="shared" si="5"/>
        <v>24200000</v>
      </c>
      <c r="E18" s="7">
        <f t="shared" si="5"/>
        <v>24200000</v>
      </c>
      <c r="F18" s="6">
        <f t="shared" si="5"/>
        <v>5600</v>
      </c>
      <c r="G18" s="6">
        <f t="shared" si="5"/>
        <v>5600</v>
      </c>
      <c r="H18" s="7">
        <f t="shared" si="5"/>
        <v>33880000</v>
      </c>
      <c r="I18" s="7">
        <f t="shared" si="5"/>
        <v>33880000</v>
      </c>
    </row>
    <row r="21" spans="1:11" ht="15.75" customHeight="1">
      <c r="A21" s="2" t="s">
        <v>176</v>
      </c>
      <c r="D21" s="2" t="s">
        <v>177</v>
      </c>
    </row>
    <row r="23" spans="1:11" ht="15.75" customHeight="1">
      <c r="A23" s="2" t="s">
        <v>164</v>
      </c>
      <c r="B23" s="597" t="s">
        <v>165</v>
      </c>
      <c r="C23" s="598"/>
      <c r="D23" s="597" t="s">
        <v>166</v>
      </c>
      <c r="E23" s="598"/>
      <c r="F23" s="597" t="s">
        <v>167</v>
      </c>
      <c r="G23" s="598"/>
      <c r="H23" s="597" t="s">
        <v>168</v>
      </c>
      <c r="I23" s="598"/>
      <c r="K23" s="2" t="s">
        <v>169</v>
      </c>
    </row>
    <row r="24" spans="1:11" ht="15.75" customHeight="1">
      <c r="A24" s="2" t="s">
        <v>170</v>
      </c>
      <c r="B24" s="3">
        <v>500</v>
      </c>
      <c r="C24" s="3">
        <v>500</v>
      </c>
      <c r="D24" s="4">
        <f t="shared" ref="D24:E26" si="6">B24*$K$24</f>
        <v>2949500</v>
      </c>
      <c r="E24" s="4">
        <f t="shared" si="6"/>
        <v>2949500</v>
      </c>
      <c r="F24" s="3">
        <v>800</v>
      </c>
      <c r="G24" s="3">
        <v>800</v>
      </c>
      <c r="H24" s="4">
        <f t="shared" ref="H24:I26" si="7">F24*$K$24</f>
        <v>4719200</v>
      </c>
      <c r="I24" s="4">
        <f t="shared" si="7"/>
        <v>4719200</v>
      </c>
      <c r="K24" s="4">
        <v>5899</v>
      </c>
    </row>
    <row r="25" spans="1:11" ht="15.75" customHeight="1">
      <c r="A25" s="2" t="s">
        <v>171</v>
      </c>
      <c r="B25" s="3">
        <v>800</v>
      </c>
      <c r="C25" s="3">
        <v>800</v>
      </c>
      <c r="D25" s="4">
        <f t="shared" si="6"/>
        <v>4719200</v>
      </c>
      <c r="E25" s="4">
        <f t="shared" si="6"/>
        <v>4719200</v>
      </c>
      <c r="F25" s="3">
        <v>1200</v>
      </c>
      <c r="G25" s="3">
        <v>1200</v>
      </c>
      <c r="H25" s="4">
        <f t="shared" si="7"/>
        <v>7078800</v>
      </c>
      <c r="I25" s="4">
        <f t="shared" si="7"/>
        <v>7078800</v>
      </c>
    </row>
    <row r="26" spans="1:11" ht="15.75" customHeight="1" thickBot="1">
      <c r="A26" s="2" t="s">
        <v>172</v>
      </c>
      <c r="B26" s="3">
        <v>2000</v>
      </c>
      <c r="C26" s="3">
        <v>2000</v>
      </c>
      <c r="D26" s="4">
        <f t="shared" si="6"/>
        <v>11798000</v>
      </c>
      <c r="E26" s="4">
        <f t="shared" si="6"/>
        <v>11798000</v>
      </c>
      <c r="F26" s="3">
        <v>2500</v>
      </c>
      <c r="G26" s="3">
        <v>2500</v>
      </c>
      <c r="H26" s="4">
        <f t="shared" si="7"/>
        <v>14747500</v>
      </c>
      <c r="I26" s="4">
        <f t="shared" si="7"/>
        <v>14747500</v>
      </c>
    </row>
    <row r="27" spans="1:11" ht="15.75" customHeight="1">
      <c r="A27" s="5" t="s">
        <v>173</v>
      </c>
      <c r="B27" s="6">
        <f t="shared" ref="B27:I27" si="8">SUM(B24:B26)</f>
        <v>3300</v>
      </c>
      <c r="C27" s="6">
        <f t="shared" si="8"/>
        <v>3300</v>
      </c>
      <c r="D27" s="7">
        <f t="shared" si="8"/>
        <v>19466700</v>
      </c>
      <c r="E27" s="7">
        <f t="shared" si="8"/>
        <v>19466700</v>
      </c>
      <c r="F27" s="6">
        <f t="shared" si="8"/>
        <v>4500</v>
      </c>
      <c r="G27" s="6">
        <f t="shared" si="8"/>
        <v>4500</v>
      </c>
      <c r="H27" s="7">
        <f t="shared" si="8"/>
        <v>26545500</v>
      </c>
      <c r="I27" s="7">
        <f t="shared" si="8"/>
        <v>26545500</v>
      </c>
    </row>
    <row r="30" spans="1:11" ht="15.75" customHeight="1">
      <c r="A30" s="2" t="s">
        <v>178</v>
      </c>
    </row>
    <row r="32" spans="1:11" ht="15.75" customHeight="1">
      <c r="A32" s="2" t="s">
        <v>164</v>
      </c>
      <c r="B32" s="597" t="s">
        <v>165</v>
      </c>
      <c r="C32" s="598"/>
      <c r="D32" s="597" t="s">
        <v>166</v>
      </c>
      <c r="E32" s="598"/>
      <c r="F32" s="597" t="s">
        <v>167</v>
      </c>
      <c r="G32" s="598"/>
      <c r="H32" s="597" t="s">
        <v>168</v>
      </c>
      <c r="I32" s="598"/>
      <c r="K32" s="2" t="s">
        <v>179</v>
      </c>
    </row>
    <row r="33" spans="1:11" ht="15.75" customHeight="1">
      <c r="A33" s="2" t="s">
        <v>170</v>
      </c>
      <c r="B33" s="3">
        <f t="shared" ref="B33:I35" si="9">SUM(B6,B15,B24)</f>
        <v>3300</v>
      </c>
      <c r="C33" s="3">
        <f t="shared" si="9"/>
        <v>3300</v>
      </c>
      <c r="D33" s="271">
        <f t="shared" si="9"/>
        <v>12389500</v>
      </c>
      <c r="E33" s="8">
        <f t="shared" si="9"/>
        <v>12389500</v>
      </c>
      <c r="F33" s="3">
        <f t="shared" si="9"/>
        <v>3800</v>
      </c>
      <c r="G33" s="3">
        <f t="shared" si="9"/>
        <v>6800</v>
      </c>
      <c r="H33" s="8">
        <f t="shared" si="9"/>
        <v>15369200</v>
      </c>
      <c r="I33" s="8">
        <f t="shared" si="9"/>
        <v>22269200</v>
      </c>
      <c r="K33" s="1" t="s">
        <v>180</v>
      </c>
    </row>
    <row r="34" spans="1:11" ht="15.75" customHeight="1">
      <c r="A34" s="2" t="s">
        <v>171</v>
      </c>
      <c r="B34" s="3">
        <f t="shared" si="9"/>
        <v>4000</v>
      </c>
      <c r="C34" s="3">
        <f t="shared" si="9"/>
        <v>5000</v>
      </c>
      <c r="D34" s="271">
        <f t="shared" si="9"/>
        <v>16579200</v>
      </c>
      <c r="E34" s="8">
        <f t="shared" si="9"/>
        <v>18879200</v>
      </c>
      <c r="F34" s="3">
        <f t="shared" si="9"/>
        <v>8000</v>
      </c>
      <c r="G34" s="3">
        <f t="shared" si="9"/>
        <v>13000</v>
      </c>
      <c r="H34" s="8">
        <f t="shared" si="9"/>
        <v>29468800</v>
      </c>
      <c r="I34" s="8">
        <f t="shared" si="9"/>
        <v>40968800</v>
      </c>
      <c r="K34" s="1" t="s">
        <v>181</v>
      </c>
    </row>
    <row r="35" spans="1:11" ht="15.75" customHeight="1" thickBot="1">
      <c r="A35" s="2" t="s">
        <v>172</v>
      </c>
      <c r="B35" s="3">
        <f t="shared" si="9"/>
        <v>7000</v>
      </c>
      <c r="C35" s="3">
        <f t="shared" si="9"/>
        <v>9000</v>
      </c>
      <c r="D35" s="271">
        <f t="shared" si="9"/>
        <v>30798000</v>
      </c>
      <c r="E35" s="8">
        <f t="shared" si="9"/>
        <v>35398000</v>
      </c>
      <c r="F35" s="3">
        <f t="shared" si="9"/>
        <v>20300</v>
      </c>
      <c r="G35" s="3">
        <f t="shared" si="9"/>
        <v>25300</v>
      </c>
      <c r="H35" s="8">
        <f t="shared" si="9"/>
        <v>66187500</v>
      </c>
      <c r="I35" s="8">
        <f t="shared" si="9"/>
        <v>77687500</v>
      </c>
      <c r="K35" s="1" t="s">
        <v>182</v>
      </c>
    </row>
    <row r="36" spans="1:11" ht="15.75" customHeight="1">
      <c r="A36" s="5" t="s">
        <v>173</v>
      </c>
      <c r="B36" s="6">
        <f t="shared" ref="B36:I36" si="10">SUM(B33:B35)</f>
        <v>14300</v>
      </c>
      <c r="C36" s="6">
        <f t="shared" si="10"/>
        <v>17300</v>
      </c>
      <c r="D36" s="7">
        <f t="shared" si="10"/>
        <v>59766700</v>
      </c>
      <c r="E36" s="7">
        <f t="shared" si="10"/>
        <v>66666700</v>
      </c>
      <c r="F36" s="6">
        <f t="shared" si="10"/>
        <v>32100</v>
      </c>
      <c r="G36" s="6">
        <f t="shared" si="10"/>
        <v>45100</v>
      </c>
      <c r="H36" s="7">
        <f t="shared" si="10"/>
        <v>111025500</v>
      </c>
      <c r="I36" s="7">
        <f t="shared" si="10"/>
        <v>140925500</v>
      </c>
      <c r="K36" s="1" t="s">
        <v>183</v>
      </c>
    </row>
    <row r="37" spans="1:11" ht="15.75" customHeight="1">
      <c r="K37" s="1" t="s">
        <v>184</v>
      </c>
    </row>
    <row r="38" spans="1:11" ht="15.75" customHeight="1">
      <c r="K38" s="1" t="s">
        <v>185</v>
      </c>
    </row>
    <row r="39" spans="1:11" ht="15.75" customHeight="1">
      <c r="A39" s="2" t="s">
        <v>186</v>
      </c>
      <c r="K39" s="1" t="s">
        <v>187</v>
      </c>
    </row>
    <row r="41" spans="1:11" ht="15.75" customHeight="1">
      <c r="A41" s="2"/>
      <c r="C41" s="9"/>
      <c r="D41" s="597" t="s">
        <v>188</v>
      </c>
      <c r="E41" s="598"/>
      <c r="F41" s="598"/>
      <c r="G41" s="598"/>
      <c r="H41" s="598"/>
      <c r="I41" s="598"/>
    </row>
    <row r="42" spans="1:11" ht="15.75" customHeight="1">
      <c r="A42" s="10" t="s">
        <v>164</v>
      </c>
      <c r="B42" s="599" t="s">
        <v>189</v>
      </c>
      <c r="C42" s="600"/>
      <c r="D42" s="10">
        <v>5</v>
      </c>
      <c r="E42" s="11" t="s">
        <v>190</v>
      </c>
      <c r="F42" s="10">
        <v>7.5</v>
      </c>
      <c r="G42" s="11" t="s">
        <v>190</v>
      </c>
      <c r="H42" s="10">
        <v>10</v>
      </c>
      <c r="I42" s="10" t="s">
        <v>190</v>
      </c>
    </row>
    <row r="43" spans="1:11" ht="15.75" customHeight="1">
      <c r="A43" s="2" t="s">
        <v>170</v>
      </c>
      <c r="B43" s="8">
        <f t="shared" ref="B43:C45" si="11">D33</f>
        <v>12389500</v>
      </c>
      <c r="C43" s="272">
        <f t="shared" si="11"/>
        <v>12389500</v>
      </c>
      <c r="D43" s="4">
        <f t="shared" ref="D43:E45" si="12">B43*$D$42</f>
        <v>61947500</v>
      </c>
      <c r="E43" s="12">
        <f t="shared" si="12"/>
        <v>61947500</v>
      </c>
      <c r="F43" s="4">
        <f t="shared" ref="F43:G45" si="13">B43*$F$42</f>
        <v>92921250</v>
      </c>
      <c r="G43" s="12">
        <f t="shared" si="13"/>
        <v>92921250</v>
      </c>
      <c r="H43" s="4">
        <f t="shared" ref="H43:I45" si="14">B43*$H$42</f>
        <v>123895000</v>
      </c>
      <c r="I43" s="4">
        <f t="shared" si="14"/>
        <v>123895000</v>
      </c>
    </row>
    <row r="44" spans="1:11" ht="15.75" customHeight="1">
      <c r="A44" s="2" t="s">
        <v>171</v>
      </c>
      <c r="B44" s="8">
        <f t="shared" si="11"/>
        <v>16579200</v>
      </c>
      <c r="C44" s="272">
        <f t="shared" si="11"/>
        <v>18879200</v>
      </c>
      <c r="D44" s="4">
        <f t="shared" si="12"/>
        <v>82896000</v>
      </c>
      <c r="E44" s="12">
        <f t="shared" si="12"/>
        <v>94396000</v>
      </c>
      <c r="F44" s="4">
        <f t="shared" si="13"/>
        <v>124344000</v>
      </c>
      <c r="G44" s="12">
        <f t="shared" si="13"/>
        <v>141594000</v>
      </c>
      <c r="H44" s="4">
        <f t="shared" si="14"/>
        <v>165792000</v>
      </c>
      <c r="I44" s="4">
        <f t="shared" si="14"/>
        <v>188792000</v>
      </c>
    </row>
    <row r="45" spans="1:11" ht="15.75" customHeight="1">
      <c r="A45" s="2" t="s">
        <v>172</v>
      </c>
      <c r="B45" s="8">
        <f t="shared" si="11"/>
        <v>30798000</v>
      </c>
      <c r="C45" s="272">
        <f t="shared" si="11"/>
        <v>35398000</v>
      </c>
      <c r="D45" s="4">
        <f t="shared" si="12"/>
        <v>153990000</v>
      </c>
      <c r="E45" s="12">
        <f t="shared" si="12"/>
        <v>176990000</v>
      </c>
      <c r="F45" s="4">
        <f t="shared" si="13"/>
        <v>230985000</v>
      </c>
      <c r="G45" s="12">
        <f t="shared" si="13"/>
        <v>265485000</v>
      </c>
      <c r="H45" s="4">
        <f t="shared" si="14"/>
        <v>307980000</v>
      </c>
      <c r="I45" s="4">
        <f t="shared" si="14"/>
        <v>353980000</v>
      </c>
    </row>
  </sheetData>
  <mergeCells count="18">
    <mergeCell ref="D41:I41"/>
    <mergeCell ref="B42:C42"/>
    <mergeCell ref="B23:C23"/>
    <mergeCell ref="D23:E23"/>
    <mergeCell ref="F23:G23"/>
    <mergeCell ref="H23:I23"/>
    <mergeCell ref="B32:C32"/>
    <mergeCell ref="D32:E32"/>
    <mergeCell ref="F32:G32"/>
    <mergeCell ref="H32:I32"/>
    <mergeCell ref="B5:C5"/>
    <mergeCell ref="D5:E5"/>
    <mergeCell ref="F5:G5"/>
    <mergeCell ref="H5:I5"/>
    <mergeCell ref="B14:C14"/>
    <mergeCell ref="D14:E14"/>
    <mergeCell ref="F14:G14"/>
    <mergeCell ref="H14:I14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2D72-7F90-BA40-8F67-80407441737A}">
  <dimension ref="A1:N123"/>
  <sheetViews>
    <sheetView zoomScale="110" zoomScaleNormal="11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7" sqref="B7"/>
    </sheetView>
  </sheetViews>
  <sheetFormatPr baseColWidth="10" defaultRowHeight="13"/>
  <cols>
    <col min="1" max="1" width="36" style="397" customWidth="1"/>
    <col min="2" max="2" width="17.33203125" style="397" customWidth="1"/>
    <col min="3" max="3" width="17" style="397" customWidth="1"/>
    <col min="4" max="4" width="16.33203125" style="397" customWidth="1"/>
    <col min="5" max="6" width="15.5" style="397" customWidth="1"/>
    <col min="7" max="7" width="11.6640625" style="397" bestFit="1" customWidth="1"/>
    <col min="8" max="8" width="13" style="397" customWidth="1"/>
    <col min="9" max="9" width="13.1640625" style="397" customWidth="1"/>
    <col min="10" max="10" width="15.1640625" style="397" customWidth="1"/>
    <col min="11" max="11" width="13.33203125" style="397" customWidth="1"/>
    <col min="12" max="12" width="14.1640625" style="397" customWidth="1"/>
    <col min="13" max="13" width="12.6640625" style="397" bestFit="1" customWidth="1"/>
    <col min="14" max="14" width="14.1640625" style="396" customWidth="1"/>
    <col min="15" max="16384" width="10.83203125" style="397"/>
  </cols>
  <sheetData>
    <row r="1" spans="1:14" s="434" customFormat="1">
      <c r="A1" s="434" t="s">
        <v>927</v>
      </c>
      <c r="C1" s="435">
        <v>0.1</v>
      </c>
      <c r="D1" s="435">
        <v>0.1</v>
      </c>
      <c r="E1" s="435">
        <v>0.1</v>
      </c>
      <c r="F1" s="435">
        <v>0.1</v>
      </c>
      <c r="G1" s="435">
        <v>0.1</v>
      </c>
      <c r="H1" s="435">
        <v>0.1</v>
      </c>
      <c r="I1" s="435">
        <v>0.15</v>
      </c>
      <c r="J1" s="435">
        <v>0.15</v>
      </c>
      <c r="K1" s="435">
        <f>1-SUM(C1:J1)</f>
        <v>9.9999999999999978E-2</v>
      </c>
      <c r="N1" s="511"/>
    </row>
    <row r="2" spans="1:14" s="434" customFormat="1">
      <c r="I2" s="435">
        <v>0.1</v>
      </c>
      <c r="J2" s="435">
        <v>0.15</v>
      </c>
      <c r="K2" s="434">
        <v>0.2</v>
      </c>
      <c r="L2" s="434">
        <v>0.05</v>
      </c>
      <c r="M2" s="434">
        <v>0.05</v>
      </c>
      <c r="N2" s="511"/>
    </row>
    <row r="3" spans="1:14" s="434" customFormat="1">
      <c r="L3" s="435"/>
      <c r="N3" s="512"/>
    </row>
    <row r="4" spans="1:14" s="434" customFormat="1">
      <c r="M4" s="435"/>
      <c r="N4" s="511"/>
    </row>
    <row r="5" spans="1:14" s="409" customFormat="1" ht="55" customHeight="1">
      <c r="A5" s="451" t="s">
        <v>208</v>
      </c>
      <c r="B5" s="444"/>
      <c r="C5" s="426"/>
      <c r="D5" s="427" t="s">
        <v>795</v>
      </c>
      <c r="E5" s="427" t="s">
        <v>812</v>
      </c>
      <c r="F5" s="427" t="s">
        <v>811</v>
      </c>
      <c r="G5" s="409" t="s">
        <v>796</v>
      </c>
      <c r="I5" s="409" t="s">
        <v>797</v>
      </c>
      <c r="J5" s="426"/>
      <c r="K5" s="445" t="s">
        <v>810</v>
      </c>
      <c r="L5" s="446" t="s">
        <v>813</v>
      </c>
      <c r="N5" s="513"/>
    </row>
    <row r="6" spans="1:14">
      <c r="A6" s="422" t="s">
        <v>932</v>
      </c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  <c r="N6" s="514"/>
    </row>
    <row r="7" spans="1:14">
      <c r="A7" s="422" t="s">
        <v>913</v>
      </c>
      <c r="B7" s="498">
        <v>0.5</v>
      </c>
      <c r="C7" s="419" t="s">
        <v>926</v>
      </c>
      <c r="D7" s="419"/>
      <c r="E7" s="419"/>
      <c r="F7" s="419"/>
      <c r="G7" s="419"/>
      <c r="H7" s="419"/>
      <c r="I7" s="419"/>
      <c r="J7" s="419"/>
      <c r="K7" s="419"/>
      <c r="L7" s="419"/>
      <c r="M7" s="419"/>
      <c r="N7" s="514"/>
    </row>
    <row r="8" spans="1:14" s="409" customFormat="1">
      <c r="B8" s="442">
        <v>45870</v>
      </c>
      <c r="C8" s="442">
        <f>B8+31</f>
        <v>45901</v>
      </c>
      <c r="D8" s="442">
        <f>C8+31</f>
        <v>45932</v>
      </c>
      <c r="E8" s="442">
        <f t="shared" ref="E8:M8" si="0">D8+31</f>
        <v>45963</v>
      </c>
      <c r="F8" s="442">
        <f t="shared" si="0"/>
        <v>45994</v>
      </c>
      <c r="G8" s="442">
        <f t="shared" si="0"/>
        <v>46025</v>
      </c>
      <c r="H8" s="442">
        <f t="shared" si="0"/>
        <v>46056</v>
      </c>
      <c r="I8" s="442">
        <f t="shared" si="0"/>
        <v>46087</v>
      </c>
      <c r="J8" s="442">
        <f t="shared" si="0"/>
        <v>46118</v>
      </c>
      <c r="K8" s="442">
        <f t="shared" si="0"/>
        <v>46149</v>
      </c>
      <c r="L8" s="442">
        <f t="shared" si="0"/>
        <v>46180</v>
      </c>
      <c r="M8" s="443">
        <f t="shared" si="0"/>
        <v>46211</v>
      </c>
      <c r="N8" s="442" t="s">
        <v>254</v>
      </c>
    </row>
    <row r="9" spans="1:14">
      <c r="A9" s="396" t="s">
        <v>529</v>
      </c>
    </row>
    <row r="10" spans="1:14">
      <c r="A10" s="397" t="s">
        <v>740</v>
      </c>
      <c r="B10" s="401"/>
      <c r="C10" s="401">
        <f t="shared" ref="C10:L10" si="1">(($C$61*$B$65)+($E$61*$B$66))*C$1</f>
        <v>62925</v>
      </c>
      <c r="D10" s="401">
        <f t="shared" si="1"/>
        <v>62925</v>
      </c>
      <c r="E10" s="401">
        <f t="shared" si="1"/>
        <v>62925</v>
      </c>
      <c r="F10" s="401">
        <f t="shared" si="1"/>
        <v>62925</v>
      </c>
      <c r="G10" s="401">
        <f t="shared" si="1"/>
        <v>62925</v>
      </c>
      <c r="H10" s="401">
        <f t="shared" si="1"/>
        <v>62925</v>
      </c>
      <c r="I10" s="401">
        <f t="shared" si="1"/>
        <v>94387.5</v>
      </c>
      <c r="J10" s="401">
        <f t="shared" si="1"/>
        <v>94387.5</v>
      </c>
      <c r="K10" s="401">
        <f t="shared" si="1"/>
        <v>62924.999999999985</v>
      </c>
      <c r="L10" s="401">
        <f t="shared" si="1"/>
        <v>0</v>
      </c>
      <c r="N10" s="404">
        <f>SUM(B10:M10)</f>
        <v>629250</v>
      </c>
    </row>
    <row r="11" spans="1:14">
      <c r="A11" s="397" t="s">
        <v>741</v>
      </c>
      <c r="B11" s="401"/>
      <c r="C11" s="401"/>
      <c r="D11" s="401"/>
      <c r="E11" s="401"/>
      <c r="F11" s="401"/>
      <c r="G11" s="401"/>
      <c r="H11" s="401"/>
      <c r="I11" s="401">
        <f>+(($C$62*$B$65)+($E$62*$B$66)+($G$62*$B$67))*I$2</f>
        <v>0</v>
      </c>
      <c r="J11" s="401">
        <f>+(($C$62*$B$65)+($E$62*$B$66)+($G$62*$B$67))*J$2</f>
        <v>0</v>
      </c>
      <c r="K11" s="401">
        <f>+(($C$62*$B$65)+($E$62*$B$66)+($G$62*$B$67))*K$2</f>
        <v>0</v>
      </c>
      <c r="L11" s="401">
        <f>+(($C$62*$B$65)+($E$62*$B$66)+($G$62*$B$67))*L$2</f>
        <v>0</v>
      </c>
      <c r="M11" s="401">
        <f>+(($C$62*$B$65)+($E$62*$B$66)+($G$62*$B$67))*M$2</f>
        <v>0</v>
      </c>
      <c r="N11" s="404">
        <f t="shared" ref="N11:N41" si="2">SUM(B11:M11)</f>
        <v>0</v>
      </c>
    </row>
    <row r="12" spans="1:14" hidden="1">
      <c r="A12" s="397" t="s">
        <v>806</v>
      </c>
      <c r="B12" s="401"/>
      <c r="C12" s="401"/>
      <c r="D12" s="401"/>
      <c r="E12" s="401"/>
      <c r="F12" s="401"/>
      <c r="G12" s="401"/>
      <c r="H12" s="401"/>
      <c r="I12" s="401"/>
      <c r="J12" s="401"/>
      <c r="K12" s="401"/>
      <c r="L12" s="401"/>
      <c r="M12" s="401"/>
      <c r="N12" s="404">
        <f t="shared" si="2"/>
        <v>0</v>
      </c>
    </row>
    <row r="13" spans="1:14" hidden="1">
      <c r="A13" s="397" t="s">
        <v>815</v>
      </c>
      <c r="B13" s="401"/>
      <c r="C13" s="401"/>
      <c r="D13" s="401"/>
      <c r="E13" s="401"/>
      <c r="F13" s="401"/>
      <c r="G13" s="401"/>
      <c r="H13" s="401"/>
      <c r="I13" s="401"/>
      <c r="J13" s="401"/>
      <c r="K13" s="401"/>
      <c r="L13" s="401"/>
      <c r="M13" s="401"/>
      <c r="N13" s="404">
        <f t="shared" si="2"/>
        <v>0</v>
      </c>
    </row>
    <row r="14" spans="1:14" hidden="1">
      <c r="A14" s="397" t="s">
        <v>816</v>
      </c>
      <c r="B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4">
        <f t="shared" si="2"/>
        <v>0</v>
      </c>
    </row>
    <row r="15" spans="1:14" hidden="1">
      <c r="A15" s="397" t="s">
        <v>817</v>
      </c>
      <c r="B15" s="401"/>
      <c r="D15" s="401"/>
      <c r="E15" s="401"/>
      <c r="F15" s="401"/>
      <c r="G15" s="401"/>
      <c r="H15" s="401"/>
      <c r="I15" s="401"/>
      <c r="J15" s="401"/>
      <c r="K15" s="401"/>
      <c r="L15" s="401"/>
      <c r="M15" s="401"/>
      <c r="N15" s="404">
        <f t="shared" si="2"/>
        <v>0</v>
      </c>
    </row>
    <row r="16" spans="1:14" hidden="1">
      <c r="A16" s="397" t="s">
        <v>818</v>
      </c>
      <c r="B16" s="401"/>
      <c r="D16" s="401"/>
      <c r="E16" s="401"/>
      <c r="F16" s="401"/>
      <c r="G16" s="401"/>
      <c r="H16" s="401"/>
      <c r="I16" s="401"/>
      <c r="J16" s="401"/>
      <c r="K16" s="401"/>
      <c r="L16" s="401"/>
      <c r="M16" s="401"/>
      <c r="N16" s="404">
        <f t="shared" si="2"/>
        <v>0</v>
      </c>
    </row>
    <row r="17" spans="1:14" hidden="1">
      <c r="A17" s="397" t="s">
        <v>819</v>
      </c>
      <c r="B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4">
        <f t="shared" si="2"/>
        <v>0</v>
      </c>
    </row>
    <row r="18" spans="1:14" hidden="1">
      <c r="A18" s="397" t="s">
        <v>820</v>
      </c>
      <c r="B18" s="401"/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4">
        <f t="shared" si="2"/>
        <v>0</v>
      </c>
    </row>
    <row r="19" spans="1:14" hidden="1">
      <c r="A19" s="397" t="s">
        <v>821</v>
      </c>
      <c r="B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  <c r="N19" s="404">
        <f t="shared" si="2"/>
        <v>0</v>
      </c>
    </row>
    <row r="20" spans="1:14" s="396" customFormat="1">
      <c r="A20" s="449" t="s">
        <v>529</v>
      </c>
      <c r="B20" s="450">
        <f>SUM(B10:B19)</f>
        <v>0</v>
      </c>
      <c r="C20" s="450">
        <f>SUM(C10:C19)</f>
        <v>62925</v>
      </c>
      <c r="D20" s="450">
        <f t="shared" ref="D20:M20" si="3">SUM(D10:D19)</f>
        <v>62925</v>
      </c>
      <c r="E20" s="450">
        <f t="shared" si="3"/>
        <v>62925</v>
      </c>
      <c r="F20" s="450">
        <f t="shared" si="3"/>
        <v>62925</v>
      </c>
      <c r="G20" s="450">
        <f t="shared" si="3"/>
        <v>62925</v>
      </c>
      <c r="H20" s="450">
        <f t="shared" si="3"/>
        <v>62925</v>
      </c>
      <c r="I20" s="450">
        <f t="shared" si="3"/>
        <v>94387.5</v>
      </c>
      <c r="J20" s="450">
        <f t="shared" si="3"/>
        <v>94387.5</v>
      </c>
      <c r="K20" s="450">
        <f t="shared" si="3"/>
        <v>62924.999999999985</v>
      </c>
      <c r="L20" s="450">
        <f t="shared" si="3"/>
        <v>0</v>
      </c>
      <c r="M20" s="450">
        <f t="shared" si="3"/>
        <v>0</v>
      </c>
      <c r="N20" s="450">
        <f t="shared" si="2"/>
        <v>629250</v>
      </c>
    </row>
    <row r="21" spans="1:14">
      <c r="A21" s="397" t="s">
        <v>870</v>
      </c>
      <c r="B21" s="436">
        <f>-$C$80-$C$21</f>
        <v>-266727.84524878464</v>
      </c>
      <c r="C21" s="436">
        <f>-'09 Inventory Loan'!H23</f>
        <v>-143536.07</v>
      </c>
      <c r="G21" s="436">
        <f>-C81*0.4</f>
        <v>0</v>
      </c>
      <c r="H21" s="436">
        <f>-C81*0.2</f>
        <v>0</v>
      </c>
      <c r="I21" s="437">
        <f>-C81*0.4</f>
        <v>0</v>
      </c>
      <c r="M21" s="436"/>
      <c r="N21" s="396">
        <f t="shared" si="2"/>
        <v>-410263.91524878464</v>
      </c>
    </row>
    <row r="22" spans="1:14">
      <c r="B22" s="448"/>
      <c r="C22" s="448"/>
      <c r="D22" s="448"/>
      <c r="E22" s="448"/>
      <c r="F22" s="448"/>
      <c r="G22" s="448"/>
      <c r="H22" s="448"/>
      <c r="I22" s="448"/>
      <c r="J22" s="448"/>
      <c r="K22" s="448"/>
      <c r="L22" s="448"/>
      <c r="M22" s="448"/>
      <c r="N22" s="486">
        <f t="shared" si="2"/>
        <v>0</v>
      </c>
    </row>
    <row r="23" spans="1:14" s="396" customFormat="1">
      <c r="A23" s="396" t="s">
        <v>531</v>
      </c>
      <c r="B23" s="487">
        <f>SUM(B20:B22)</f>
        <v>-266727.84524878464</v>
      </c>
      <c r="C23" s="487">
        <f t="shared" ref="C23:M23" si="4">SUM(C20:C22)</f>
        <v>-80611.070000000007</v>
      </c>
      <c r="D23" s="487">
        <f t="shared" si="4"/>
        <v>62925</v>
      </c>
      <c r="E23" s="487">
        <f t="shared" si="4"/>
        <v>62925</v>
      </c>
      <c r="F23" s="487">
        <f t="shared" si="4"/>
        <v>62925</v>
      </c>
      <c r="G23" s="487">
        <f t="shared" si="4"/>
        <v>62925</v>
      </c>
      <c r="H23" s="487">
        <f t="shared" si="4"/>
        <v>62925</v>
      </c>
      <c r="I23" s="487">
        <f t="shared" si="4"/>
        <v>94387.5</v>
      </c>
      <c r="J23" s="487">
        <f t="shared" si="4"/>
        <v>94387.5</v>
      </c>
      <c r="K23" s="487">
        <f t="shared" si="4"/>
        <v>62924.999999999985</v>
      </c>
      <c r="L23" s="487">
        <f t="shared" si="4"/>
        <v>0</v>
      </c>
      <c r="M23" s="487">
        <f t="shared" si="4"/>
        <v>0</v>
      </c>
      <c r="N23" s="487">
        <f t="shared" si="2"/>
        <v>218986.08475121536</v>
      </c>
    </row>
    <row r="24" spans="1:14" s="396" customFormat="1">
      <c r="B24" s="486"/>
      <c r="C24" s="486"/>
      <c r="D24" s="486"/>
      <c r="E24" s="486"/>
      <c r="F24" s="486"/>
      <c r="G24" s="486"/>
      <c r="H24" s="486"/>
      <c r="I24" s="486"/>
      <c r="J24" s="486"/>
      <c r="K24" s="486"/>
      <c r="L24" s="486"/>
      <c r="M24" s="486"/>
      <c r="N24" s="486">
        <f t="shared" si="2"/>
        <v>0</v>
      </c>
    </row>
    <row r="25" spans="1:14" s="396" customFormat="1">
      <c r="A25" s="397" t="s">
        <v>871</v>
      </c>
      <c r="B25" s="448">
        <f>-$B$109</f>
        <v>-52793.179798578203</v>
      </c>
      <c r="C25" s="448">
        <f>B25</f>
        <v>-52793.179798578203</v>
      </c>
      <c r="D25" s="448">
        <f t="shared" ref="D25:F27" si="5">C25</f>
        <v>-52793.179798578203</v>
      </c>
      <c r="E25" s="448">
        <f>D25-'11 Forward OPEX 250728'!G86</f>
        <v>-58793.179798578203</v>
      </c>
      <c r="F25" s="448">
        <f t="shared" si="5"/>
        <v>-58793.179798578203</v>
      </c>
      <c r="G25" s="448">
        <f>F25*(1+$B$108)</f>
        <v>-64672.497778436031</v>
      </c>
      <c r="H25" s="448">
        <f>G25</f>
        <v>-64672.497778436031</v>
      </c>
      <c r="I25" s="448">
        <f t="shared" ref="I25:M27" si="6">H25</f>
        <v>-64672.497778436031</v>
      </c>
      <c r="J25" s="448">
        <f t="shared" si="6"/>
        <v>-64672.497778436031</v>
      </c>
      <c r="K25" s="448">
        <f t="shared" si="6"/>
        <v>-64672.497778436031</v>
      </c>
      <c r="L25" s="448">
        <f t="shared" si="6"/>
        <v>-64672.497778436031</v>
      </c>
      <c r="M25" s="448">
        <f t="shared" si="6"/>
        <v>-64672.497778436031</v>
      </c>
      <c r="N25" s="486">
        <f t="shared" si="2"/>
        <v>-728673.38344194333</v>
      </c>
    </row>
    <row r="26" spans="1:14">
      <c r="A26" s="397" t="s">
        <v>872</v>
      </c>
      <c r="B26" s="448">
        <f>-$B$110</f>
        <v>-6452.8909730583664</v>
      </c>
      <c r="C26" s="448">
        <f>B26</f>
        <v>-6452.8909730583664</v>
      </c>
      <c r="D26" s="448">
        <f t="shared" si="5"/>
        <v>-6452.8909730583664</v>
      </c>
      <c r="E26" s="448">
        <f t="shared" si="5"/>
        <v>-6452.8909730583664</v>
      </c>
      <c r="F26" s="448">
        <f t="shared" si="5"/>
        <v>-6452.8909730583664</v>
      </c>
      <c r="G26" s="448">
        <f>F26*(1+$B$108)</f>
        <v>-7098.1800703642039</v>
      </c>
      <c r="H26" s="448">
        <f>G26</f>
        <v>-7098.1800703642039</v>
      </c>
      <c r="I26" s="448">
        <f t="shared" si="6"/>
        <v>-7098.1800703642039</v>
      </c>
      <c r="J26" s="448">
        <f t="shared" si="6"/>
        <v>-7098.1800703642039</v>
      </c>
      <c r="K26" s="448">
        <f t="shared" si="6"/>
        <v>-7098.1800703642039</v>
      </c>
      <c r="L26" s="448">
        <f t="shared" si="6"/>
        <v>-7098.1800703642039</v>
      </c>
      <c r="M26" s="448">
        <f t="shared" si="6"/>
        <v>-7098.1800703642039</v>
      </c>
      <c r="N26" s="486">
        <f t="shared" si="2"/>
        <v>-81951.715357841284</v>
      </c>
    </row>
    <row r="27" spans="1:14">
      <c r="A27" s="397" t="s">
        <v>547</v>
      </c>
      <c r="B27" s="448">
        <f>-$B$111</f>
        <v>-7189.84375</v>
      </c>
      <c r="C27" s="448">
        <f>B27</f>
        <v>-7189.84375</v>
      </c>
      <c r="D27" s="448">
        <f t="shared" si="5"/>
        <v>-7189.84375</v>
      </c>
      <c r="E27" s="448">
        <f t="shared" si="5"/>
        <v>-7189.84375</v>
      </c>
      <c r="F27" s="448">
        <f t="shared" si="5"/>
        <v>-7189.84375</v>
      </c>
      <c r="G27" s="448">
        <f>F27*(1+$B$108)</f>
        <v>-7908.8281250000009</v>
      </c>
      <c r="H27" s="448">
        <f>G27</f>
        <v>-7908.8281250000009</v>
      </c>
      <c r="I27" s="448">
        <f t="shared" si="6"/>
        <v>-7908.8281250000009</v>
      </c>
      <c r="J27" s="448">
        <f t="shared" si="6"/>
        <v>-7908.8281250000009</v>
      </c>
      <c r="K27" s="448">
        <f t="shared" si="6"/>
        <v>-7908.8281250000009</v>
      </c>
      <c r="L27" s="448">
        <f t="shared" si="6"/>
        <v>-7908.8281250000009</v>
      </c>
      <c r="M27" s="448">
        <f t="shared" si="6"/>
        <v>-7908.8281250000009</v>
      </c>
      <c r="N27" s="486">
        <f t="shared" si="2"/>
        <v>-91311.015625</v>
      </c>
    </row>
    <row r="28" spans="1:14" s="396" customFormat="1">
      <c r="A28" s="396" t="s">
        <v>895</v>
      </c>
      <c r="B28" s="450">
        <f>SUM(B25:B27)</f>
        <v>-66435.914521636572</v>
      </c>
      <c r="C28" s="450">
        <f t="shared" ref="C28:M28" si="7">SUM(C25:C27)</f>
        <v>-66435.914521636572</v>
      </c>
      <c r="D28" s="450">
        <f t="shared" si="7"/>
        <v>-66435.914521636572</v>
      </c>
      <c r="E28" s="450">
        <f t="shared" si="7"/>
        <v>-72435.914521636572</v>
      </c>
      <c r="F28" s="450">
        <f t="shared" si="7"/>
        <v>-72435.914521636572</v>
      </c>
      <c r="G28" s="450">
        <f t="shared" si="7"/>
        <v>-79679.505973800231</v>
      </c>
      <c r="H28" s="450">
        <f t="shared" si="7"/>
        <v>-79679.505973800231</v>
      </c>
      <c r="I28" s="450">
        <f t="shared" si="7"/>
        <v>-79679.505973800231</v>
      </c>
      <c r="J28" s="450">
        <f t="shared" si="7"/>
        <v>-79679.505973800231</v>
      </c>
      <c r="K28" s="450">
        <f t="shared" si="7"/>
        <v>-79679.505973800231</v>
      </c>
      <c r="L28" s="450">
        <f t="shared" si="7"/>
        <v>-79679.505973800231</v>
      </c>
      <c r="M28" s="450">
        <f t="shared" si="7"/>
        <v>-79679.505973800231</v>
      </c>
      <c r="N28" s="450">
        <f t="shared" si="2"/>
        <v>-901936.11442478432</v>
      </c>
    </row>
    <row r="29" spans="1:14" s="396" customFormat="1">
      <c r="B29" s="486"/>
      <c r="C29" s="486"/>
      <c r="D29" s="486"/>
      <c r="E29" s="486"/>
      <c r="F29" s="486"/>
      <c r="G29" s="486"/>
      <c r="H29" s="486"/>
      <c r="I29" s="486"/>
      <c r="J29" s="486"/>
      <c r="K29" s="486"/>
      <c r="L29" s="486"/>
      <c r="M29" s="486"/>
      <c r="N29" s="486">
        <f t="shared" si="2"/>
        <v>0</v>
      </c>
    </row>
    <row r="30" spans="1:14">
      <c r="A30" s="397" t="s">
        <v>928</v>
      </c>
      <c r="B30" s="436"/>
      <c r="C30" s="436"/>
      <c r="D30" s="436">
        <f t="shared" ref="D30:I30" si="8">-$E$61*$B$65*$B$86*C$1</f>
        <v>-6900</v>
      </c>
      <c r="E30" s="436">
        <f t="shared" si="8"/>
        <v>-6900</v>
      </c>
      <c r="F30" s="436">
        <f t="shared" si="8"/>
        <v>-6900</v>
      </c>
      <c r="G30" s="436">
        <f t="shared" si="8"/>
        <v>-6900</v>
      </c>
      <c r="H30" s="436">
        <f t="shared" si="8"/>
        <v>-6900</v>
      </c>
      <c r="I30" s="436">
        <f t="shared" si="8"/>
        <v>-6900</v>
      </c>
      <c r="J30" s="436">
        <f>-$E$62*$B$65*$B$86*I$2</f>
        <v>0</v>
      </c>
      <c r="K30" s="436">
        <f>-$E$62*$B$65*$B$86*J$2</f>
        <v>0</v>
      </c>
      <c r="L30" s="436">
        <f>-$E$62*$B$65*$B$86*K$2</f>
        <v>0</v>
      </c>
      <c r="M30" s="436">
        <f>-$E$62*$B$65*$B$86*L$2</f>
        <v>0</v>
      </c>
      <c r="N30" s="486">
        <f t="shared" si="2"/>
        <v>-41400</v>
      </c>
    </row>
    <row r="31" spans="1:14" s="396" customFormat="1" ht="15">
      <c r="A31" s="488" t="s">
        <v>537</v>
      </c>
      <c r="B31" s="448">
        <f t="shared" ref="B31:M31" si="9">-$B$117*B$20</f>
        <v>0</v>
      </c>
      <c r="C31" s="448">
        <f t="shared" si="9"/>
        <v>-1258.5</v>
      </c>
      <c r="D31" s="448">
        <f t="shared" si="9"/>
        <v>-1258.5</v>
      </c>
      <c r="E31" s="448">
        <f t="shared" si="9"/>
        <v>-1258.5</v>
      </c>
      <c r="F31" s="448">
        <f t="shared" si="9"/>
        <v>-1258.5</v>
      </c>
      <c r="G31" s="448">
        <f t="shared" si="9"/>
        <v>-1258.5</v>
      </c>
      <c r="H31" s="448">
        <f t="shared" si="9"/>
        <v>-1258.5</v>
      </c>
      <c r="I31" s="448">
        <f t="shared" si="9"/>
        <v>-1887.75</v>
      </c>
      <c r="J31" s="448">
        <f t="shared" si="9"/>
        <v>-1887.75</v>
      </c>
      <c r="K31" s="448">
        <f t="shared" si="9"/>
        <v>-1258.4999999999998</v>
      </c>
      <c r="L31" s="448">
        <f t="shared" si="9"/>
        <v>0</v>
      </c>
      <c r="M31" s="448">
        <f t="shared" si="9"/>
        <v>0</v>
      </c>
      <c r="N31" s="486">
        <f t="shared" si="2"/>
        <v>-12585</v>
      </c>
    </row>
    <row r="32" spans="1:14">
      <c r="A32" s="397" t="s">
        <v>533</v>
      </c>
      <c r="B32" s="436"/>
      <c r="G32" s="436"/>
      <c r="H32" s="436"/>
      <c r="J32" s="436"/>
      <c r="K32" s="436"/>
      <c r="L32" s="436"/>
      <c r="M32" s="436"/>
      <c r="N32" s="486">
        <f t="shared" si="2"/>
        <v>0</v>
      </c>
    </row>
    <row r="33" spans="1:14" ht="15">
      <c r="A33" s="488" t="s">
        <v>896</v>
      </c>
      <c r="B33" s="401"/>
      <c r="C33" s="401"/>
      <c r="E33" s="405"/>
      <c r="F33" s="405"/>
      <c r="G33" s="405"/>
      <c r="H33" s="405"/>
      <c r="I33" s="405"/>
      <c r="J33" s="405"/>
      <c r="K33" s="405"/>
      <c r="L33" s="405"/>
      <c r="M33" s="405"/>
      <c r="N33" s="515">
        <f t="shared" si="2"/>
        <v>0</v>
      </c>
    </row>
    <row r="34" spans="1:14" ht="15">
      <c r="A34" s="488" t="s">
        <v>931</v>
      </c>
      <c r="B34" s="405">
        <f>-$B$116</f>
        <v>-7260.9647599999998</v>
      </c>
      <c r="C34" s="405">
        <f t="shared" ref="C34:F34" si="10">-$B$116</f>
        <v>-7260.9647599999998</v>
      </c>
      <c r="D34" s="405">
        <f t="shared" si="10"/>
        <v>-7260.9647599999998</v>
      </c>
      <c r="E34" s="405">
        <f t="shared" si="10"/>
        <v>-7260.9647599999998</v>
      </c>
      <c r="F34" s="405">
        <f t="shared" si="10"/>
        <v>-7260.9647599999998</v>
      </c>
      <c r="G34" s="405">
        <f>-$B$116*(1+$B$115)</f>
        <v>-7987.0612360000005</v>
      </c>
      <c r="H34" s="405">
        <f t="shared" ref="H34:M34" si="11">-$B$116*(1+$B$115)</f>
        <v>-7987.0612360000005</v>
      </c>
      <c r="I34" s="405">
        <f t="shared" si="11"/>
        <v>-7987.0612360000005</v>
      </c>
      <c r="J34" s="405">
        <f t="shared" si="11"/>
        <v>-7987.0612360000005</v>
      </c>
      <c r="K34" s="405">
        <f t="shared" si="11"/>
        <v>-7987.0612360000005</v>
      </c>
      <c r="L34" s="405">
        <f t="shared" si="11"/>
        <v>-7987.0612360000005</v>
      </c>
      <c r="M34" s="405">
        <f t="shared" si="11"/>
        <v>-7987.0612360000005</v>
      </c>
      <c r="N34" s="515">
        <f t="shared" si="2"/>
        <v>-92214.252451999986</v>
      </c>
    </row>
    <row r="35" spans="1:14" ht="15">
      <c r="A35" s="488" t="s">
        <v>876</v>
      </c>
      <c r="B35" s="405">
        <f t="shared" ref="B35:M35" si="12">-$B$118*B$20</f>
        <v>0</v>
      </c>
      <c r="C35" s="405">
        <f t="shared" si="12"/>
        <v>-1887.75</v>
      </c>
      <c r="D35" s="405">
        <f t="shared" si="12"/>
        <v>-1887.75</v>
      </c>
      <c r="E35" s="405">
        <f t="shared" si="12"/>
        <v>-1887.75</v>
      </c>
      <c r="F35" s="405">
        <f t="shared" si="12"/>
        <v>-1887.75</v>
      </c>
      <c r="G35" s="405">
        <f t="shared" si="12"/>
        <v>-1887.75</v>
      </c>
      <c r="H35" s="405">
        <f t="shared" si="12"/>
        <v>-1887.75</v>
      </c>
      <c r="I35" s="405">
        <f t="shared" si="12"/>
        <v>-2831.625</v>
      </c>
      <c r="J35" s="405">
        <f t="shared" si="12"/>
        <v>-2831.625</v>
      </c>
      <c r="K35" s="405">
        <f t="shared" si="12"/>
        <v>-1887.7499999999995</v>
      </c>
      <c r="L35" s="405">
        <f t="shared" si="12"/>
        <v>0</v>
      </c>
      <c r="M35" s="405">
        <f t="shared" si="12"/>
        <v>0</v>
      </c>
      <c r="N35" s="515">
        <f t="shared" si="2"/>
        <v>-18877.5</v>
      </c>
    </row>
    <row r="36" spans="1:14" ht="15">
      <c r="A36" s="488" t="s">
        <v>877</v>
      </c>
      <c r="B36" s="421">
        <f t="shared" ref="B36:M36" si="13">-$B$119*B$20</f>
        <v>0</v>
      </c>
      <c r="C36" s="421">
        <f t="shared" si="13"/>
        <v>-629.25</v>
      </c>
      <c r="D36" s="421">
        <f t="shared" si="13"/>
        <v>-629.25</v>
      </c>
      <c r="E36" s="421">
        <f t="shared" si="13"/>
        <v>-629.25</v>
      </c>
      <c r="F36" s="421">
        <f t="shared" si="13"/>
        <v>-629.25</v>
      </c>
      <c r="G36" s="421">
        <f t="shared" si="13"/>
        <v>-629.25</v>
      </c>
      <c r="H36" s="421">
        <f t="shared" si="13"/>
        <v>-629.25</v>
      </c>
      <c r="I36" s="421">
        <f t="shared" si="13"/>
        <v>-943.875</v>
      </c>
      <c r="J36" s="421">
        <f t="shared" si="13"/>
        <v>-943.875</v>
      </c>
      <c r="K36" s="421">
        <f t="shared" si="13"/>
        <v>-629.24999999999989</v>
      </c>
      <c r="L36" s="421">
        <f t="shared" si="13"/>
        <v>0</v>
      </c>
      <c r="M36" s="421">
        <f t="shared" si="13"/>
        <v>0</v>
      </c>
      <c r="N36" s="516">
        <f t="shared" si="2"/>
        <v>-6292.5</v>
      </c>
    </row>
    <row r="37" spans="1:14" ht="15">
      <c r="A37" s="488" t="s">
        <v>546</v>
      </c>
      <c r="B37" s="405">
        <f t="shared" ref="B37:M37" si="14">-$B$120*B$20</f>
        <v>0</v>
      </c>
      <c r="C37" s="405">
        <f t="shared" si="14"/>
        <v>-629.25</v>
      </c>
      <c r="D37" s="405">
        <f t="shared" si="14"/>
        <v>-629.25</v>
      </c>
      <c r="E37" s="405">
        <f t="shared" si="14"/>
        <v>-629.25</v>
      </c>
      <c r="F37" s="405">
        <f t="shared" si="14"/>
        <v>-629.25</v>
      </c>
      <c r="G37" s="405">
        <f t="shared" si="14"/>
        <v>-629.25</v>
      </c>
      <c r="H37" s="405">
        <f t="shared" si="14"/>
        <v>-629.25</v>
      </c>
      <c r="I37" s="405">
        <f t="shared" si="14"/>
        <v>-943.875</v>
      </c>
      <c r="J37" s="405">
        <f t="shared" si="14"/>
        <v>-943.875</v>
      </c>
      <c r="K37" s="405">
        <f t="shared" si="14"/>
        <v>-629.24999999999989</v>
      </c>
      <c r="L37" s="405">
        <f t="shared" si="14"/>
        <v>0</v>
      </c>
      <c r="M37" s="405">
        <f t="shared" si="14"/>
        <v>0</v>
      </c>
      <c r="N37" s="515">
        <f t="shared" si="2"/>
        <v>-6292.5</v>
      </c>
    </row>
    <row r="38" spans="1:14" ht="15">
      <c r="A38" s="488" t="s">
        <v>550</v>
      </c>
      <c r="B38" s="405">
        <f t="shared" ref="B38:M38" si="15">-$B$121*B$20</f>
        <v>0</v>
      </c>
      <c r="C38" s="405">
        <f t="shared" si="15"/>
        <v>-629.25</v>
      </c>
      <c r="D38" s="405">
        <f t="shared" si="15"/>
        <v>-629.25</v>
      </c>
      <c r="E38" s="405">
        <f t="shared" si="15"/>
        <v>-629.25</v>
      </c>
      <c r="F38" s="405">
        <f t="shared" si="15"/>
        <v>-629.25</v>
      </c>
      <c r="G38" s="405">
        <f t="shared" si="15"/>
        <v>-629.25</v>
      </c>
      <c r="H38" s="405">
        <f t="shared" si="15"/>
        <v>-629.25</v>
      </c>
      <c r="I38" s="405">
        <f t="shared" si="15"/>
        <v>-943.875</v>
      </c>
      <c r="J38" s="405">
        <f t="shared" si="15"/>
        <v>-943.875</v>
      </c>
      <c r="K38" s="405">
        <f t="shared" si="15"/>
        <v>-629.24999999999989</v>
      </c>
      <c r="L38" s="405">
        <f t="shared" si="15"/>
        <v>0</v>
      </c>
      <c r="M38" s="405">
        <f t="shared" si="15"/>
        <v>0</v>
      </c>
      <c r="N38" s="515">
        <f t="shared" si="2"/>
        <v>-6292.5</v>
      </c>
    </row>
    <row r="39" spans="1:14" ht="15">
      <c r="A39" s="473" t="s">
        <v>878</v>
      </c>
      <c r="B39" s="493">
        <f>SUM(B30:B38)</f>
        <v>-7260.9647599999998</v>
      </c>
      <c r="C39" s="493">
        <f t="shared" ref="C39:M39" si="16">SUM(C30:C38)</f>
        <v>-12294.964759999999</v>
      </c>
      <c r="D39" s="493">
        <f t="shared" si="16"/>
        <v>-19194.964759999999</v>
      </c>
      <c r="E39" s="493">
        <f t="shared" si="16"/>
        <v>-19194.964759999999</v>
      </c>
      <c r="F39" s="493">
        <f t="shared" si="16"/>
        <v>-19194.964759999999</v>
      </c>
      <c r="G39" s="493">
        <f t="shared" si="16"/>
        <v>-19921.061236000001</v>
      </c>
      <c r="H39" s="493">
        <f t="shared" si="16"/>
        <v>-19921.061236000001</v>
      </c>
      <c r="I39" s="493">
        <f t="shared" si="16"/>
        <v>-22438.061236000001</v>
      </c>
      <c r="J39" s="493">
        <f t="shared" si="16"/>
        <v>-15538.061236000001</v>
      </c>
      <c r="K39" s="493">
        <f t="shared" si="16"/>
        <v>-13021.061236</v>
      </c>
      <c r="L39" s="493">
        <f t="shared" si="16"/>
        <v>-7987.0612360000005</v>
      </c>
      <c r="M39" s="493">
        <f t="shared" si="16"/>
        <v>-7987.0612360000005</v>
      </c>
      <c r="N39" s="493">
        <f t="shared" si="2"/>
        <v>-183954.25245200004</v>
      </c>
    </row>
    <row r="40" spans="1:14" s="396" customFormat="1" ht="15">
      <c r="A40" s="473" t="s">
        <v>551</v>
      </c>
      <c r="B40" s="494">
        <f>B39+B28</f>
        <v>-73696.879281636575</v>
      </c>
      <c r="C40" s="494">
        <f t="shared" ref="C40:M40" si="17">C39+C28</f>
        <v>-78730.879281636575</v>
      </c>
      <c r="D40" s="494">
        <f t="shared" si="17"/>
        <v>-85630.879281636575</v>
      </c>
      <c r="E40" s="494">
        <f t="shared" si="17"/>
        <v>-91630.879281636575</v>
      </c>
      <c r="F40" s="494">
        <f t="shared" si="17"/>
        <v>-91630.879281636575</v>
      </c>
      <c r="G40" s="494">
        <f t="shared" si="17"/>
        <v>-99600.56720980024</v>
      </c>
      <c r="H40" s="494">
        <f t="shared" si="17"/>
        <v>-99600.56720980024</v>
      </c>
      <c r="I40" s="494">
        <f t="shared" si="17"/>
        <v>-102117.56720980024</v>
      </c>
      <c r="J40" s="494">
        <f t="shared" si="17"/>
        <v>-95217.56720980024</v>
      </c>
      <c r="K40" s="494">
        <f t="shared" si="17"/>
        <v>-92700.567209800225</v>
      </c>
      <c r="L40" s="494">
        <f t="shared" si="17"/>
        <v>-87666.567209800225</v>
      </c>
      <c r="M40" s="494">
        <f t="shared" si="17"/>
        <v>-87666.567209800225</v>
      </c>
      <c r="N40" s="494">
        <f t="shared" si="2"/>
        <v>-1085890.3668767845</v>
      </c>
    </row>
    <row r="41" spans="1:14" ht="16" thickBot="1">
      <c r="A41" s="490" t="s">
        <v>881</v>
      </c>
      <c r="B41" s="495">
        <f>B23+B40</f>
        <v>-340424.7245304212</v>
      </c>
      <c r="C41" s="495">
        <f t="shared" ref="C41:M41" si="18">C23+C40</f>
        <v>-159341.94928163657</v>
      </c>
      <c r="D41" s="495">
        <f t="shared" si="18"/>
        <v>-22705.879281636575</v>
      </c>
      <c r="E41" s="495">
        <f t="shared" si="18"/>
        <v>-28705.879281636575</v>
      </c>
      <c r="F41" s="495">
        <f t="shared" si="18"/>
        <v>-28705.879281636575</v>
      </c>
      <c r="G41" s="495">
        <f t="shared" si="18"/>
        <v>-36675.56720980024</v>
      </c>
      <c r="H41" s="495">
        <f t="shared" si="18"/>
        <v>-36675.56720980024</v>
      </c>
      <c r="I41" s="495">
        <f t="shared" si="18"/>
        <v>-7730.0672098002397</v>
      </c>
      <c r="J41" s="495">
        <f t="shared" si="18"/>
        <v>-830.06720980023965</v>
      </c>
      <c r="K41" s="495">
        <f t="shared" si="18"/>
        <v>-29775.56720980024</v>
      </c>
      <c r="L41" s="495">
        <f t="shared" si="18"/>
        <v>-87666.567209800225</v>
      </c>
      <c r="M41" s="495">
        <f t="shared" si="18"/>
        <v>-87666.567209800225</v>
      </c>
      <c r="N41" s="495">
        <f t="shared" si="2"/>
        <v>-866904.28212556918</v>
      </c>
    </row>
    <row r="42" spans="1:14">
      <c r="A42" s="396"/>
    </row>
    <row r="43" spans="1:14" ht="15">
      <c r="A43" s="488" t="s">
        <v>882</v>
      </c>
    </row>
    <row r="44" spans="1:14">
      <c r="A44" s="397" t="s">
        <v>742</v>
      </c>
      <c r="B44" s="436"/>
      <c r="C44" s="436"/>
      <c r="D44" s="436"/>
      <c r="E44" s="436"/>
      <c r="F44" s="436"/>
      <c r="G44" s="436"/>
      <c r="H44" s="436"/>
      <c r="I44" s="436">
        <f>+'07 SG MRA Grant'!$F$9</f>
        <v>119885.375</v>
      </c>
      <c r="J44" s="436"/>
      <c r="K44" s="436"/>
      <c r="L44" s="436"/>
      <c r="M44" s="436"/>
      <c r="N44" s="516">
        <f t="shared" ref="N44:N48" si="19">SUM(B44:M44)</f>
        <v>119885.375</v>
      </c>
    </row>
    <row r="45" spans="1:14">
      <c r="A45" s="397" t="s">
        <v>136</v>
      </c>
      <c r="B45" s="436">
        <f>+$C$70</f>
        <v>357396.73000000004</v>
      </c>
      <c r="C45" s="448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516">
        <f t="shared" si="19"/>
        <v>357396.73000000004</v>
      </c>
    </row>
    <row r="46" spans="1:14" ht="14">
      <c r="A46" s="489" t="s">
        <v>984</v>
      </c>
      <c r="N46" s="516">
        <f t="shared" si="19"/>
        <v>0</v>
      </c>
    </row>
    <row r="47" spans="1:14">
      <c r="A47" s="397" t="s">
        <v>484</v>
      </c>
      <c r="B47" s="436"/>
      <c r="C47" s="436"/>
      <c r="D47" s="421">
        <f>-$C$75</f>
        <v>-40000</v>
      </c>
      <c r="E47" s="436">
        <f>-$C$76</f>
        <v>-25000</v>
      </c>
      <c r="F47" s="436">
        <f>-$C$77</f>
        <v>-10000</v>
      </c>
      <c r="G47" s="436"/>
      <c r="H47" s="436"/>
      <c r="I47" s="436">
        <f>-C72</f>
        <v>0</v>
      </c>
      <c r="J47" s="436"/>
      <c r="K47" s="436"/>
      <c r="L47" s="436"/>
      <c r="M47" s="436"/>
      <c r="N47" s="516">
        <f t="shared" si="19"/>
        <v>-75000</v>
      </c>
    </row>
    <row r="48" spans="1:14" ht="16" thickBot="1">
      <c r="A48" s="490" t="s">
        <v>886</v>
      </c>
      <c r="B48" s="509">
        <f>SUM(B41,B45:B47)</f>
        <v>16972.005469578842</v>
      </c>
      <c r="C48" s="509">
        <f t="shared" ref="C48:M48" si="20">SUM(C41,C45:C47)</f>
        <v>-159341.94928163657</v>
      </c>
      <c r="D48" s="509">
        <f t="shared" si="20"/>
        <v>-62705.879281636575</v>
      </c>
      <c r="E48" s="509">
        <f t="shared" si="20"/>
        <v>-53705.879281636575</v>
      </c>
      <c r="F48" s="509">
        <f t="shared" si="20"/>
        <v>-38705.879281636575</v>
      </c>
      <c r="G48" s="509">
        <f t="shared" si="20"/>
        <v>-36675.56720980024</v>
      </c>
      <c r="H48" s="509">
        <f t="shared" si="20"/>
        <v>-36675.56720980024</v>
      </c>
      <c r="I48" s="509">
        <f t="shared" si="20"/>
        <v>-7730.0672098002397</v>
      </c>
      <c r="J48" s="509">
        <f t="shared" si="20"/>
        <v>-830.06720980023965</v>
      </c>
      <c r="K48" s="509">
        <f t="shared" si="20"/>
        <v>-29775.56720980024</v>
      </c>
      <c r="L48" s="509">
        <f t="shared" si="20"/>
        <v>-87666.567209800225</v>
      </c>
      <c r="M48" s="509">
        <f t="shared" si="20"/>
        <v>-87666.567209800225</v>
      </c>
      <c r="N48" s="510">
        <f t="shared" si="19"/>
        <v>-584507.55212556908</v>
      </c>
    </row>
    <row r="49" spans="1:14" ht="14" thickTop="1">
      <c r="A49" s="396"/>
      <c r="B49" s="486"/>
      <c r="C49" s="486"/>
      <c r="D49" s="486"/>
      <c r="E49" s="486"/>
      <c r="F49" s="486"/>
      <c r="G49" s="486"/>
      <c r="H49" s="486"/>
      <c r="I49" s="404"/>
      <c r="J49" s="404"/>
      <c r="K49" s="404"/>
      <c r="L49" s="486"/>
      <c r="M49" s="486"/>
      <c r="N49" s="486"/>
    </row>
    <row r="50" spans="1:14">
      <c r="B50" s="401"/>
      <c r="C50" s="401"/>
      <c r="D50" s="401"/>
      <c r="E50" s="401"/>
      <c r="F50" s="401"/>
      <c r="G50" s="401"/>
      <c r="H50" s="401"/>
      <c r="I50" s="401"/>
      <c r="J50" s="401"/>
      <c r="K50" s="401"/>
      <c r="L50" s="436"/>
      <c r="M50" s="436"/>
      <c r="N50" s="486"/>
    </row>
    <row r="51" spans="1:14">
      <c r="A51" s="397" t="s">
        <v>747</v>
      </c>
      <c r="B51" s="401">
        <v>32988</v>
      </c>
      <c r="C51" s="401">
        <f>B53</f>
        <v>49960.005469578842</v>
      </c>
      <c r="D51" s="401">
        <f t="shared" ref="D51:M51" si="21">C53</f>
        <v>-109381.94381205773</v>
      </c>
      <c r="E51" s="401">
        <f t="shared" si="21"/>
        <v>-172087.82309369429</v>
      </c>
      <c r="F51" s="401">
        <f t="shared" si="21"/>
        <v>-225793.70237533085</v>
      </c>
      <c r="G51" s="401">
        <f t="shared" si="21"/>
        <v>-264499.58165696741</v>
      </c>
      <c r="H51" s="401">
        <f t="shared" si="21"/>
        <v>-301175.14886676765</v>
      </c>
      <c r="I51" s="401">
        <f t="shared" si="21"/>
        <v>-337850.71607656789</v>
      </c>
      <c r="J51" s="401">
        <f t="shared" si="21"/>
        <v>-345580.78328636813</v>
      </c>
      <c r="K51" s="401">
        <f t="shared" si="21"/>
        <v>-346410.85049616836</v>
      </c>
      <c r="L51" s="401">
        <f t="shared" si="21"/>
        <v>-376186.4177059686</v>
      </c>
      <c r="M51" s="401">
        <f t="shared" si="21"/>
        <v>-463852.98491576884</v>
      </c>
      <c r="N51" s="404">
        <f>+B51</f>
        <v>32988</v>
      </c>
    </row>
    <row r="52" spans="1:14">
      <c r="A52" s="397" t="s">
        <v>748</v>
      </c>
      <c r="B52" s="407">
        <f t="shared" ref="B52:M52" si="22">B48</f>
        <v>16972.005469578842</v>
      </c>
      <c r="C52" s="407">
        <f t="shared" si="22"/>
        <v>-159341.94928163657</v>
      </c>
      <c r="D52" s="407">
        <f t="shared" si="22"/>
        <v>-62705.879281636575</v>
      </c>
      <c r="E52" s="407">
        <f t="shared" si="22"/>
        <v>-53705.879281636575</v>
      </c>
      <c r="F52" s="407">
        <f t="shared" si="22"/>
        <v>-38705.879281636575</v>
      </c>
      <c r="G52" s="407">
        <f t="shared" si="22"/>
        <v>-36675.56720980024</v>
      </c>
      <c r="H52" s="407">
        <f t="shared" si="22"/>
        <v>-36675.56720980024</v>
      </c>
      <c r="I52" s="407">
        <f t="shared" si="22"/>
        <v>-7730.0672098002397</v>
      </c>
      <c r="J52" s="401">
        <f t="shared" si="22"/>
        <v>-830.06720980023965</v>
      </c>
      <c r="K52" s="401">
        <f t="shared" si="22"/>
        <v>-29775.56720980024</v>
      </c>
      <c r="L52" s="401">
        <f t="shared" si="22"/>
        <v>-87666.567209800225</v>
      </c>
      <c r="M52" s="401">
        <f t="shared" si="22"/>
        <v>-87666.567209800225</v>
      </c>
      <c r="N52" s="516">
        <f t="shared" ref="N52" si="23">SUM(B52:M52)</f>
        <v>-584507.55212556908</v>
      </c>
    </row>
    <row r="53" spans="1:14">
      <c r="A53" s="397" t="s">
        <v>749</v>
      </c>
      <c r="B53" s="401">
        <f>B51+B52</f>
        <v>49960.005469578842</v>
      </c>
      <c r="C53" s="401">
        <f t="shared" ref="C53:M53" si="24">C51+C52</f>
        <v>-109381.94381205773</v>
      </c>
      <c r="D53" s="401">
        <f t="shared" si="24"/>
        <v>-172087.82309369429</v>
      </c>
      <c r="E53" s="401">
        <f t="shared" si="24"/>
        <v>-225793.70237533085</v>
      </c>
      <c r="F53" s="401">
        <f t="shared" si="24"/>
        <v>-264499.58165696741</v>
      </c>
      <c r="G53" s="401">
        <f t="shared" si="24"/>
        <v>-301175.14886676765</v>
      </c>
      <c r="H53" s="401">
        <f t="shared" si="24"/>
        <v>-337850.71607656789</v>
      </c>
      <c r="I53" s="401">
        <f t="shared" si="24"/>
        <v>-345580.78328636813</v>
      </c>
      <c r="J53" s="401">
        <f t="shared" si="24"/>
        <v>-346410.85049616836</v>
      </c>
      <c r="K53" s="401">
        <f t="shared" si="24"/>
        <v>-376186.4177059686</v>
      </c>
      <c r="L53" s="401">
        <f t="shared" si="24"/>
        <v>-463852.98491576884</v>
      </c>
      <c r="M53" s="401">
        <f t="shared" si="24"/>
        <v>-551519.55212556908</v>
      </c>
      <c r="N53" s="404">
        <f>+N51+N52</f>
        <v>-551519.55212556908</v>
      </c>
    </row>
    <row r="55" spans="1:14">
      <c r="A55" s="396" t="str">
        <f>+A52</f>
        <v>Cash Surplus (+ve)/Deficit (-ve)</v>
      </c>
      <c r="B55" s="424">
        <f>ROUNDUP(SUM(B52:M52),0)</f>
        <v>-584508</v>
      </c>
    </row>
    <row r="56" spans="1:14">
      <c r="A56" s="396"/>
      <c r="B56" s="408"/>
    </row>
    <row r="57" spans="1:14">
      <c r="A57" s="396" t="s">
        <v>750</v>
      </c>
      <c r="B57" s="372">
        <f>ROUNDUP(IF(SUM(B52:M52)&gt;=0,0,SUM(B52:M52)*(-1)),0)</f>
        <v>584508</v>
      </c>
      <c r="C57" s="397" t="s">
        <v>825</v>
      </c>
    </row>
    <row r="59" spans="1:14">
      <c r="A59" s="397" t="s">
        <v>751</v>
      </c>
    </row>
    <row r="60" spans="1:14">
      <c r="I60" s="507" t="s">
        <v>929</v>
      </c>
      <c r="J60" s="517" t="s">
        <v>930</v>
      </c>
    </row>
    <row r="61" spans="1:14">
      <c r="A61" s="397" t="s">
        <v>752</v>
      </c>
      <c r="C61" s="409">
        <f>100*$B$7</f>
        <v>50</v>
      </c>
      <c r="D61" s="397" t="s">
        <v>753</v>
      </c>
      <c r="E61" s="409">
        <f>200*$B$7</f>
        <v>100</v>
      </c>
      <c r="F61" s="397" t="s">
        <v>754</v>
      </c>
      <c r="I61" s="402">
        <f>+(C61*B65+E61*B66)*SUM(C1:H1)</f>
        <v>377550</v>
      </c>
      <c r="J61" s="501">
        <f>+E61+C61</f>
        <v>150</v>
      </c>
    </row>
    <row r="62" spans="1:14" hidden="1">
      <c r="A62" s="397" t="s">
        <v>756</v>
      </c>
      <c r="C62" s="409">
        <f>IF(B7&lt;=75%,0,200*$B$7)</f>
        <v>0</v>
      </c>
      <c r="D62" s="397" t="s">
        <v>753</v>
      </c>
      <c r="E62" s="501">
        <f>IF(B7&lt;=75%,0,350*$B$7)</f>
        <v>0</v>
      </c>
      <c r="F62" s="502" t="s">
        <v>754</v>
      </c>
      <c r="G62" s="501">
        <f>IF(B7&lt;=75%,0,(700-E62-C62)*$B$7)</f>
        <v>0</v>
      </c>
      <c r="H62" s="397" t="s">
        <v>757</v>
      </c>
      <c r="I62" s="506">
        <f>+(C62*B65+E62*B66+G62*B67)*SUM(I2:M2)</f>
        <v>0</v>
      </c>
      <c r="J62" s="501">
        <f>+SUM(G62+E62+C62)*SUM(I2:M2)</f>
        <v>0</v>
      </c>
    </row>
    <row r="63" spans="1:14" hidden="1">
      <c r="A63" s="397" t="s">
        <v>759</v>
      </c>
      <c r="C63" s="409">
        <f>300*$B$7</f>
        <v>150</v>
      </c>
      <c r="D63" s="397" t="s">
        <v>823</v>
      </c>
      <c r="E63" s="501">
        <f>450*$B$7</f>
        <v>225</v>
      </c>
      <c r="F63" s="502" t="s">
        <v>754</v>
      </c>
      <c r="G63" s="501">
        <f>250*$B$7</f>
        <v>125</v>
      </c>
      <c r="H63" s="397" t="s">
        <v>757</v>
      </c>
      <c r="I63" s="410"/>
      <c r="J63" s="501"/>
    </row>
    <row r="64" spans="1:14" hidden="1">
      <c r="A64" s="397" t="s">
        <v>822</v>
      </c>
      <c r="C64" s="409">
        <f>300*$B$7</f>
        <v>150</v>
      </c>
      <c r="D64" s="397" t="s">
        <v>823</v>
      </c>
      <c r="E64" s="501">
        <f>450*$B$7</f>
        <v>225</v>
      </c>
      <c r="F64" s="502" t="s">
        <v>754</v>
      </c>
      <c r="G64" s="501">
        <f>250*$B$7</f>
        <v>125</v>
      </c>
      <c r="H64" s="397" t="s">
        <v>757</v>
      </c>
      <c r="I64" s="410"/>
      <c r="J64" s="501"/>
    </row>
    <row r="65" spans="1:14" ht="14" thickBot="1">
      <c r="A65" s="397" t="s">
        <v>760</v>
      </c>
      <c r="B65" s="411">
        <v>2300</v>
      </c>
      <c r="I65" s="508">
        <f>SUM(I61:I62)</f>
        <v>377550</v>
      </c>
      <c r="J65" s="518">
        <f>+J62+J61</f>
        <v>150</v>
      </c>
    </row>
    <row r="66" spans="1:14" ht="14" thickTop="1">
      <c r="A66" s="397" t="s">
        <v>761</v>
      </c>
      <c r="B66" s="411">
        <f>'[3]01 - Revenue Forecasts (KPIs)'!K15*0.85</f>
        <v>5142.5</v>
      </c>
      <c r="C66" s="397" t="s">
        <v>762</v>
      </c>
    </row>
    <row r="67" spans="1:14">
      <c r="A67" s="397" t="s">
        <v>814</v>
      </c>
      <c r="B67" s="411">
        <f>'[3]01 - Revenue Forecasts (KPIs)'!K24</f>
        <v>5899</v>
      </c>
    </row>
    <row r="70" spans="1:14">
      <c r="A70" s="397" t="s">
        <v>792</v>
      </c>
      <c r="C70" s="413">
        <f>'[3]Inventory Loan'!E23</f>
        <v>357396.73000000004</v>
      </c>
      <c r="D70" s="412" t="s">
        <v>920</v>
      </c>
      <c r="E70" s="412"/>
    </row>
    <row r="72" spans="1:14" hidden="1">
      <c r="A72" s="397" t="s">
        <v>765</v>
      </c>
      <c r="C72" s="413">
        <f>IF(B7&lt;=75%,0,'10 Laser Balancing Int vs Ext'!B42)</f>
        <v>0</v>
      </c>
      <c r="D72" s="397" t="s">
        <v>919</v>
      </c>
    </row>
    <row r="74" spans="1:14">
      <c r="A74" s="397" t="s">
        <v>933</v>
      </c>
      <c r="C74" s="409" t="s">
        <v>158</v>
      </c>
      <c r="D74" s="397" t="s">
        <v>767</v>
      </c>
    </row>
    <row r="75" spans="1:14">
      <c r="A75" s="397" t="s">
        <v>768</v>
      </c>
      <c r="C75" s="413">
        <v>40000</v>
      </c>
      <c r="D75" s="397" t="s">
        <v>771</v>
      </c>
    </row>
    <row r="76" spans="1:14">
      <c r="A76" s="397" t="s">
        <v>770</v>
      </c>
      <c r="C76" s="413">
        <v>25000</v>
      </c>
      <c r="D76" s="397" t="s">
        <v>789</v>
      </c>
    </row>
    <row r="77" spans="1:14">
      <c r="A77" s="397" t="s">
        <v>772</v>
      </c>
      <c r="C77" s="413">
        <v>10000</v>
      </c>
      <c r="D77" s="397" t="s">
        <v>828</v>
      </c>
    </row>
    <row r="79" spans="1:14" s="438" customFormat="1">
      <c r="A79" s="397" t="s">
        <v>788</v>
      </c>
      <c r="B79" s="397"/>
      <c r="C79" s="397"/>
      <c r="D79" s="397"/>
      <c r="E79" s="397"/>
      <c r="F79" s="397"/>
      <c r="G79" s="397"/>
      <c r="H79" s="397"/>
      <c r="I79" s="397"/>
      <c r="J79" s="397"/>
      <c r="K79" s="397"/>
      <c r="L79" s="397"/>
      <c r="M79" s="397"/>
      <c r="N79" s="396"/>
    </row>
    <row r="80" spans="1:14" s="438" customFormat="1">
      <c r="A80" s="397" t="s">
        <v>773</v>
      </c>
      <c r="B80" s="397">
        <v>330</v>
      </c>
      <c r="C80" s="503">
        <f>+'04 MFG Batch 0001 Cost (330pc)'!C35</f>
        <v>410263.91524878464</v>
      </c>
      <c r="D80" s="397" t="s">
        <v>774</v>
      </c>
      <c r="E80" s="397"/>
      <c r="F80" s="397"/>
      <c r="G80" s="397"/>
      <c r="H80" s="397"/>
      <c r="I80" s="397"/>
      <c r="J80" s="397"/>
      <c r="K80" s="397"/>
      <c r="L80" s="397"/>
      <c r="M80" s="397"/>
      <c r="N80" s="396"/>
    </row>
    <row r="81" spans="1:14" s="438" customFormat="1" hidden="1">
      <c r="A81" s="397" t="s">
        <v>916</v>
      </c>
      <c r="B81" s="415">
        <f>IF(B7&lt;=75%,0,700*$B$7)</f>
        <v>0</v>
      </c>
      <c r="C81" s="413">
        <f>+'08 BOM Costs'!D5*'01a Cashflow Forecast - 12 mths'!B81</f>
        <v>0</v>
      </c>
      <c r="D81" s="397" t="s">
        <v>776</v>
      </c>
      <c r="E81" s="397"/>
      <c r="F81" s="397"/>
      <c r="G81" s="397"/>
      <c r="H81" s="397"/>
      <c r="I81" s="397"/>
      <c r="J81" s="397"/>
      <c r="K81" s="397"/>
      <c r="L81" s="397"/>
      <c r="M81" s="397"/>
      <c r="N81" s="396"/>
    </row>
    <row r="82" spans="1:14" s="438" customFormat="1" hidden="1">
      <c r="A82" s="397" t="s">
        <v>917</v>
      </c>
      <c r="B82" s="415">
        <f>1000*B7</f>
        <v>500</v>
      </c>
      <c r="C82" s="413">
        <f>'08 BOM Costs'!D6*B82</f>
        <v>525476.31245547824</v>
      </c>
      <c r="D82" s="397" t="s">
        <v>778</v>
      </c>
      <c r="E82" s="397"/>
      <c r="F82" s="397"/>
      <c r="G82" s="397"/>
      <c r="H82" s="397"/>
      <c r="I82" s="397"/>
      <c r="J82" s="397"/>
      <c r="K82" s="397"/>
      <c r="L82" s="397"/>
      <c r="M82" s="397"/>
      <c r="N82" s="396"/>
    </row>
    <row r="83" spans="1:14" s="438" customFormat="1" hidden="1">
      <c r="A83" s="397" t="s">
        <v>918</v>
      </c>
      <c r="B83" s="415">
        <f>1000*B7</f>
        <v>500</v>
      </c>
      <c r="C83" s="504">
        <f>B83*'08 BOM Costs'!D7</f>
        <v>472500</v>
      </c>
      <c r="D83" s="397" t="s">
        <v>826</v>
      </c>
      <c r="E83" s="397"/>
      <c r="F83" s="397"/>
      <c r="G83" s="397"/>
      <c r="H83" s="397"/>
      <c r="I83" s="397"/>
      <c r="J83" s="397"/>
      <c r="K83" s="397"/>
      <c r="L83" s="397"/>
      <c r="M83" s="397"/>
      <c r="N83" s="396"/>
    </row>
    <row r="84" spans="1:14" s="438" customFormat="1" hidden="1">
      <c r="A84" s="397"/>
      <c r="B84" s="397"/>
      <c r="C84" s="397"/>
      <c r="D84" s="397"/>
      <c r="E84" s="397"/>
      <c r="F84" s="397"/>
      <c r="G84" s="397"/>
      <c r="H84" s="397"/>
      <c r="I84" s="397"/>
      <c r="J84" s="397"/>
      <c r="K84" s="397"/>
      <c r="L84" s="397"/>
      <c r="M84" s="397"/>
      <c r="N84" s="396"/>
    </row>
    <row r="86" spans="1:14">
      <c r="A86" s="438" t="s">
        <v>934</v>
      </c>
      <c r="B86" s="441">
        <v>0.3</v>
      </c>
      <c r="C86" s="438" t="s">
        <v>807</v>
      </c>
      <c r="D86" s="438"/>
      <c r="E86" s="438"/>
      <c r="F86" s="438"/>
      <c r="G86" s="438"/>
      <c r="H86" s="438"/>
      <c r="I86" s="439">
        <v>2300</v>
      </c>
      <c r="J86" s="438" t="s">
        <v>808</v>
      </c>
      <c r="K86" s="438"/>
      <c r="L86" s="438"/>
      <c r="M86" s="438"/>
      <c r="N86" s="422"/>
    </row>
    <row r="87" spans="1:14">
      <c r="A87" s="438"/>
      <c r="B87" s="438"/>
      <c r="C87" s="438" t="s">
        <v>809</v>
      </c>
      <c r="D87" s="438"/>
      <c r="E87" s="440">
        <f>B66</f>
        <v>5142.5</v>
      </c>
      <c r="F87" s="438" t="str">
        <f>C66</f>
        <v>less 15% commission to 1099 agents</v>
      </c>
      <c r="G87" s="438"/>
      <c r="H87" s="438"/>
      <c r="I87" s="438"/>
      <c r="J87" s="438"/>
      <c r="K87" s="438"/>
      <c r="L87" s="438"/>
      <c r="M87" s="438"/>
      <c r="N87" s="422"/>
    </row>
    <row r="88" spans="1:14" hidden="1">
      <c r="A88" s="438"/>
      <c r="B88" s="438"/>
      <c r="C88" s="438"/>
      <c r="D88" s="438"/>
      <c r="E88" s="440"/>
      <c r="F88" s="438"/>
      <c r="G88" s="438"/>
      <c r="H88" s="438"/>
      <c r="I88" s="438"/>
      <c r="J88" s="438"/>
      <c r="K88" s="438"/>
      <c r="L88" s="438"/>
      <c r="M88" s="438"/>
      <c r="N88" s="422"/>
    </row>
    <row r="89" spans="1:14" ht="11.25" hidden="1" customHeight="1">
      <c r="A89" s="491" t="s">
        <v>923</v>
      </c>
      <c r="B89" s="438"/>
      <c r="C89" s="438"/>
      <c r="D89" s="438"/>
      <c r="E89" s="438"/>
      <c r="F89" s="438"/>
      <c r="G89" s="438"/>
      <c r="H89" s="438"/>
      <c r="I89" s="438"/>
      <c r="J89" s="438"/>
      <c r="K89" s="438"/>
      <c r="L89" s="438"/>
      <c r="M89" s="438"/>
      <c r="N89" s="422"/>
    </row>
    <row r="90" spans="1:14" hidden="1">
      <c r="A90" s="491" t="s">
        <v>897</v>
      </c>
      <c r="B90" s="499">
        <f>IF(B7&gt;=75%,140710.08,0)</f>
        <v>0</v>
      </c>
      <c r="C90" s="438"/>
      <c r="D90" s="438"/>
      <c r="E90" s="438"/>
      <c r="F90" s="438"/>
      <c r="G90" s="438"/>
      <c r="H90" s="438"/>
      <c r="I90" s="438"/>
      <c r="J90" s="438"/>
      <c r="K90" s="438"/>
      <c r="L90" s="438"/>
      <c r="M90" s="438"/>
      <c r="N90" s="422"/>
    </row>
    <row r="91" spans="1:14" hidden="1">
      <c r="A91" s="491" t="s">
        <v>898</v>
      </c>
      <c r="B91" s="499">
        <f>IF(B7&gt;=75%,138197.4,0)</f>
        <v>0</v>
      </c>
      <c r="C91" s="438"/>
      <c r="D91" s="438"/>
      <c r="E91" s="438"/>
      <c r="F91" s="438"/>
      <c r="G91" s="438"/>
      <c r="H91" s="438"/>
      <c r="I91" s="438"/>
      <c r="J91" s="438"/>
      <c r="K91" s="438"/>
      <c r="L91" s="438"/>
      <c r="M91" s="438"/>
      <c r="N91" s="422"/>
    </row>
    <row r="92" spans="1:14" hidden="1">
      <c r="A92" s="491" t="s">
        <v>899</v>
      </c>
      <c r="B92" s="499">
        <f>IF(B7&gt;=100%,443488.02,0)/3</f>
        <v>0</v>
      </c>
      <c r="C92" s="438"/>
      <c r="D92" s="438"/>
      <c r="E92" s="438"/>
      <c r="F92" s="438"/>
      <c r="G92" s="438"/>
      <c r="H92" s="438"/>
      <c r="I92" s="438"/>
      <c r="J92" s="438"/>
      <c r="K92" s="438"/>
      <c r="L92" s="438"/>
      <c r="M92" s="438"/>
      <c r="N92" s="422"/>
    </row>
    <row r="93" spans="1:14" hidden="1">
      <c r="A93" s="491" t="s">
        <v>900</v>
      </c>
      <c r="B93" s="500">
        <f>IF(B7&gt;=100%,314085,0)/3</f>
        <v>0</v>
      </c>
      <c r="C93" s="438"/>
      <c r="D93" s="438"/>
      <c r="E93" s="438"/>
      <c r="F93" s="438"/>
      <c r="G93" s="438"/>
      <c r="H93" s="438"/>
      <c r="I93" s="438"/>
      <c r="J93" s="438"/>
      <c r="K93" s="438"/>
      <c r="L93" s="438"/>
      <c r="M93" s="438"/>
      <c r="N93" s="422"/>
    </row>
    <row r="94" spans="1:14" hidden="1">
      <c r="A94" s="491" t="s">
        <v>901</v>
      </c>
      <c r="B94" s="421">
        <v>314085</v>
      </c>
    </row>
    <row r="95" spans="1:14" hidden="1">
      <c r="A95" s="491" t="s">
        <v>902</v>
      </c>
      <c r="B95" s="421">
        <v>628170</v>
      </c>
    </row>
    <row r="96" spans="1:14" hidden="1">
      <c r="A96" s="491" t="s">
        <v>903</v>
      </c>
      <c r="B96" s="421">
        <v>667191</v>
      </c>
    </row>
    <row r="97" spans="1:3" hidden="1">
      <c r="A97" s="491" t="s">
        <v>599</v>
      </c>
      <c r="B97" s="421">
        <f>IF(B7&gt;=100%,100000,0)</f>
        <v>0</v>
      </c>
    </row>
    <row r="98" spans="1:3" hidden="1">
      <c r="A98" s="491" t="s">
        <v>915</v>
      </c>
      <c r="B98" s="421">
        <f>493489/12</f>
        <v>41124.083333333336</v>
      </c>
    </row>
    <row r="99" spans="1:3" hidden="1">
      <c r="A99" s="491" t="s">
        <v>601</v>
      </c>
      <c r="B99" s="492">
        <f>IF(B7&gt;=100%,300000,0)/2</f>
        <v>0</v>
      </c>
    </row>
    <row r="100" spans="1:3" hidden="1">
      <c r="A100" s="491" t="s">
        <v>914</v>
      </c>
      <c r="B100" s="492">
        <f>256924.017383829/12</f>
        <v>21410.334781985748</v>
      </c>
    </row>
    <row r="101" spans="1:3" hidden="1">
      <c r="A101" s="491"/>
      <c r="B101" s="421">
        <f>+B90+B91+B92+B93+B97+B99</f>
        <v>0</v>
      </c>
    </row>
    <row r="102" spans="1:3" hidden="1">
      <c r="A102" s="491" t="s">
        <v>924</v>
      </c>
      <c r="B102" s="421"/>
    </row>
    <row r="103" spans="1:3" hidden="1">
      <c r="A103" s="491" t="s">
        <v>605</v>
      </c>
      <c r="B103" s="421">
        <f>IF(B7&gt;=75%,437109.38379738/36,0)</f>
        <v>0</v>
      </c>
    </row>
    <row r="104" spans="1:3" hidden="1">
      <c r="A104" s="491" t="s">
        <v>606</v>
      </c>
      <c r="B104" s="421">
        <f>IF(B7&gt;=75%,1033043.60124931/96,0)</f>
        <v>0</v>
      </c>
    </row>
    <row r="105" spans="1:3" hidden="1">
      <c r="A105" s="491" t="s">
        <v>607</v>
      </c>
      <c r="B105" s="492">
        <f>IF(B7&gt;=75%,721252.443235271/72,0)</f>
        <v>0</v>
      </c>
    </row>
    <row r="106" spans="1:3" hidden="1">
      <c r="A106" s="491"/>
      <c r="B106" s="421">
        <f>SUM(B103:B105)</f>
        <v>0</v>
      </c>
    </row>
    <row r="108" spans="1:3">
      <c r="A108" s="397" t="s">
        <v>935</v>
      </c>
      <c r="B108" s="412">
        <v>0.1</v>
      </c>
      <c r="C108" s="397" t="s">
        <v>911</v>
      </c>
    </row>
    <row r="109" spans="1:3">
      <c r="A109" s="397" t="s">
        <v>871</v>
      </c>
      <c r="B109" s="421">
        <f>'01c Actual Cashflow Stt'!AY9</f>
        <v>52793.179798578203</v>
      </c>
    </row>
    <row r="110" spans="1:3">
      <c r="A110" s="397" t="s">
        <v>872</v>
      </c>
      <c r="B110" s="421">
        <f>'01c Actual Cashflow Stt'!AY10</f>
        <v>6452.8909730583664</v>
      </c>
    </row>
    <row r="111" spans="1:3">
      <c r="A111" s="397" t="s">
        <v>904</v>
      </c>
      <c r="B111" s="421">
        <f>'01c Actual Cashflow Stt'!AY11</f>
        <v>7189.84375</v>
      </c>
    </row>
    <row r="112" spans="1:3">
      <c r="A112" s="397" t="s">
        <v>905</v>
      </c>
      <c r="B112" s="421">
        <v>2000</v>
      </c>
      <c r="C112" s="397" t="s">
        <v>908</v>
      </c>
    </row>
    <row r="113" spans="1:3">
      <c r="A113" s="397" t="s">
        <v>906</v>
      </c>
      <c r="B113" s="421">
        <v>1000</v>
      </c>
      <c r="C113" s="397" t="s">
        <v>907</v>
      </c>
    </row>
    <row r="115" spans="1:3">
      <c r="A115" s="397" t="s">
        <v>936</v>
      </c>
      <c r="B115" s="412">
        <v>0.1</v>
      </c>
      <c r="C115" s="397" t="s">
        <v>911</v>
      </c>
    </row>
    <row r="116" spans="1:3">
      <c r="A116" s="397" t="s">
        <v>549</v>
      </c>
      <c r="B116" s="505">
        <f>IF(B7&gt;=75%,'01c Actual Cashflow Stt'!AY18,'01c Actual Cashflow Stt'!AY18)</f>
        <v>7260.9647599999998</v>
      </c>
    </row>
    <row r="117" spans="1:3">
      <c r="A117" s="397" t="s">
        <v>537</v>
      </c>
      <c r="B117" s="412">
        <v>0.02</v>
      </c>
      <c r="C117" s="397" t="s">
        <v>909</v>
      </c>
    </row>
    <row r="118" spans="1:3">
      <c r="A118" s="397" t="s">
        <v>876</v>
      </c>
      <c r="B118" s="412">
        <v>0.03</v>
      </c>
      <c r="C118" s="397" t="s">
        <v>909</v>
      </c>
    </row>
    <row r="119" spans="1:3">
      <c r="A119" s="397" t="s">
        <v>910</v>
      </c>
      <c r="B119" s="412">
        <v>0.01</v>
      </c>
      <c r="C119" s="397" t="s">
        <v>909</v>
      </c>
    </row>
    <row r="120" spans="1:3">
      <c r="A120" s="397" t="s">
        <v>546</v>
      </c>
      <c r="B120" s="412">
        <v>0.01</v>
      </c>
      <c r="C120" s="397" t="s">
        <v>909</v>
      </c>
    </row>
    <row r="121" spans="1:3">
      <c r="A121" s="397" t="s">
        <v>550</v>
      </c>
      <c r="B121" s="412">
        <v>0.01</v>
      </c>
      <c r="C121" s="397" t="s">
        <v>909</v>
      </c>
    </row>
    <row r="123" spans="1:3">
      <c r="A123" s="397" t="s">
        <v>981</v>
      </c>
    </row>
  </sheetData>
  <dataValidations count="2">
    <dataValidation type="list" allowBlank="1" showInputMessage="1" showErrorMessage="1" sqref="B7" xr:uid="{9C241803-65DD-094E-B1C0-DBD1B7BD5523}">
      <formula1>"0%,50%,75%,100%"</formula1>
    </dataValidation>
    <dataValidation type="list" allowBlank="1" showInputMessage="1" showErrorMessage="1" sqref="B86" xr:uid="{5B980011-1616-0F4F-834F-DD7CF8EDD250}">
      <formula1>"30%,50%"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BFF0-AF7C-6F4D-BA7D-3193A42DF7E3}">
  <dimension ref="A1:AN123"/>
  <sheetViews>
    <sheetView tabSelected="1" zoomScale="110" zoomScaleNormal="110" workbookViewId="0">
      <pane xSplit="1" ySplit="8" topLeftCell="B39" activePane="bottomRight" state="frozen"/>
      <selection pane="topRight" activeCell="B1" sqref="B1"/>
      <selection pane="bottomLeft" activeCell="A9" sqref="A9"/>
      <selection pane="bottomRight" activeCell="B7" sqref="B7"/>
    </sheetView>
  </sheetViews>
  <sheetFormatPr baseColWidth="10" defaultRowHeight="13"/>
  <cols>
    <col min="1" max="1" width="36" style="397" customWidth="1"/>
    <col min="2" max="2" width="17.33203125" style="397" customWidth="1"/>
    <col min="3" max="3" width="17" style="397" customWidth="1"/>
    <col min="4" max="4" width="16.33203125" style="397" customWidth="1"/>
    <col min="5" max="6" width="15.5" style="397" customWidth="1"/>
    <col min="7" max="7" width="11.6640625" style="397" bestFit="1" customWidth="1"/>
    <col min="8" max="8" width="13" style="397" customWidth="1"/>
    <col min="9" max="9" width="13.1640625" style="397" customWidth="1"/>
    <col min="10" max="10" width="15.1640625" style="397" customWidth="1"/>
    <col min="11" max="11" width="13.33203125" style="397" customWidth="1"/>
    <col min="12" max="12" width="14.1640625" style="397" customWidth="1"/>
    <col min="13" max="13" width="12.6640625" style="397" bestFit="1" customWidth="1"/>
    <col min="14" max="14" width="13.6640625" style="397" bestFit="1" customWidth="1"/>
    <col min="15" max="23" width="12.6640625" style="397" bestFit="1" customWidth="1"/>
    <col min="24" max="24" width="15.5" style="397" customWidth="1"/>
    <col min="25" max="33" width="12.6640625" style="397" bestFit="1" customWidth="1"/>
    <col min="34" max="34" width="14" style="397" customWidth="1"/>
    <col min="35" max="35" width="12.6640625" style="397" bestFit="1" customWidth="1"/>
    <col min="36" max="36" width="13.6640625" style="397" customWidth="1"/>
    <col min="37" max="37" width="12.6640625" style="397" bestFit="1" customWidth="1"/>
    <col min="38" max="16384" width="10.83203125" style="397"/>
  </cols>
  <sheetData>
    <row r="1" spans="1:37" s="434" customFormat="1">
      <c r="A1" s="434" t="s">
        <v>927</v>
      </c>
      <c r="C1" s="435">
        <v>0.1</v>
      </c>
      <c r="D1" s="435">
        <v>0.1</v>
      </c>
      <c r="E1" s="435">
        <v>0.1</v>
      </c>
      <c r="F1" s="435">
        <v>0.1</v>
      </c>
      <c r="G1" s="435">
        <v>0.1</v>
      </c>
      <c r="H1" s="435">
        <v>0.1</v>
      </c>
      <c r="I1" s="435">
        <v>0.15</v>
      </c>
      <c r="J1" s="435">
        <v>0.15</v>
      </c>
      <c r="K1" s="435">
        <f>1-SUM(C1:J1)</f>
        <v>9.9999999999999978E-2</v>
      </c>
    </row>
    <row r="2" spans="1:37" s="434" customFormat="1">
      <c r="I2" s="435">
        <v>0.1</v>
      </c>
      <c r="J2" s="435">
        <v>0.15</v>
      </c>
      <c r="K2" s="434">
        <v>0.2</v>
      </c>
      <c r="L2" s="434">
        <v>0.05</v>
      </c>
      <c r="M2" s="434">
        <v>0.05</v>
      </c>
      <c r="N2" s="434">
        <v>0.05</v>
      </c>
      <c r="O2" s="434">
        <v>0.05</v>
      </c>
      <c r="P2" s="434">
        <v>0.15</v>
      </c>
      <c r="Q2" s="434">
        <v>0.15</v>
      </c>
      <c r="R2" s="434">
        <f>1-SUM(I2:Q2)</f>
        <v>4.9999999999999822E-2</v>
      </c>
    </row>
    <row r="3" spans="1:37" s="434" customFormat="1">
      <c r="L3" s="435"/>
      <c r="S3" s="434">
        <v>0.15</v>
      </c>
      <c r="T3" s="434">
        <v>0.05</v>
      </c>
      <c r="U3" s="434">
        <v>0.15</v>
      </c>
      <c r="V3" s="434">
        <v>0.05</v>
      </c>
      <c r="W3" s="434">
        <v>0.1</v>
      </c>
      <c r="X3" s="434">
        <v>0.15</v>
      </c>
      <c r="Y3" s="434">
        <v>0.05</v>
      </c>
      <c r="Z3" s="434">
        <v>0.05</v>
      </c>
      <c r="AA3" s="434">
        <v>0.05</v>
      </c>
      <c r="AB3" s="434">
        <v>0.05</v>
      </c>
      <c r="AC3" s="434">
        <f>1-SUM(S3:AB3)</f>
        <v>0.1499999999999998</v>
      </c>
    </row>
    <row r="4" spans="1:37" s="434" customFormat="1">
      <c r="M4" s="435"/>
      <c r="AD4" s="434">
        <v>0.2</v>
      </c>
      <c r="AE4" s="434">
        <v>0.15</v>
      </c>
      <c r="AF4" s="434">
        <v>0.05</v>
      </c>
      <c r="AG4" s="434">
        <v>0.15</v>
      </c>
      <c r="AH4" s="434">
        <v>0.05</v>
      </c>
      <c r="AI4" s="434">
        <v>0.1</v>
      </c>
      <c r="AJ4" s="434">
        <v>0.15</v>
      </c>
      <c r="AK4" s="434">
        <v>0.05</v>
      </c>
    </row>
    <row r="5" spans="1:37" s="409" customFormat="1" ht="55" customHeight="1">
      <c r="A5" s="451" t="s">
        <v>208</v>
      </c>
      <c r="B5" s="444"/>
      <c r="C5" s="426"/>
      <c r="D5" s="427" t="s">
        <v>795</v>
      </c>
      <c r="E5" s="427" t="s">
        <v>812</v>
      </c>
      <c r="F5" s="427" t="s">
        <v>811</v>
      </c>
      <c r="G5" s="409" t="s">
        <v>796</v>
      </c>
      <c r="I5" s="409" t="s">
        <v>797</v>
      </c>
      <c r="J5" s="426"/>
      <c r="K5" s="445" t="s">
        <v>810</v>
      </c>
      <c r="L5" s="446" t="s">
        <v>813</v>
      </c>
      <c r="N5" s="447"/>
      <c r="O5" s="447"/>
      <c r="Q5" s="427" t="s">
        <v>812</v>
      </c>
      <c r="R5" s="427" t="s">
        <v>811</v>
      </c>
      <c r="S5" s="409" t="s">
        <v>796</v>
      </c>
      <c r="U5" s="409" t="s">
        <v>797</v>
      </c>
      <c r="V5" s="426"/>
      <c r="W5" s="445" t="s">
        <v>810</v>
      </c>
      <c r="X5" s="446" t="s">
        <v>813</v>
      </c>
      <c r="AC5" s="427" t="s">
        <v>812</v>
      </c>
      <c r="AD5" s="427" t="s">
        <v>811</v>
      </c>
      <c r="AE5" s="409" t="s">
        <v>796</v>
      </c>
      <c r="AG5" s="409" t="s">
        <v>797</v>
      </c>
      <c r="AH5" s="426"/>
      <c r="AI5" s="445" t="s">
        <v>810</v>
      </c>
      <c r="AJ5" s="446" t="s">
        <v>813</v>
      </c>
    </row>
    <row r="6" spans="1:37">
      <c r="A6" s="422" t="s">
        <v>805</v>
      </c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</row>
    <row r="7" spans="1:37">
      <c r="A7" s="422" t="s">
        <v>913</v>
      </c>
      <c r="B7" s="498">
        <v>0.5</v>
      </c>
      <c r="C7" s="419" t="s">
        <v>926</v>
      </c>
      <c r="D7" s="419"/>
      <c r="E7" s="419"/>
      <c r="F7" s="419"/>
      <c r="G7" s="419"/>
      <c r="H7" s="419"/>
      <c r="I7" s="419"/>
      <c r="J7" s="419"/>
      <c r="K7" s="419"/>
      <c r="L7" s="419"/>
      <c r="M7" s="419"/>
    </row>
    <row r="8" spans="1:37" s="409" customFormat="1">
      <c r="B8" s="442">
        <v>45870</v>
      </c>
      <c r="C8" s="442">
        <f>B8+31</f>
        <v>45901</v>
      </c>
      <c r="D8" s="442">
        <f>C8+31</f>
        <v>45932</v>
      </c>
      <c r="E8" s="442">
        <f t="shared" ref="E8:AK8" si="0">D8+31</f>
        <v>45963</v>
      </c>
      <c r="F8" s="442">
        <f t="shared" si="0"/>
        <v>45994</v>
      </c>
      <c r="G8" s="442">
        <f t="shared" si="0"/>
        <v>46025</v>
      </c>
      <c r="H8" s="442">
        <f t="shared" si="0"/>
        <v>46056</v>
      </c>
      <c r="I8" s="442">
        <f t="shared" si="0"/>
        <v>46087</v>
      </c>
      <c r="J8" s="442">
        <f t="shared" si="0"/>
        <v>46118</v>
      </c>
      <c r="K8" s="442">
        <f t="shared" si="0"/>
        <v>46149</v>
      </c>
      <c r="L8" s="442">
        <f t="shared" si="0"/>
        <v>46180</v>
      </c>
      <c r="M8" s="443">
        <f t="shared" si="0"/>
        <v>46211</v>
      </c>
      <c r="N8" s="442">
        <f t="shared" si="0"/>
        <v>46242</v>
      </c>
      <c r="O8" s="442">
        <f t="shared" si="0"/>
        <v>46273</v>
      </c>
      <c r="P8" s="442">
        <f t="shared" si="0"/>
        <v>46304</v>
      </c>
      <c r="Q8" s="442">
        <f t="shared" si="0"/>
        <v>46335</v>
      </c>
      <c r="R8" s="442">
        <f t="shared" si="0"/>
        <v>46366</v>
      </c>
      <c r="S8" s="442">
        <f t="shared" si="0"/>
        <v>46397</v>
      </c>
      <c r="T8" s="442">
        <f t="shared" si="0"/>
        <v>46428</v>
      </c>
      <c r="U8" s="442">
        <f t="shared" si="0"/>
        <v>46459</v>
      </c>
      <c r="V8" s="442">
        <f t="shared" si="0"/>
        <v>46490</v>
      </c>
      <c r="W8" s="442">
        <f t="shared" si="0"/>
        <v>46521</v>
      </c>
      <c r="X8" s="442">
        <f t="shared" si="0"/>
        <v>46552</v>
      </c>
      <c r="Y8" s="442">
        <f t="shared" si="0"/>
        <v>46583</v>
      </c>
      <c r="Z8" s="442">
        <f t="shared" si="0"/>
        <v>46614</v>
      </c>
      <c r="AA8" s="442">
        <f t="shared" si="0"/>
        <v>46645</v>
      </c>
      <c r="AB8" s="442">
        <f t="shared" si="0"/>
        <v>46676</v>
      </c>
      <c r="AC8" s="442">
        <f t="shared" si="0"/>
        <v>46707</v>
      </c>
      <c r="AD8" s="442">
        <f t="shared" si="0"/>
        <v>46738</v>
      </c>
      <c r="AE8" s="442">
        <f t="shared" si="0"/>
        <v>46769</v>
      </c>
      <c r="AF8" s="442">
        <f t="shared" si="0"/>
        <v>46800</v>
      </c>
      <c r="AG8" s="442">
        <f t="shared" si="0"/>
        <v>46831</v>
      </c>
      <c r="AH8" s="442">
        <f t="shared" si="0"/>
        <v>46862</v>
      </c>
      <c r="AI8" s="442">
        <f t="shared" si="0"/>
        <v>46893</v>
      </c>
      <c r="AJ8" s="442">
        <f t="shared" si="0"/>
        <v>46924</v>
      </c>
      <c r="AK8" s="442">
        <f t="shared" si="0"/>
        <v>46955</v>
      </c>
    </row>
    <row r="9" spans="1:37">
      <c r="A9" s="396" t="s">
        <v>529</v>
      </c>
    </row>
    <row r="10" spans="1:37">
      <c r="A10" s="397" t="s">
        <v>740</v>
      </c>
      <c r="B10" s="401"/>
      <c r="C10" s="401">
        <f t="shared" ref="C10:L10" si="1">(($C$61*$B$65)+($E$61*$B$66))*C$1</f>
        <v>62925</v>
      </c>
      <c r="D10" s="401">
        <f t="shared" si="1"/>
        <v>62925</v>
      </c>
      <c r="E10" s="401">
        <f t="shared" si="1"/>
        <v>62925</v>
      </c>
      <c r="F10" s="401">
        <f t="shared" si="1"/>
        <v>62925</v>
      </c>
      <c r="G10" s="401">
        <f t="shared" si="1"/>
        <v>62925</v>
      </c>
      <c r="H10" s="401">
        <f t="shared" si="1"/>
        <v>62925</v>
      </c>
      <c r="I10" s="401">
        <f t="shared" si="1"/>
        <v>94387.5</v>
      </c>
      <c r="J10" s="401">
        <f t="shared" si="1"/>
        <v>94387.5</v>
      </c>
      <c r="K10" s="401">
        <f t="shared" si="1"/>
        <v>62924.999999999985</v>
      </c>
      <c r="L10" s="401">
        <f t="shared" si="1"/>
        <v>0</v>
      </c>
    </row>
    <row r="11" spans="1:37">
      <c r="A11" s="397" t="s">
        <v>741</v>
      </c>
      <c r="B11" s="401"/>
      <c r="C11" s="401"/>
      <c r="D11" s="401"/>
      <c r="E11" s="401"/>
      <c r="F11" s="401"/>
      <c r="G11" s="401"/>
      <c r="H11" s="401"/>
      <c r="I11" s="401">
        <f t="shared" ref="I11:S11" si="2">+(($C$62*$B$65)+($E$62*$B$66)+($G$62*$B$67))*I$2</f>
        <v>238347.5</v>
      </c>
      <c r="J11" s="401">
        <f t="shared" si="2"/>
        <v>357521.25</v>
      </c>
      <c r="K11" s="401">
        <f t="shared" si="2"/>
        <v>476695</v>
      </c>
      <c r="L11" s="401">
        <f t="shared" si="2"/>
        <v>119173.75</v>
      </c>
      <c r="M11" s="401">
        <f t="shared" si="2"/>
        <v>119173.75</v>
      </c>
      <c r="N11" s="401">
        <f t="shared" si="2"/>
        <v>119173.75</v>
      </c>
      <c r="O11" s="401">
        <f t="shared" si="2"/>
        <v>119173.75</v>
      </c>
      <c r="P11" s="401">
        <f t="shared" si="2"/>
        <v>357521.25</v>
      </c>
      <c r="Q11" s="401">
        <f t="shared" si="2"/>
        <v>357521.25</v>
      </c>
      <c r="R11" s="401">
        <f t="shared" si="2"/>
        <v>119173.74999999958</v>
      </c>
      <c r="S11" s="401">
        <f t="shared" si="2"/>
        <v>0</v>
      </c>
    </row>
    <row r="12" spans="1:37">
      <c r="A12" s="397" t="s">
        <v>806</v>
      </c>
      <c r="B12" s="401"/>
      <c r="C12" s="401"/>
      <c r="D12" s="401"/>
      <c r="E12" s="401"/>
      <c r="F12" s="401"/>
      <c r="G12" s="401"/>
      <c r="H12" s="401"/>
      <c r="I12" s="401"/>
      <c r="J12" s="401"/>
      <c r="K12" s="401"/>
      <c r="L12" s="401"/>
      <c r="M12" s="401"/>
      <c r="N12" s="401"/>
      <c r="O12" s="401"/>
      <c r="P12" s="401"/>
      <c r="Q12" s="401"/>
      <c r="S12" s="401">
        <f t="shared" ref="S12:AC12" si="3">+(($C63*$B$65)+($E63*$B$66)+($G63*$B$67))*S$3</f>
        <v>335915.625</v>
      </c>
      <c r="T12" s="401">
        <f t="shared" si="3"/>
        <v>111971.875</v>
      </c>
      <c r="U12" s="401">
        <f t="shared" si="3"/>
        <v>335915.625</v>
      </c>
      <c r="V12" s="401">
        <f t="shared" si="3"/>
        <v>111971.875</v>
      </c>
      <c r="W12" s="401">
        <f t="shared" si="3"/>
        <v>223943.75</v>
      </c>
      <c r="X12" s="401">
        <f t="shared" si="3"/>
        <v>335915.625</v>
      </c>
      <c r="Y12" s="401">
        <f t="shared" si="3"/>
        <v>111971.875</v>
      </c>
      <c r="Z12" s="401">
        <f t="shared" si="3"/>
        <v>111971.875</v>
      </c>
      <c r="AA12" s="401">
        <f t="shared" si="3"/>
        <v>111971.875</v>
      </c>
      <c r="AB12" s="401">
        <f t="shared" si="3"/>
        <v>111971.875</v>
      </c>
      <c r="AC12" s="401">
        <f t="shared" si="3"/>
        <v>335915.62499999953</v>
      </c>
    </row>
    <row r="13" spans="1:37">
      <c r="A13" s="397" t="s">
        <v>815</v>
      </c>
      <c r="B13" s="401"/>
      <c r="C13" s="401"/>
      <c r="D13" s="401"/>
      <c r="E13" s="401"/>
      <c r="F13" s="401"/>
      <c r="G13" s="401"/>
      <c r="H13" s="401"/>
      <c r="I13" s="401"/>
      <c r="J13" s="401"/>
      <c r="K13" s="401"/>
      <c r="L13" s="401"/>
      <c r="M13" s="401"/>
      <c r="N13" s="401"/>
      <c r="O13" s="401"/>
      <c r="P13" s="401"/>
      <c r="Q13" s="401"/>
      <c r="R13" s="401"/>
      <c r="S13" s="401"/>
      <c r="AD13" s="401">
        <f t="shared" ref="AD13:AK13" si="4">+(($C64*$B$65)+($E64*$B$66)+($G64*$B$67))*AD$4</f>
        <v>447887.5</v>
      </c>
      <c r="AE13" s="401">
        <f t="shared" si="4"/>
        <v>335915.625</v>
      </c>
      <c r="AF13" s="401">
        <f t="shared" si="4"/>
        <v>111971.875</v>
      </c>
      <c r="AG13" s="401">
        <f t="shared" si="4"/>
        <v>335915.625</v>
      </c>
      <c r="AH13" s="401">
        <f t="shared" si="4"/>
        <v>111971.875</v>
      </c>
      <c r="AI13" s="401">
        <f t="shared" si="4"/>
        <v>223943.75</v>
      </c>
      <c r="AJ13" s="401">
        <f t="shared" si="4"/>
        <v>335915.625</v>
      </c>
      <c r="AK13" s="401">
        <f t="shared" si="4"/>
        <v>111971.875</v>
      </c>
    </row>
    <row r="14" spans="1:37" hidden="1">
      <c r="A14" s="397" t="s">
        <v>816</v>
      </c>
      <c r="B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401"/>
      <c r="R14" s="401"/>
      <c r="S14" s="401"/>
      <c r="T14" s="401"/>
    </row>
    <row r="15" spans="1:37" hidden="1">
      <c r="A15" s="397" t="s">
        <v>817</v>
      </c>
      <c r="B15" s="401"/>
      <c r="D15" s="401"/>
      <c r="E15" s="401"/>
      <c r="F15" s="401"/>
      <c r="G15" s="401"/>
      <c r="H15" s="401"/>
      <c r="I15" s="401"/>
      <c r="J15" s="401"/>
      <c r="K15" s="401"/>
      <c r="L15" s="401"/>
      <c r="M15" s="401"/>
      <c r="N15" s="401"/>
      <c r="O15" s="401"/>
      <c r="P15" s="401"/>
      <c r="Q15" s="401"/>
      <c r="R15" s="401"/>
      <c r="S15" s="401"/>
      <c r="T15" s="401"/>
    </row>
    <row r="16" spans="1:37" hidden="1">
      <c r="A16" s="397" t="s">
        <v>818</v>
      </c>
      <c r="B16" s="401"/>
      <c r="D16" s="401"/>
      <c r="E16" s="401"/>
      <c r="F16" s="401"/>
      <c r="G16" s="401"/>
      <c r="H16" s="401"/>
      <c r="I16" s="401"/>
      <c r="J16" s="401"/>
      <c r="K16" s="401"/>
      <c r="L16" s="401"/>
      <c r="M16" s="401"/>
      <c r="N16" s="401"/>
      <c r="O16" s="401"/>
      <c r="P16" s="401"/>
      <c r="Q16" s="401"/>
      <c r="R16" s="401"/>
      <c r="S16" s="401"/>
      <c r="T16" s="401"/>
    </row>
    <row r="17" spans="1:37" hidden="1">
      <c r="A17" s="397" t="s">
        <v>819</v>
      </c>
      <c r="B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01"/>
      <c r="P17" s="401"/>
      <c r="Q17" s="401"/>
      <c r="R17" s="401"/>
      <c r="S17" s="401"/>
      <c r="T17" s="401"/>
    </row>
    <row r="18" spans="1:37" hidden="1">
      <c r="A18" s="397" t="s">
        <v>820</v>
      </c>
      <c r="B18" s="401"/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01"/>
      <c r="P18" s="401"/>
      <c r="Q18" s="401"/>
      <c r="R18" s="401"/>
      <c r="S18" s="401"/>
      <c r="T18" s="401"/>
    </row>
    <row r="19" spans="1:37" hidden="1">
      <c r="A19" s="397" t="s">
        <v>821</v>
      </c>
      <c r="B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</row>
    <row r="20" spans="1:37" s="396" customFormat="1">
      <c r="A20" s="449" t="s">
        <v>529</v>
      </c>
      <c r="B20" s="450">
        <f>SUM(B10:B19)</f>
        <v>0</v>
      </c>
      <c r="C20" s="450">
        <f>SUM(C10:C19)</f>
        <v>62925</v>
      </c>
      <c r="D20" s="450">
        <f t="shared" ref="D20:AK20" si="5">SUM(D10:D19)</f>
        <v>62925</v>
      </c>
      <c r="E20" s="450">
        <f t="shared" si="5"/>
        <v>62925</v>
      </c>
      <c r="F20" s="450">
        <f t="shared" si="5"/>
        <v>62925</v>
      </c>
      <c r="G20" s="450">
        <f t="shared" si="5"/>
        <v>62925</v>
      </c>
      <c r="H20" s="450">
        <f t="shared" si="5"/>
        <v>62925</v>
      </c>
      <c r="I20" s="450">
        <f t="shared" si="5"/>
        <v>332735</v>
      </c>
      <c r="J20" s="450">
        <f t="shared" si="5"/>
        <v>451908.75</v>
      </c>
      <c r="K20" s="450">
        <f t="shared" si="5"/>
        <v>539620</v>
      </c>
      <c r="L20" s="450">
        <f t="shared" si="5"/>
        <v>119173.75</v>
      </c>
      <c r="M20" s="450">
        <f t="shared" si="5"/>
        <v>119173.75</v>
      </c>
      <c r="N20" s="450">
        <f t="shared" si="5"/>
        <v>119173.75</v>
      </c>
      <c r="O20" s="450">
        <f t="shared" si="5"/>
        <v>119173.75</v>
      </c>
      <c r="P20" s="450">
        <f t="shared" si="5"/>
        <v>357521.25</v>
      </c>
      <c r="Q20" s="450">
        <f t="shared" si="5"/>
        <v>357521.25</v>
      </c>
      <c r="R20" s="450">
        <f t="shared" si="5"/>
        <v>119173.74999999958</v>
      </c>
      <c r="S20" s="450">
        <f t="shared" si="5"/>
        <v>335915.625</v>
      </c>
      <c r="T20" s="450">
        <f t="shared" si="5"/>
        <v>111971.875</v>
      </c>
      <c r="U20" s="450">
        <f t="shared" si="5"/>
        <v>335915.625</v>
      </c>
      <c r="V20" s="450">
        <f t="shared" si="5"/>
        <v>111971.875</v>
      </c>
      <c r="W20" s="450">
        <f t="shared" si="5"/>
        <v>223943.75</v>
      </c>
      <c r="X20" s="450">
        <f t="shared" si="5"/>
        <v>335915.625</v>
      </c>
      <c r="Y20" s="450">
        <f t="shared" si="5"/>
        <v>111971.875</v>
      </c>
      <c r="Z20" s="450">
        <f t="shared" si="5"/>
        <v>111971.875</v>
      </c>
      <c r="AA20" s="450">
        <f t="shared" si="5"/>
        <v>111971.875</v>
      </c>
      <c r="AB20" s="450">
        <f t="shared" si="5"/>
        <v>111971.875</v>
      </c>
      <c r="AC20" s="450">
        <f t="shared" si="5"/>
        <v>335915.62499999953</v>
      </c>
      <c r="AD20" s="450">
        <f t="shared" si="5"/>
        <v>447887.5</v>
      </c>
      <c r="AE20" s="450">
        <f t="shared" si="5"/>
        <v>335915.625</v>
      </c>
      <c r="AF20" s="450">
        <f t="shared" si="5"/>
        <v>111971.875</v>
      </c>
      <c r="AG20" s="450">
        <f t="shared" si="5"/>
        <v>335915.625</v>
      </c>
      <c r="AH20" s="450">
        <f t="shared" si="5"/>
        <v>111971.875</v>
      </c>
      <c r="AI20" s="450">
        <f t="shared" si="5"/>
        <v>223943.75</v>
      </c>
      <c r="AJ20" s="450">
        <f t="shared" si="5"/>
        <v>335915.625</v>
      </c>
      <c r="AK20" s="450">
        <f t="shared" si="5"/>
        <v>111971.875</v>
      </c>
    </row>
    <row r="21" spans="1:37">
      <c r="A21" s="397" t="s">
        <v>870</v>
      </c>
      <c r="B21" s="436">
        <f>-C80-C21</f>
        <v>-266727.84524878464</v>
      </c>
      <c r="C21" s="436">
        <f>-'09 Inventory Loan'!H23</f>
        <v>-143536.07</v>
      </c>
      <c r="G21" s="436">
        <f>-C81*0.4</f>
        <v>-168337.51294207937</v>
      </c>
      <c r="H21" s="436">
        <f>-C81*0.2</f>
        <v>-84168.756471039684</v>
      </c>
      <c r="I21" s="437">
        <f>-C81*0.4</f>
        <v>-168337.51294207937</v>
      </c>
      <c r="M21" s="436"/>
      <c r="Q21" s="436">
        <f>-$C$82*0.4</f>
        <v>-210190.5249821913</v>
      </c>
      <c r="R21" s="436">
        <f>-$C$82*0.2</f>
        <v>-105095.26249109565</v>
      </c>
      <c r="S21" s="436">
        <f>-$C$82*0.4</f>
        <v>-210190.5249821913</v>
      </c>
      <c r="AB21" s="405">
        <f>-$C$83*0.4</f>
        <v>-189000</v>
      </c>
      <c r="AC21" s="405">
        <f>-$C$83*0.2</f>
        <v>-94500</v>
      </c>
      <c r="AD21" s="405">
        <f>-$C$83*0.4</f>
        <v>-189000</v>
      </c>
    </row>
    <row r="22" spans="1:37">
      <c r="B22" s="448"/>
      <c r="C22" s="448"/>
      <c r="D22" s="448"/>
      <c r="E22" s="448"/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  <c r="W22" s="448"/>
      <c r="X22" s="448"/>
      <c r="Y22" s="448"/>
      <c r="Z22" s="448"/>
      <c r="AA22" s="448"/>
      <c r="AB22" s="448"/>
      <c r="AC22" s="448"/>
      <c r="AD22" s="448"/>
      <c r="AE22" s="448"/>
      <c r="AF22" s="448"/>
      <c r="AG22" s="448"/>
      <c r="AH22" s="448"/>
      <c r="AI22" s="448"/>
      <c r="AJ22" s="448"/>
      <c r="AK22" s="448"/>
    </row>
    <row r="23" spans="1:37" s="396" customFormat="1">
      <c r="A23" s="396" t="s">
        <v>531</v>
      </c>
      <c r="B23" s="487">
        <f>SUM(B20:B22)</f>
        <v>-266727.84524878464</v>
      </c>
      <c r="C23" s="487">
        <f t="shared" ref="C23:AK23" si="6">SUM(C20:C22)</f>
        <v>-80611.070000000007</v>
      </c>
      <c r="D23" s="487">
        <f t="shared" si="6"/>
        <v>62925</v>
      </c>
      <c r="E23" s="487">
        <f t="shared" si="6"/>
        <v>62925</v>
      </c>
      <c r="F23" s="487">
        <f t="shared" si="6"/>
        <v>62925</v>
      </c>
      <c r="G23" s="487">
        <f t="shared" si="6"/>
        <v>-105412.51294207937</v>
      </c>
      <c r="H23" s="487">
        <f t="shared" si="6"/>
        <v>-21243.756471039684</v>
      </c>
      <c r="I23" s="487">
        <f t="shared" si="6"/>
        <v>164397.48705792063</v>
      </c>
      <c r="J23" s="487">
        <f t="shared" si="6"/>
        <v>451908.75</v>
      </c>
      <c r="K23" s="487">
        <f t="shared" si="6"/>
        <v>539620</v>
      </c>
      <c r="L23" s="487">
        <f t="shared" si="6"/>
        <v>119173.75</v>
      </c>
      <c r="M23" s="487">
        <f t="shared" si="6"/>
        <v>119173.75</v>
      </c>
      <c r="N23" s="487">
        <f t="shared" si="6"/>
        <v>119173.75</v>
      </c>
      <c r="O23" s="487">
        <f t="shared" si="6"/>
        <v>119173.75</v>
      </c>
      <c r="P23" s="487">
        <f t="shared" si="6"/>
        <v>357521.25</v>
      </c>
      <c r="Q23" s="487">
        <f t="shared" si="6"/>
        <v>147330.7250178087</v>
      </c>
      <c r="R23" s="487">
        <f t="shared" si="6"/>
        <v>14078.487508903927</v>
      </c>
      <c r="S23" s="487">
        <f t="shared" si="6"/>
        <v>125725.1000178087</v>
      </c>
      <c r="T23" s="487">
        <f t="shared" si="6"/>
        <v>111971.875</v>
      </c>
      <c r="U23" s="487">
        <f t="shared" si="6"/>
        <v>335915.625</v>
      </c>
      <c r="V23" s="487">
        <f t="shared" si="6"/>
        <v>111971.875</v>
      </c>
      <c r="W23" s="487">
        <f t="shared" si="6"/>
        <v>223943.75</v>
      </c>
      <c r="X23" s="487">
        <f t="shared" si="6"/>
        <v>335915.625</v>
      </c>
      <c r="Y23" s="487">
        <f t="shared" si="6"/>
        <v>111971.875</v>
      </c>
      <c r="Z23" s="487">
        <f t="shared" si="6"/>
        <v>111971.875</v>
      </c>
      <c r="AA23" s="487">
        <f t="shared" si="6"/>
        <v>111971.875</v>
      </c>
      <c r="AB23" s="487">
        <f t="shared" si="6"/>
        <v>-77028.125</v>
      </c>
      <c r="AC23" s="487">
        <f t="shared" si="6"/>
        <v>241415.62499999953</v>
      </c>
      <c r="AD23" s="487">
        <f t="shared" si="6"/>
        <v>258887.5</v>
      </c>
      <c r="AE23" s="487">
        <f t="shared" si="6"/>
        <v>335915.625</v>
      </c>
      <c r="AF23" s="487">
        <f t="shared" si="6"/>
        <v>111971.875</v>
      </c>
      <c r="AG23" s="487">
        <f t="shared" si="6"/>
        <v>335915.625</v>
      </c>
      <c r="AH23" s="487">
        <f t="shared" si="6"/>
        <v>111971.875</v>
      </c>
      <c r="AI23" s="487">
        <f t="shared" si="6"/>
        <v>223943.75</v>
      </c>
      <c r="AJ23" s="487">
        <f t="shared" si="6"/>
        <v>335915.625</v>
      </c>
      <c r="AK23" s="487">
        <f t="shared" si="6"/>
        <v>111971.875</v>
      </c>
    </row>
    <row r="24" spans="1:37" s="396" customFormat="1">
      <c r="B24" s="486"/>
      <c r="C24" s="486"/>
      <c r="D24" s="486"/>
      <c r="E24" s="486"/>
      <c r="F24" s="486"/>
      <c r="G24" s="486"/>
      <c r="H24" s="486"/>
      <c r="I24" s="486"/>
      <c r="J24" s="486"/>
      <c r="K24" s="486"/>
      <c r="L24" s="486"/>
      <c r="M24" s="486"/>
      <c r="N24" s="486"/>
      <c r="O24" s="486"/>
      <c r="P24" s="486"/>
      <c r="Q24" s="486"/>
      <c r="R24" s="486"/>
      <c r="S24" s="486"/>
      <c r="T24" s="486"/>
      <c r="U24" s="486"/>
      <c r="V24" s="486"/>
      <c r="W24" s="486"/>
      <c r="X24" s="486"/>
      <c r="Y24" s="486"/>
      <c r="Z24" s="486"/>
      <c r="AA24" s="486"/>
      <c r="AB24" s="486"/>
      <c r="AC24" s="486"/>
      <c r="AD24" s="486"/>
      <c r="AE24" s="486"/>
      <c r="AF24" s="486"/>
      <c r="AG24" s="486"/>
      <c r="AH24" s="486"/>
      <c r="AI24" s="486"/>
      <c r="AJ24" s="486"/>
      <c r="AK24" s="486"/>
    </row>
    <row r="25" spans="1:37" s="396" customFormat="1">
      <c r="A25" s="397" t="s">
        <v>871</v>
      </c>
      <c r="B25" s="448">
        <f>-$B$109</f>
        <v>-52793.179798578203</v>
      </c>
      <c r="C25" s="448">
        <f>B25</f>
        <v>-52793.179798578203</v>
      </c>
      <c r="D25" s="448">
        <f t="shared" ref="D25:F27" si="7">C25</f>
        <v>-52793.179798578203</v>
      </c>
      <c r="E25" s="448">
        <f>D25-'11 Forward OPEX 250728'!G86</f>
        <v>-58793.179798578203</v>
      </c>
      <c r="F25" s="448">
        <f t="shared" si="7"/>
        <v>-58793.179798578203</v>
      </c>
      <c r="G25" s="448">
        <f>F25*(1+$B$108)</f>
        <v>-64672.497778436031</v>
      </c>
      <c r="H25" s="448">
        <f>G25</f>
        <v>-64672.497778436031</v>
      </c>
      <c r="I25" s="448">
        <f t="shared" ref="I25:R27" si="8">H25</f>
        <v>-64672.497778436031</v>
      </c>
      <c r="J25" s="448">
        <f t="shared" si="8"/>
        <v>-64672.497778436031</v>
      </c>
      <c r="K25" s="448">
        <f t="shared" si="8"/>
        <v>-64672.497778436031</v>
      </c>
      <c r="L25" s="448">
        <f t="shared" si="8"/>
        <v>-64672.497778436031</v>
      </c>
      <c r="M25" s="448">
        <f t="shared" si="8"/>
        <v>-64672.497778436031</v>
      </c>
      <c r="N25" s="448">
        <f t="shared" si="8"/>
        <v>-64672.497778436031</v>
      </c>
      <c r="O25" s="448">
        <f t="shared" si="8"/>
        <v>-64672.497778436031</v>
      </c>
      <c r="P25" s="448">
        <f t="shared" si="8"/>
        <v>-64672.497778436031</v>
      </c>
      <c r="Q25" s="448">
        <f t="shared" si="8"/>
        <v>-64672.497778436031</v>
      </c>
      <c r="R25" s="448">
        <f t="shared" si="8"/>
        <v>-64672.497778436031</v>
      </c>
      <c r="S25" s="448">
        <f>R25*(1+$B$108)</f>
        <v>-71139.747556279646</v>
      </c>
      <c r="T25" s="448">
        <f>S25</f>
        <v>-71139.747556279646</v>
      </c>
      <c r="U25" s="448">
        <f t="shared" ref="U25:AJ27" si="9">T25</f>
        <v>-71139.747556279646</v>
      </c>
      <c r="V25" s="448">
        <f t="shared" si="9"/>
        <v>-71139.747556279646</v>
      </c>
      <c r="W25" s="448">
        <f t="shared" si="9"/>
        <v>-71139.747556279646</v>
      </c>
      <c r="X25" s="448">
        <f t="shared" si="9"/>
        <v>-71139.747556279646</v>
      </c>
      <c r="Y25" s="448">
        <f t="shared" si="9"/>
        <v>-71139.747556279646</v>
      </c>
      <c r="Z25" s="448">
        <f t="shared" si="9"/>
        <v>-71139.747556279646</v>
      </c>
      <c r="AA25" s="448">
        <f t="shared" si="9"/>
        <v>-71139.747556279646</v>
      </c>
      <c r="AB25" s="448">
        <f t="shared" si="9"/>
        <v>-71139.747556279646</v>
      </c>
      <c r="AC25" s="448">
        <f t="shared" si="9"/>
        <v>-71139.747556279646</v>
      </c>
      <c r="AD25" s="448">
        <f t="shared" si="9"/>
        <v>-71139.747556279646</v>
      </c>
      <c r="AE25" s="448">
        <f t="shared" si="9"/>
        <v>-71139.747556279646</v>
      </c>
      <c r="AF25" s="448">
        <f t="shared" si="9"/>
        <v>-71139.747556279646</v>
      </c>
      <c r="AG25" s="448">
        <f t="shared" si="9"/>
        <v>-71139.747556279646</v>
      </c>
      <c r="AH25" s="448">
        <f>AG25*(1+$B$108)</f>
        <v>-78253.722311907622</v>
      </c>
      <c r="AI25" s="448">
        <f>AH25</f>
        <v>-78253.722311907622</v>
      </c>
      <c r="AJ25" s="448">
        <f t="shared" ref="AJ25:AK27" si="10">AI25</f>
        <v>-78253.722311907622</v>
      </c>
      <c r="AK25" s="448">
        <f t="shared" si="10"/>
        <v>-78253.722311907622</v>
      </c>
    </row>
    <row r="26" spans="1:37">
      <c r="A26" s="397" t="s">
        <v>872</v>
      </c>
      <c r="B26" s="448">
        <f>-$B$110</f>
        <v>-6452.8909730583664</v>
      </c>
      <c r="C26" s="448">
        <f>B26</f>
        <v>-6452.8909730583664</v>
      </c>
      <c r="D26" s="448">
        <f t="shared" si="7"/>
        <v>-6452.8909730583664</v>
      </c>
      <c r="E26" s="448">
        <f t="shared" si="7"/>
        <v>-6452.8909730583664</v>
      </c>
      <c r="F26" s="448">
        <f t="shared" si="7"/>
        <v>-6452.8909730583664</v>
      </c>
      <c r="G26" s="448">
        <f>F26*(1+$B$108)</f>
        <v>-7098.1800703642039</v>
      </c>
      <c r="H26" s="448">
        <f>G26</f>
        <v>-7098.1800703642039</v>
      </c>
      <c r="I26" s="448">
        <f t="shared" si="8"/>
        <v>-7098.1800703642039</v>
      </c>
      <c r="J26" s="448">
        <f t="shared" si="8"/>
        <v>-7098.1800703642039</v>
      </c>
      <c r="K26" s="448">
        <f t="shared" si="8"/>
        <v>-7098.1800703642039</v>
      </c>
      <c r="L26" s="448">
        <f t="shared" si="8"/>
        <v>-7098.1800703642039</v>
      </c>
      <c r="M26" s="448">
        <f t="shared" si="8"/>
        <v>-7098.1800703642039</v>
      </c>
      <c r="N26" s="448">
        <f t="shared" si="8"/>
        <v>-7098.1800703642039</v>
      </c>
      <c r="O26" s="448">
        <f t="shared" si="8"/>
        <v>-7098.1800703642039</v>
      </c>
      <c r="P26" s="448">
        <f t="shared" si="8"/>
        <v>-7098.1800703642039</v>
      </c>
      <c r="Q26" s="448">
        <f t="shared" si="8"/>
        <v>-7098.1800703642039</v>
      </c>
      <c r="R26" s="448">
        <f t="shared" si="8"/>
        <v>-7098.1800703642039</v>
      </c>
      <c r="S26" s="448">
        <f>R26*(1+$B$108)</f>
        <v>-7807.9980774006244</v>
      </c>
      <c r="T26" s="448">
        <f>S26</f>
        <v>-7807.9980774006244</v>
      </c>
      <c r="U26" s="448">
        <f t="shared" si="9"/>
        <v>-7807.9980774006244</v>
      </c>
      <c r="V26" s="448">
        <f t="shared" si="9"/>
        <v>-7807.9980774006244</v>
      </c>
      <c r="W26" s="448">
        <f t="shared" si="9"/>
        <v>-7807.9980774006244</v>
      </c>
      <c r="X26" s="448">
        <f t="shared" si="9"/>
        <v>-7807.9980774006244</v>
      </c>
      <c r="Y26" s="448">
        <f t="shared" si="9"/>
        <v>-7807.9980774006244</v>
      </c>
      <c r="Z26" s="448">
        <f t="shared" si="9"/>
        <v>-7807.9980774006244</v>
      </c>
      <c r="AA26" s="448">
        <f t="shared" si="9"/>
        <v>-7807.9980774006244</v>
      </c>
      <c r="AB26" s="448">
        <f t="shared" si="9"/>
        <v>-7807.9980774006244</v>
      </c>
      <c r="AC26" s="448">
        <f t="shared" si="9"/>
        <v>-7807.9980774006244</v>
      </c>
      <c r="AD26" s="448">
        <f t="shared" si="9"/>
        <v>-7807.9980774006244</v>
      </c>
      <c r="AE26" s="448">
        <f>AD26*(1+$B$108)</f>
        <v>-8588.7978851406879</v>
      </c>
      <c r="AF26" s="448">
        <f>AE26</f>
        <v>-8588.7978851406879</v>
      </c>
      <c r="AG26" s="448">
        <f t="shared" si="9"/>
        <v>-8588.7978851406879</v>
      </c>
      <c r="AH26" s="448">
        <f t="shared" si="9"/>
        <v>-8588.7978851406879</v>
      </c>
      <c r="AI26" s="448">
        <f t="shared" si="9"/>
        <v>-8588.7978851406879</v>
      </c>
      <c r="AJ26" s="448">
        <f t="shared" si="9"/>
        <v>-8588.7978851406879</v>
      </c>
      <c r="AK26" s="448">
        <f t="shared" si="10"/>
        <v>-8588.7978851406879</v>
      </c>
    </row>
    <row r="27" spans="1:37">
      <c r="A27" s="397" t="s">
        <v>547</v>
      </c>
      <c r="B27" s="448">
        <f>-$B$111</f>
        <v>-7189.84375</v>
      </c>
      <c r="C27" s="448">
        <f>B27</f>
        <v>-7189.84375</v>
      </c>
      <c r="D27" s="448">
        <f t="shared" si="7"/>
        <v>-7189.84375</v>
      </c>
      <c r="E27" s="448">
        <f t="shared" si="7"/>
        <v>-7189.84375</v>
      </c>
      <c r="F27" s="448">
        <f t="shared" si="7"/>
        <v>-7189.84375</v>
      </c>
      <c r="G27" s="448">
        <f>F27*(1+$B$108)</f>
        <v>-7908.8281250000009</v>
      </c>
      <c r="H27" s="448">
        <f>G27</f>
        <v>-7908.8281250000009</v>
      </c>
      <c r="I27" s="448">
        <f t="shared" si="8"/>
        <v>-7908.8281250000009</v>
      </c>
      <c r="J27" s="448">
        <f t="shared" si="8"/>
        <v>-7908.8281250000009</v>
      </c>
      <c r="K27" s="448">
        <f t="shared" si="8"/>
        <v>-7908.8281250000009</v>
      </c>
      <c r="L27" s="448">
        <f t="shared" si="8"/>
        <v>-7908.8281250000009</v>
      </c>
      <c r="M27" s="448">
        <f t="shared" si="8"/>
        <v>-7908.8281250000009</v>
      </c>
      <c r="N27" s="448">
        <f t="shared" si="8"/>
        <v>-7908.8281250000009</v>
      </c>
      <c r="O27" s="448">
        <f t="shared" si="8"/>
        <v>-7908.8281250000009</v>
      </c>
      <c r="P27" s="448">
        <f t="shared" si="8"/>
        <v>-7908.8281250000009</v>
      </c>
      <c r="Q27" s="448">
        <f t="shared" si="8"/>
        <v>-7908.8281250000009</v>
      </c>
      <c r="R27" s="448">
        <f t="shared" si="8"/>
        <v>-7908.8281250000009</v>
      </c>
      <c r="S27" s="448">
        <f>R27*(1+$B$108)</f>
        <v>-8699.7109375000018</v>
      </c>
      <c r="T27" s="448">
        <f>S27</f>
        <v>-8699.7109375000018</v>
      </c>
      <c r="U27" s="448">
        <f t="shared" si="9"/>
        <v>-8699.7109375000018</v>
      </c>
      <c r="V27" s="448">
        <f t="shared" si="9"/>
        <v>-8699.7109375000018</v>
      </c>
      <c r="W27" s="448">
        <f t="shared" si="9"/>
        <v>-8699.7109375000018</v>
      </c>
      <c r="X27" s="448">
        <f t="shared" si="9"/>
        <v>-8699.7109375000018</v>
      </c>
      <c r="Y27" s="448">
        <f t="shared" si="9"/>
        <v>-8699.7109375000018</v>
      </c>
      <c r="Z27" s="448">
        <f t="shared" si="9"/>
        <v>-8699.7109375000018</v>
      </c>
      <c r="AA27" s="448">
        <f t="shared" si="9"/>
        <v>-8699.7109375000018</v>
      </c>
      <c r="AB27" s="448">
        <f t="shared" si="9"/>
        <v>-8699.7109375000018</v>
      </c>
      <c r="AC27" s="448">
        <f t="shared" si="9"/>
        <v>-8699.7109375000018</v>
      </c>
      <c r="AD27" s="448">
        <f t="shared" si="9"/>
        <v>-8699.7109375000018</v>
      </c>
      <c r="AE27" s="448">
        <f>AD27*(1+$B$108)</f>
        <v>-9569.6820312500022</v>
      </c>
      <c r="AF27" s="448">
        <f>AE27</f>
        <v>-9569.6820312500022</v>
      </c>
      <c r="AG27" s="448">
        <f t="shared" si="9"/>
        <v>-9569.6820312500022</v>
      </c>
      <c r="AH27" s="448">
        <f t="shared" si="9"/>
        <v>-9569.6820312500022</v>
      </c>
      <c r="AI27" s="448">
        <f t="shared" si="9"/>
        <v>-9569.6820312500022</v>
      </c>
      <c r="AJ27" s="448">
        <f t="shared" si="9"/>
        <v>-9569.6820312500022</v>
      </c>
      <c r="AK27" s="448">
        <f t="shared" si="10"/>
        <v>-9569.6820312500022</v>
      </c>
    </row>
    <row r="28" spans="1:37" s="396" customFormat="1">
      <c r="A28" s="396" t="s">
        <v>895</v>
      </c>
      <c r="B28" s="450">
        <f>SUM(B25:B27)</f>
        <v>-66435.914521636572</v>
      </c>
      <c r="C28" s="450">
        <f t="shared" ref="C28:AK28" si="11">SUM(C25:C27)</f>
        <v>-66435.914521636572</v>
      </c>
      <c r="D28" s="450">
        <f t="shared" si="11"/>
        <v>-66435.914521636572</v>
      </c>
      <c r="E28" s="450">
        <f t="shared" si="11"/>
        <v>-72435.914521636572</v>
      </c>
      <c r="F28" s="450">
        <f t="shared" si="11"/>
        <v>-72435.914521636572</v>
      </c>
      <c r="G28" s="450">
        <f t="shared" si="11"/>
        <v>-79679.505973800231</v>
      </c>
      <c r="H28" s="450">
        <f t="shared" si="11"/>
        <v>-79679.505973800231</v>
      </c>
      <c r="I28" s="450">
        <f t="shared" si="11"/>
        <v>-79679.505973800231</v>
      </c>
      <c r="J28" s="450">
        <f t="shared" si="11"/>
        <v>-79679.505973800231</v>
      </c>
      <c r="K28" s="450">
        <f t="shared" si="11"/>
        <v>-79679.505973800231</v>
      </c>
      <c r="L28" s="450">
        <f t="shared" si="11"/>
        <v>-79679.505973800231</v>
      </c>
      <c r="M28" s="450">
        <f t="shared" si="11"/>
        <v>-79679.505973800231</v>
      </c>
      <c r="N28" s="450">
        <f t="shared" si="11"/>
        <v>-79679.505973800231</v>
      </c>
      <c r="O28" s="450">
        <f t="shared" si="11"/>
        <v>-79679.505973800231</v>
      </c>
      <c r="P28" s="450">
        <f t="shared" si="11"/>
        <v>-79679.505973800231</v>
      </c>
      <c r="Q28" s="450">
        <f t="shared" si="11"/>
        <v>-79679.505973800231</v>
      </c>
      <c r="R28" s="450">
        <f t="shared" si="11"/>
        <v>-79679.505973800231</v>
      </c>
      <c r="S28" s="450">
        <f t="shared" si="11"/>
        <v>-87647.456571180272</v>
      </c>
      <c r="T28" s="450">
        <f t="shared" si="11"/>
        <v>-87647.456571180272</v>
      </c>
      <c r="U28" s="450">
        <f t="shared" si="11"/>
        <v>-87647.456571180272</v>
      </c>
      <c r="V28" s="450">
        <f t="shared" si="11"/>
        <v>-87647.456571180272</v>
      </c>
      <c r="W28" s="450">
        <f t="shared" si="11"/>
        <v>-87647.456571180272</v>
      </c>
      <c r="X28" s="450">
        <f t="shared" si="11"/>
        <v>-87647.456571180272</v>
      </c>
      <c r="Y28" s="450">
        <f t="shared" si="11"/>
        <v>-87647.456571180272</v>
      </c>
      <c r="Z28" s="450">
        <f t="shared" si="11"/>
        <v>-87647.456571180272</v>
      </c>
      <c r="AA28" s="450">
        <f t="shared" si="11"/>
        <v>-87647.456571180272</v>
      </c>
      <c r="AB28" s="450">
        <f t="shared" si="11"/>
        <v>-87647.456571180272</v>
      </c>
      <c r="AC28" s="450">
        <f t="shared" si="11"/>
        <v>-87647.456571180272</v>
      </c>
      <c r="AD28" s="450">
        <f t="shared" si="11"/>
        <v>-87647.456571180272</v>
      </c>
      <c r="AE28" s="450">
        <f t="shared" si="11"/>
        <v>-89298.227472670347</v>
      </c>
      <c r="AF28" s="450">
        <f t="shared" si="11"/>
        <v>-89298.227472670347</v>
      </c>
      <c r="AG28" s="450">
        <f t="shared" si="11"/>
        <v>-89298.227472670347</v>
      </c>
      <c r="AH28" s="450">
        <f t="shared" si="11"/>
        <v>-96412.202228298323</v>
      </c>
      <c r="AI28" s="450">
        <f t="shared" si="11"/>
        <v>-96412.202228298323</v>
      </c>
      <c r="AJ28" s="450">
        <f t="shared" si="11"/>
        <v>-96412.202228298323</v>
      </c>
      <c r="AK28" s="450">
        <f t="shared" si="11"/>
        <v>-96412.202228298323</v>
      </c>
    </row>
    <row r="29" spans="1:37" s="396" customFormat="1">
      <c r="B29" s="486"/>
      <c r="C29" s="486"/>
      <c r="D29" s="486"/>
      <c r="E29" s="486"/>
      <c r="F29" s="486"/>
      <c r="G29" s="486"/>
      <c r="H29" s="486"/>
      <c r="I29" s="486"/>
      <c r="J29" s="486"/>
      <c r="K29" s="486"/>
      <c r="L29" s="486"/>
      <c r="M29" s="486"/>
      <c r="N29" s="486"/>
      <c r="O29" s="486"/>
      <c r="P29" s="486"/>
      <c r="Q29" s="486"/>
      <c r="R29" s="486"/>
      <c r="S29" s="486"/>
      <c r="T29" s="486"/>
      <c r="U29" s="486"/>
      <c r="V29" s="486"/>
      <c r="W29" s="486"/>
      <c r="X29" s="486"/>
      <c r="Y29" s="486"/>
      <c r="Z29" s="486"/>
      <c r="AA29" s="486"/>
      <c r="AB29" s="486"/>
      <c r="AC29" s="486"/>
      <c r="AD29" s="486"/>
      <c r="AE29" s="486"/>
      <c r="AF29" s="486"/>
      <c r="AG29" s="486"/>
      <c r="AH29" s="486"/>
      <c r="AI29" s="486"/>
      <c r="AJ29" s="486"/>
      <c r="AK29" s="486"/>
    </row>
    <row r="30" spans="1:37">
      <c r="A30" s="397" t="s">
        <v>928</v>
      </c>
      <c r="B30" s="436"/>
      <c r="C30" s="436"/>
      <c r="D30" s="436">
        <f t="shared" ref="D30:I30" si="12">-$E$61*$B$65*$B$86*C$1</f>
        <v>-6900</v>
      </c>
      <c r="E30" s="436">
        <f t="shared" si="12"/>
        <v>-6900</v>
      </c>
      <c r="F30" s="436">
        <f t="shared" si="12"/>
        <v>-6900</v>
      </c>
      <c r="G30" s="436">
        <f t="shared" si="12"/>
        <v>-6900</v>
      </c>
      <c r="H30" s="436">
        <f t="shared" si="12"/>
        <v>-6900</v>
      </c>
      <c r="I30" s="436">
        <f t="shared" si="12"/>
        <v>-6900</v>
      </c>
      <c r="J30" s="436">
        <f t="shared" ref="J30:S30" si="13">-$E$62*$B$65*$B$86*I$2</f>
        <v>-12075</v>
      </c>
      <c r="K30" s="436">
        <f t="shared" si="13"/>
        <v>-18112.5</v>
      </c>
      <c r="L30" s="436">
        <f t="shared" si="13"/>
        <v>-24150</v>
      </c>
      <c r="M30" s="436">
        <f t="shared" si="13"/>
        <v>-6037.5</v>
      </c>
      <c r="N30" s="436">
        <f t="shared" si="13"/>
        <v>-6037.5</v>
      </c>
      <c r="O30" s="436">
        <f t="shared" si="13"/>
        <v>-6037.5</v>
      </c>
      <c r="P30" s="436">
        <f t="shared" si="13"/>
        <v>-6037.5</v>
      </c>
      <c r="Q30" s="436">
        <f t="shared" si="13"/>
        <v>-18112.5</v>
      </c>
      <c r="R30" s="436">
        <f t="shared" si="13"/>
        <v>-18112.5</v>
      </c>
      <c r="S30" s="436">
        <f t="shared" si="13"/>
        <v>-6037.4999999999782</v>
      </c>
      <c r="T30" s="436">
        <f t="shared" ref="T30:AD30" si="14">-$E$63*$B$65*$B$86*S$3</f>
        <v>-23287.5</v>
      </c>
      <c r="U30" s="436">
        <f t="shared" si="14"/>
        <v>-7762.5</v>
      </c>
      <c r="V30" s="436">
        <f t="shared" si="14"/>
        <v>-23287.5</v>
      </c>
      <c r="W30" s="436">
        <f t="shared" si="14"/>
        <v>-7762.5</v>
      </c>
      <c r="X30" s="436">
        <f t="shared" si="14"/>
        <v>-15525</v>
      </c>
      <c r="Y30" s="436">
        <f t="shared" si="14"/>
        <v>-23287.5</v>
      </c>
      <c r="Z30" s="436">
        <f t="shared" si="14"/>
        <v>-7762.5</v>
      </c>
      <c r="AA30" s="436">
        <f t="shared" si="14"/>
        <v>-7762.5</v>
      </c>
      <c r="AB30" s="436">
        <f t="shared" si="14"/>
        <v>-7762.5</v>
      </c>
      <c r="AC30" s="436">
        <f t="shared" si="14"/>
        <v>-7762.5</v>
      </c>
      <c r="AD30" s="436">
        <f t="shared" si="14"/>
        <v>-23287.499999999967</v>
      </c>
      <c r="AE30" s="436">
        <f t="shared" ref="AE30:AK30" si="15">-$E$64*$B$65*$B$86*AD$4</f>
        <v>-31050</v>
      </c>
      <c r="AF30" s="436">
        <f t="shared" si="15"/>
        <v>-23287.5</v>
      </c>
      <c r="AG30" s="436">
        <f t="shared" si="15"/>
        <v>-7762.5</v>
      </c>
      <c r="AH30" s="436">
        <f t="shared" si="15"/>
        <v>-23287.5</v>
      </c>
      <c r="AI30" s="436">
        <f t="shared" si="15"/>
        <v>-7762.5</v>
      </c>
      <c r="AJ30" s="436">
        <f t="shared" si="15"/>
        <v>-15525</v>
      </c>
      <c r="AK30" s="436">
        <f t="shared" si="15"/>
        <v>-23287.5</v>
      </c>
    </row>
    <row r="31" spans="1:37" s="396" customFormat="1" ht="15">
      <c r="A31" s="488" t="s">
        <v>537</v>
      </c>
      <c r="B31" s="448">
        <f t="shared" ref="B31:AK31" si="16">-$B$117*B$20</f>
        <v>0</v>
      </c>
      <c r="C31" s="448">
        <f t="shared" si="16"/>
        <v>-1258.5</v>
      </c>
      <c r="D31" s="448">
        <f t="shared" si="16"/>
        <v>-1258.5</v>
      </c>
      <c r="E31" s="448">
        <f t="shared" si="16"/>
        <v>-1258.5</v>
      </c>
      <c r="F31" s="448">
        <f t="shared" si="16"/>
        <v>-1258.5</v>
      </c>
      <c r="G31" s="448">
        <f t="shared" si="16"/>
        <v>-1258.5</v>
      </c>
      <c r="H31" s="448">
        <f t="shared" si="16"/>
        <v>-1258.5</v>
      </c>
      <c r="I31" s="448">
        <f t="shared" si="16"/>
        <v>-6654.7</v>
      </c>
      <c r="J31" s="448">
        <f t="shared" si="16"/>
        <v>-9038.1750000000011</v>
      </c>
      <c r="K31" s="448">
        <f t="shared" si="16"/>
        <v>-10792.4</v>
      </c>
      <c r="L31" s="448">
        <f t="shared" si="16"/>
        <v>-2383.4749999999999</v>
      </c>
      <c r="M31" s="448">
        <f t="shared" si="16"/>
        <v>-2383.4749999999999</v>
      </c>
      <c r="N31" s="448">
        <f t="shared" si="16"/>
        <v>-2383.4749999999999</v>
      </c>
      <c r="O31" s="448">
        <f t="shared" si="16"/>
        <v>-2383.4749999999999</v>
      </c>
      <c r="P31" s="448">
        <f t="shared" si="16"/>
        <v>-7150.4250000000002</v>
      </c>
      <c r="Q31" s="448">
        <f t="shared" si="16"/>
        <v>-7150.4250000000002</v>
      </c>
      <c r="R31" s="448">
        <f t="shared" si="16"/>
        <v>-2383.4749999999917</v>
      </c>
      <c r="S31" s="448">
        <f t="shared" si="16"/>
        <v>-6718.3125</v>
      </c>
      <c r="T31" s="448">
        <f t="shared" si="16"/>
        <v>-2239.4375</v>
      </c>
      <c r="U31" s="448">
        <f t="shared" si="16"/>
        <v>-6718.3125</v>
      </c>
      <c r="V31" s="448">
        <f t="shared" si="16"/>
        <v>-2239.4375</v>
      </c>
      <c r="W31" s="448">
        <f t="shared" si="16"/>
        <v>-4478.875</v>
      </c>
      <c r="X31" s="448">
        <f t="shared" si="16"/>
        <v>-6718.3125</v>
      </c>
      <c r="Y31" s="448">
        <f t="shared" si="16"/>
        <v>-2239.4375</v>
      </c>
      <c r="Z31" s="448">
        <f t="shared" si="16"/>
        <v>-2239.4375</v>
      </c>
      <c r="AA31" s="448">
        <f t="shared" si="16"/>
        <v>-2239.4375</v>
      </c>
      <c r="AB31" s="448">
        <f t="shared" si="16"/>
        <v>-2239.4375</v>
      </c>
      <c r="AC31" s="448">
        <f t="shared" si="16"/>
        <v>-6718.3124999999909</v>
      </c>
      <c r="AD31" s="448">
        <f t="shared" si="16"/>
        <v>-8957.75</v>
      </c>
      <c r="AE31" s="448">
        <f t="shared" si="16"/>
        <v>-6718.3125</v>
      </c>
      <c r="AF31" s="448">
        <f t="shared" si="16"/>
        <v>-2239.4375</v>
      </c>
      <c r="AG31" s="448">
        <f t="shared" si="16"/>
        <v>-6718.3125</v>
      </c>
      <c r="AH31" s="448">
        <f t="shared" si="16"/>
        <v>-2239.4375</v>
      </c>
      <c r="AI31" s="448">
        <f t="shared" si="16"/>
        <v>-4478.875</v>
      </c>
      <c r="AJ31" s="448">
        <f t="shared" si="16"/>
        <v>-6718.3125</v>
      </c>
      <c r="AK31" s="448">
        <f t="shared" si="16"/>
        <v>-2239.4375</v>
      </c>
    </row>
    <row r="32" spans="1:37">
      <c r="A32" s="397" t="s">
        <v>533</v>
      </c>
      <c r="B32" s="436"/>
      <c r="G32" s="436"/>
      <c r="H32" s="436"/>
      <c r="L32" s="436"/>
      <c r="M32" s="436"/>
      <c r="N32" s="436">
        <f>-B90</f>
        <v>0</v>
      </c>
      <c r="O32" s="436">
        <f>-B91</f>
        <v>0</v>
      </c>
      <c r="S32" s="405"/>
      <c r="T32" s="436">
        <f>-$B$92</f>
        <v>0</v>
      </c>
      <c r="U32" s="436">
        <f>-$B$92</f>
        <v>0</v>
      </c>
      <c r="V32" s="436">
        <f>-$B$92</f>
        <v>0</v>
      </c>
      <c r="W32" s="405">
        <f>-$B$93</f>
        <v>0</v>
      </c>
      <c r="X32" s="405">
        <f>-$B$93</f>
        <v>0</v>
      </c>
      <c r="Y32" s="405">
        <f>-$B$93</f>
        <v>0</v>
      </c>
      <c r="AC32" s="405">
        <f>-B97</f>
        <v>0</v>
      </c>
      <c r="AE32" s="405">
        <f>-B99</f>
        <v>0</v>
      </c>
    </row>
    <row r="33" spans="1:40" ht="15">
      <c r="A33" s="488" t="s">
        <v>896</v>
      </c>
      <c r="B33" s="401"/>
      <c r="C33" s="401"/>
      <c r="E33" s="405"/>
      <c r="F33" s="405"/>
      <c r="G33" s="405"/>
      <c r="H33" s="405"/>
      <c r="I33" s="405"/>
      <c r="J33" s="405"/>
      <c r="N33" s="405">
        <f t="shared" ref="N33:AK33" si="17">-$B$106</f>
        <v>0</v>
      </c>
      <c r="O33" s="405">
        <f t="shared" si="17"/>
        <v>0</v>
      </c>
      <c r="P33" s="405">
        <f t="shared" si="17"/>
        <v>0</v>
      </c>
      <c r="Q33" s="405">
        <f t="shared" si="17"/>
        <v>0</v>
      </c>
      <c r="R33" s="405">
        <f t="shared" si="17"/>
        <v>0</v>
      </c>
      <c r="S33" s="405">
        <f t="shared" si="17"/>
        <v>0</v>
      </c>
      <c r="T33" s="405">
        <f t="shared" si="17"/>
        <v>0</v>
      </c>
      <c r="U33" s="405">
        <f t="shared" si="17"/>
        <v>0</v>
      </c>
      <c r="V33" s="405">
        <f t="shared" si="17"/>
        <v>0</v>
      </c>
      <c r="W33" s="405">
        <f t="shared" si="17"/>
        <v>0</v>
      </c>
      <c r="X33" s="405">
        <f t="shared" si="17"/>
        <v>0</v>
      </c>
      <c r="Y33" s="405">
        <f t="shared" si="17"/>
        <v>0</v>
      </c>
      <c r="Z33" s="405">
        <f t="shared" si="17"/>
        <v>0</v>
      </c>
      <c r="AA33" s="405">
        <f t="shared" si="17"/>
        <v>0</v>
      </c>
      <c r="AB33" s="405">
        <f t="shared" si="17"/>
        <v>0</v>
      </c>
      <c r="AC33" s="405">
        <f t="shared" si="17"/>
        <v>0</v>
      </c>
      <c r="AD33" s="405">
        <f t="shared" si="17"/>
        <v>0</v>
      </c>
      <c r="AE33" s="405">
        <f t="shared" si="17"/>
        <v>0</v>
      </c>
      <c r="AF33" s="405">
        <f t="shared" si="17"/>
        <v>0</v>
      </c>
      <c r="AG33" s="405">
        <f t="shared" si="17"/>
        <v>0</v>
      </c>
      <c r="AH33" s="405">
        <f t="shared" si="17"/>
        <v>0</v>
      </c>
      <c r="AI33" s="405">
        <f t="shared" si="17"/>
        <v>0</v>
      </c>
      <c r="AJ33" s="405">
        <f t="shared" si="17"/>
        <v>0</v>
      </c>
      <c r="AK33" s="405">
        <f t="shared" si="17"/>
        <v>0</v>
      </c>
      <c r="AL33" s="405"/>
      <c r="AM33" s="405"/>
      <c r="AN33" s="405"/>
    </row>
    <row r="34" spans="1:40" ht="15">
      <c r="A34" s="488" t="s">
        <v>931</v>
      </c>
      <c r="B34" s="405">
        <f>-B116</f>
        <v>-7260.9647599999998</v>
      </c>
      <c r="C34" s="405">
        <f>B34</f>
        <v>-7260.9647599999998</v>
      </c>
      <c r="D34" s="405">
        <f t="shared" ref="D34:AK34" si="18">C34</f>
        <v>-7260.9647599999998</v>
      </c>
      <c r="E34" s="405">
        <f t="shared" si="18"/>
        <v>-7260.9647599999998</v>
      </c>
      <c r="F34" s="405">
        <f t="shared" si="18"/>
        <v>-7260.9647599999998</v>
      </c>
      <c r="G34" s="405">
        <f>F34*(1+$B$115)</f>
        <v>-7987.0612360000005</v>
      </c>
      <c r="H34" s="405">
        <f t="shared" si="18"/>
        <v>-7987.0612360000005</v>
      </c>
      <c r="I34" s="405">
        <f t="shared" si="18"/>
        <v>-7987.0612360000005</v>
      </c>
      <c r="J34" s="405">
        <f t="shared" si="18"/>
        <v>-7987.0612360000005</v>
      </c>
      <c r="K34" s="405">
        <f t="shared" si="18"/>
        <v>-7987.0612360000005</v>
      </c>
      <c r="L34" s="405">
        <f t="shared" si="18"/>
        <v>-7987.0612360000005</v>
      </c>
      <c r="M34" s="405">
        <f t="shared" si="18"/>
        <v>-7987.0612360000005</v>
      </c>
      <c r="N34" s="405">
        <f t="shared" si="18"/>
        <v>-7987.0612360000005</v>
      </c>
      <c r="O34" s="405">
        <f t="shared" si="18"/>
        <v>-7987.0612360000005</v>
      </c>
      <c r="P34" s="405">
        <f t="shared" si="18"/>
        <v>-7987.0612360000005</v>
      </c>
      <c r="Q34" s="405">
        <f t="shared" si="18"/>
        <v>-7987.0612360000005</v>
      </c>
      <c r="R34" s="405">
        <f t="shared" si="18"/>
        <v>-7987.0612360000005</v>
      </c>
      <c r="S34" s="405">
        <f>R34*(1+$B$115)</f>
        <v>-8785.7673596000004</v>
      </c>
      <c r="T34" s="405">
        <f t="shared" si="18"/>
        <v>-8785.7673596000004</v>
      </c>
      <c r="U34" s="405">
        <f t="shared" si="18"/>
        <v>-8785.7673596000004</v>
      </c>
      <c r="V34" s="405">
        <f t="shared" si="18"/>
        <v>-8785.7673596000004</v>
      </c>
      <c r="W34" s="405">
        <f t="shared" si="18"/>
        <v>-8785.7673596000004</v>
      </c>
      <c r="X34" s="405">
        <f t="shared" si="18"/>
        <v>-8785.7673596000004</v>
      </c>
      <c r="Y34" s="405">
        <f t="shared" si="18"/>
        <v>-8785.7673596000004</v>
      </c>
      <c r="Z34" s="405">
        <f t="shared" si="18"/>
        <v>-8785.7673596000004</v>
      </c>
      <c r="AA34" s="405">
        <f t="shared" si="18"/>
        <v>-8785.7673596000004</v>
      </c>
      <c r="AB34" s="405">
        <f t="shared" si="18"/>
        <v>-8785.7673596000004</v>
      </c>
      <c r="AC34" s="405">
        <f t="shared" si="18"/>
        <v>-8785.7673596000004</v>
      </c>
      <c r="AD34" s="405">
        <f t="shared" si="18"/>
        <v>-8785.7673596000004</v>
      </c>
      <c r="AE34" s="405">
        <f>AD34*(1+$B$115)</f>
        <v>-9664.3440955600017</v>
      </c>
      <c r="AF34" s="405">
        <f t="shared" si="18"/>
        <v>-9664.3440955600017</v>
      </c>
      <c r="AG34" s="405">
        <f t="shared" si="18"/>
        <v>-9664.3440955600017</v>
      </c>
      <c r="AH34" s="405">
        <f t="shared" si="18"/>
        <v>-9664.3440955600017</v>
      </c>
      <c r="AI34" s="405">
        <f t="shared" si="18"/>
        <v>-9664.3440955600017</v>
      </c>
      <c r="AJ34" s="405">
        <f t="shared" si="18"/>
        <v>-9664.3440955600017</v>
      </c>
      <c r="AK34" s="405">
        <f t="shared" si="18"/>
        <v>-9664.3440955600017</v>
      </c>
    </row>
    <row r="35" spans="1:40" ht="15">
      <c r="A35" s="488" t="s">
        <v>876</v>
      </c>
      <c r="B35" s="405">
        <f>-'01c Actual Cashflow Stt'!AY20/2</f>
        <v>0</v>
      </c>
      <c r="C35" s="405">
        <f>B35</f>
        <v>0</v>
      </c>
      <c r="D35" s="405">
        <f t="shared" ref="D35:AK35" si="19">-$B$118*D$20</f>
        <v>-1887.75</v>
      </c>
      <c r="E35" s="405">
        <f t="shared" si="19"/>
        <v>-1887.75</v>
      </c>
      <c r="F35" s="405">
        <f t="shared" si="19"/>
        <v>-1887.75</v>
      </c>
      <c r="G35" s="405">
        <f t="shared" si="19"/>
        <v>-1887.75</v>
      </c>
      <c r="H35" s="405">
        <f t="shared" si="19"/>
        <v>-1887.75</v>
      </c>
      <c r="I35" s="405">
        <f t="shared" si="19"/>
        <v>-9982.0499999999993</v>
      </c>
      <c r="J35" s="405">
        <f t="shared" si="19"/>
        <v>-13557.262499999999</v>
      </c>
      <c r="K35" s="405">
        <f t="shared" si="19"/>
        <v>-16188.599999999999</v>
      </c>
      <c r="L35" s="405">
        <f t="shared" si="19"/>
        <v>-3575.2125000000001</v>
      </c>
      <c r="M35" s="405">
        <f t="shared" si="19"/>
        <v>-3575.2125000000001</v>
      </c>
      <c r="N35" s="405">
        <f t="shared" si="19"/>
        <v>-3575.2125000000001</v>
      </c>
      <c r="O35" s="405">
        <f t="shared" si="19"/>
        <v>-3575.2125000000001</v>
      </c>
      <c r="P35" s="405">
        <f t="shared" si="19"/>
        <v>-10725.637499999999</v>
      </c>
      <c r="Q35" s="405">
        <f t="shared" si="19"/>
        <v>-10725.637499999999</v>
      </c>
      <c r="R35" s="405">
        <f t="shared" si="19"/>
        <v>-3575.2124999999874</v>
      </c>
      <c r="S35" s="405">
        <f t="shared" si="19"/>
        <v>-10077.46875</v>
      </c>
      <c r="T35" s="405">
        <f t="shared" si="19"/>
        <v>-3359.15625</v>
      </c>
      <c r="U35" s="405">
        <f t="shared" si="19"/>
        <v>-10077.46875</v>
      </c>
      <c r="V35" s="405">
        <f t="shared" si="19"/>
        <v>-3359.15625</v>
      </c>
      <c r="W35" s="405">
        <f t="shared" si="19"/>
        <v>-6718.3125</v>
      </c>
      <c r="X35" s="405">
        <f t="shared" si="19"/>
        <v>-10077.46875</v>
      </c>
      <c r="Y35" s="405">
        <f t="shared" si="19"/>
        <v>-3359.15625</v>
      </c>
      <c r="Z35" s="405">
        <f t="shared" si="19"/>
        <v>-3359.15625</v>
      </c>
      <c r="AA35" s="405">
        <f t="shared" si="19"/>
        <v>-3359.15625</v>
      </c>
      <c r="AB35" s="405">
        <f t="shared" si="19"/>
        <v>-3359.15625</v>
      </c>
      <c r="AC35" s="405">
        <f t="shared" si="19"/>
        <v>-10077.468749999985</v>
      </c>
      <c r="AD35" s="405">
        <f t="shared" si="19"/>
        <v>-13436.625</v>
      </c>
      <c r="AE35" s="405">
        <f t="shared" si="19"/>
        <v>-10077.46875</v>
      </c>
      <c r="AF35" s="405">
        <f t="shared" si="19"/>
        <v>-3359.15625</v>
      </c>
      <c r="AG35" s="405">
        <f t="shared" si="19"/>
        <v>-10077.46875</v>
      </c>
      <c r="AH35" s="405">
        <f t="shared" si="19"/>
        <v>-3359.15625</v>
      </c>
      <c r="AI35" s="405">
        <f t="shared" si="19"/>
        <v>-6718.3125</v>
      </c>
      <c r="AJ35" s="405">
        <f t="shared" si="19"/>
        <v>-10077.46875</v>
      </c>
      <c r="AK35" s="405">
        <f t="shared" si="19"/>
        <v>-3359.15625</v>
      </c>
    </row>
    <row r="36" spans="1:40" ht="15">
      <c r="A36" s="488" t="s">
        <v>877</v>
      </c>
      <c r="B36" s="421">
        <f t="shared" ref="B36:AK36" si="20">-$B$119*B$20</f>
        <v>0</v>
      </c>
      <c r="C36" s="421">
        <f t="shared" si="20"/>
        <v>-629.25</v>
      </c>
      <c r="D36" s="421">
        <f t="shared" si="20"/>
        <v>-629.25</v>
      </c>
      <c r="E36" s="421">
        <f t="shared" si="20"/>
        <v>-629.25</v>
      </c>
      <c r="F36" s="421">
        <f t="shared" si="20"/>
        <v>-629.25</v>
      </c>
      <c r="G36" s="421">
        <f t="shared" si="20"/>
        <v>-629.25</v>
      </c>
      <c r="H36" s="421">
        <f t="shared" si="20"/>
        <v>-629.25</v>
      </c>
      <c r="I36" s="421">
        <f t="shared" si="20"/>
        <v>-3327.35</v>
      </c>
      <c r="J36" s="421">
        <f t="shared" si="20"/>
        <v>-4519.0875000000005</v>
      </c>
      <c r="K36" s="421">
        <f t="shared" si="20"/>
        <v>-5396.2</v>
      </c>
      <c r="L36" s="421">
        <f t="shared" si="20"/>
        <v>-1191.7375</v>
      </c>
      <c r="M36" s="421">
        <f t="shared" si="20"/>
        <v>-1191.7375</v>
      </c>
      <c r="N36" s="421">
        <f t="shared" si="20"/>
        <v>-1191.7375</v>
      </c>
      <c r="O36" s="421">
        <f t="shared" si="20"/>
        <v>-1191.7375</v>
      </c>
      <c r="P36" s="421">
        <f t="shared" si="20"/>
        <v>-3575.2125000000001</v>
      </c>
      <c r="Q36" s="421">
        <f t="shared" si="20"/>
        <v>-3575.2125000000001</v>
      </c>
      <c r="R36" s="421">
        <f t="shared" si="20"/>
        <v>-1191.7374999999959</v>
      </c>
      <c r="S36" s="421">
        <f t="shared" si="20"/>
        <v>-3359.15625</v>
      </c>
      <c r="T36" s="421">
        <f t="shared" si="20"/>
        <v>-1119.71875</v>
      </c>
      <c r="U36" s="421">
        <f t="shared" si="20"/>
        <v>-3359.15625</v>
      </c>
      <c r="V36" s="421">
        <f t="shared" si="20"/>
        <v>-1119.71875</v>
      </c>
      <c r="W36" s="421">
        <f t="shared" si="20"/>
        <v>-2239.4375</v>
      </c>
      <c r="X36" s="421">
        <f t="shared" si="20"/>
        <v>-3359.15625</v>
      </c>
      <c r="Y36" s="421">
        <f t="shared" si="20"/>
        <v>-1119.71875</v>
      </c>
      <c r="Z36" s="421">
        <f t="shared" si="20"/>
        <v>-1119.71875</v>
      </c>
      <c r="AA36" s="421">
        <f t="shared" si="20"/>
        <v>-1119.71875</v>
      </c>
      <c r="AB36" s="421">
        <f t="shared" si="20"/>
        <v>-1119.71875</v>
      </c>
      <c r="AC36" s="421">
        <f t="shared" si="20"/>
        <v>-3359.1562499999955</v>
      </c>
      <c r="AD36" s="421">
        <f t="shared" si="20"/>
        <v>-4478.875</v>
      </c>
      <c r="AE36" s="421">
        <f t="shared" si="20"/>
        <v>-3359.15625</v>
      </c>
      <c r="AF36" s="421">
        <f t="shared" si="20"/>
        <v>-1119.71875</v>
      </c>
      <c r="AG36" s="421">
        <f t="shared" si="20"/>
        <v>-3359.15625</v>
      </c>
      <c r="AH36" s="421">
        <f t="shared" si="20"/>
        <v>-1119.71875</v>
      </c>
      <c r="AI36" s="421">
        <f t="shared" si="20"/>
        <v>-2239.4375</v>
      </c>
      <c r="AJ36" s="421">
        <f t="shared" si="20"/>
        <v>-3359.15625</v>
      </c>
      <c r="AK36" s="421">
        <f t="shared" si="20"/>
        <v>-1119.71875</v>
      </c>
    </row>
    <row r="37" spans="1:40" ht="15">
      <c r="A37" s="488" t="s">
        <v>546</v>
      </c>
      <c r="B37" s="405">
        <f t="shared" ref="B37:AK37" si="21">-$B$120*B$20</f>
        <v>0</v>
      </c>
      <c r="C37" s="405">
        <f t="shared" si="21"/>
        <v>-629.25</v>
      </c>
      <c r="D37" s="405">
        <f t="shared" si="21"/>
        <v>-629.25</v>
      </c>
      <c r="E37" s="405">
        <f t="shared" si="21"/>
        <v>-629.25</v>
      </c>
      <c r="F37" s="405">
        <f t="shared" si="21"/>
        <v>-629.25</v>
      </c>
      <c r="G37" s="405">
        <f t="shared" si="21"/>
        <v>-629.25</v>
      </c>
      <c r="H37" s="405">
        <f t="shared" si="21"/>
        <v>-629.25</v>
      </c>
      <c r="I37" s="405">
        <f t="shared" si="21"/>
        <v>-3327.35</v>
      </c>
      <c r="J37" s="405">
        <f t="shared" si="21"/>
        <v>-4519.0875000000005</v>
      </c>
      <c r="K37" s="405">
        <f t="shared" si="21"/>
        <v>-5396.2</v>
      </c>
      <c r="L37" s="405">
        <f t="shared" si="21"/>
        <v>-1191.7375</v>
      </c>
      <c r="M37" s="405">
        <f t="shared" si="21"/>
        <v>-1191.7375</v>
      </c>
      <c r="N37" s="405">
        <f t="shared" si="21"/>
        <v>-1191.7375</v>
      </c>
      <c r="O37" s="405">
        <f t="shared" si="21"/>
        <v>-1191.7375</v>
      </c>
      <c r="P37" s="405">
        <f t="shared" si="21"/>
        <v>-3575.2125000000001</v>
      </c>
      <c r="Q37" s="405">
        <f t="shared" si="21"/>
        <v>-3575.2125000000001</v>
      </c>
      <c r="R37" s="405">
        <f t="shared" si="21"/>
        <v>-1191.7374999999959</v>
      </c>
      <c r="S37" s="405">
        <f t="shared" si="21"/>
        <v>-3359.15625</v>
      </c>
      <c r="T37" s="405">
        <f t="shared" si="21"/>
        <v>-1119.71875</v>
      </c>
      <c r="U37" s="405">
        <f t="shared" si="21"/>
        <v>-3359.15625</v>
      </c>
      <c r="V37" s="405">
        <f t="shared" si="21"/>
        <v>-1119.71875</v>
      </c>
      <c r="W37" s="405">
        <f t="shared" si="21"/>
        <v>-2239.4375</v>
      </c>
      <c r="X37" s="405">
        <f t="shared" si="21"/>
        <v>-3359.15625</v>
      </c>
      <c r="Y37" s="405">
        <f t="shared" si="21"/>
        <v>-1119.71875</v>
      </c>
      <c r="Z37" s="405">
        <f t="shared" si="21"/>
        <v>-1119.71875</v>
      </c>
      <c r="AA37" s="405">
        <f t="shared" si="21"/>
        <v>-1119.71875</v>
      </c>
      <c r="AB37" s="405">
        <f t="shared" si="21"/>
        <v>-1119.71875</v>
      </c>
      <c r="AC37" s="405">
        <f t="shared" si="21"/>
        <v>-3359.1562499999955</v>
      </c>
      <c r="AD37" s="405">
        <f t="shared" si="21"/>
        <v>-4478.875</v>
      </c>
      <c r="AE37" s="405">
        <f t="shared" si="21"/>
        <v>-3359.15625</v>
      </c>
      <c r="AF37" s="405">
        <f t="shared" si="21"/>
        <v>-1119.71875</v>
      </c>
      <c r="AG37" s="405">
        <f t="shared" si="21"/>
        <v>-3359.15625</v>
      </c>
      <c r="AH37" s="405">
        <f t="shared" si="21"/>
        <v>-1119.71875</v>
      </c>
      <c r="AI37" s="405">
        <f t="shared" si="21"/>
        <v>-2239.4375</v>
      </c>
      <c r="AJ37" s="405">
        <f t="shared" si="21"/>
        <v>-3359.15625</v>
      </c>
      <c r="AK37" s="405">
        <f t="shared" si="21"/>
        <v>-1119.71875</v>
      </c>
    </row>
    <row r="38" spans="1:40" ht="15">
      <c r="A38" s="488" t="s">
        <v>550</v>
      </c>
      <c r="B38" s="405">
        <f t="shared" ref="B38:AK38" si="22">-$B$121*B$20</f>
        <v>0</v>
      </c>
      <c r="C38" s="405">
        <f t="shared" si="22"/>
        <v>-629.25</v>
      </c>
      <c r="D38" s="405">
        <f t="shared" si="22"/>
        <v>-629.25</v>
      </c>
      <c r="E38" s="405">
        <f t="shared" si="22"/>
        <v>-629.25</v>
      </c>
      <c r="F38" s="405">
        <f t="shared" si="22"/>
        <v>-629.25</v>
      </c>
      <c r="G38" s="405">
        <f t="shared" si="22"/>
        <v>-629.25</v>
      </c>
      <c r="H38" s="405">
        <f t="shared" si="22"/>
        <v>-629.25</v>
      </c>
      <c r="I38" s="405">
        <f t="shared" si="22"/>
        <v>-3327.35</v>
      </c>
      <c r="J38" s="405">
        <f t="shared" si="22"/>
        <v>-4519.0875000000005</v>
      </c>
      <c r="K38" s="405">
        <f t="shared" si="22"/>
        <v>-5396.2</v>
      </c>
      <c r="L38" s="405">
        <f t="shared" si="22"/>
        <v>-1191.7375</v>
      </c>
      <c r="M38" s="405">
        <f t="shared" si="22"/>
        <v>-1191.7375</v>
      </c>
      <c r="N38" s="405">
        <f t="shared" si="22"/>
        <v>-1191.7375</v>
      </c>
      <c r="O38" s="405">
        <f t="shared" si="22"/>
        <v>-1191.7375</v>
      </c>
      <c r="P38" s="405">
        <f t="shared" si="22"/>
        <v>-3575.2125000000001</v>
      </c>
      <c r="Q38" s="405">
        <f t="shared" si="22"/>
        <v>-3575.2125000000001</v>
      </c>
      <c r="R38" s="405">
        <f t="shared" si="22"/>
        <v>-1191.7374999999959</v>
      </c>
      <c r="S38" s="405">
        <f t="shared" si="22"/>
        <v>-3359.15625</v>
      </c>
      <c r="T38" s="405">
        <f t="shared" si="22"/>
        <v>-1119.71875</v>
      </c>
      <c r="U38" s="405">
        <f t="shared" si="22"/>
        <v>-3359.15625</v>
      </c>
      <c r="V38" s="405">
        <f t="shared" si="22"/>
        <v>-1119.71875</v>
      </c>
      <c r="W38" s="405">
        <f t="shared" si="22"/>
        <v>-2239.4375</v>
      </c>
      <c r="X38" s="405">
        <f t="shared" si="22"/>
        <v>-3359.15625</v>
      </c>
      <c r="Y38" s="405">
        <f t="shared" si="22"/>
        <v>-1119.71875</v>
      </c>
      <c r="Z38" s="405">
        <f t="shared" si="22"/>
        <v>-1119.71875</v>
      </c>
      <c r="AA38" s="405">
        <f t="shared" si="22"/>
        <v>-1119.71875</v>
      </c>
      <c r="AB38" s="405">
        <f t="shared" si="22"/>
        <v>-1119.71875</v>
      </c>
      <c r="AC38" s="405">
        <f t="shared" si="22"/>
        <v>-3359.1562499999955</v>
      </c>
      <c r="AD38" s="405">
        <f t="shared" si="22"/>
        <v>-4478.875</v>
      </c>
      <c r="AE38" s="405">
        <f t="shared" si="22"/>
        <v>-3359.15625</v>
      </c>
      <c r="AF38" s="405">
        <f t="shared" si="22"/>
        <v>-1119.71875</v>
      </c>
      <c r="AG38" s="405">
        <f t="shared" si="22"/>
        <v>-3359.15625</v>
      </c>
      <c r="AH38" s="405">
        <f t="shared" si="22"/>
        <v>-1119.71875</v>
      </c>
      <c r="AI38" s="405">
        <f t="shared" si="22"/>
        <v>-2239.4375</v>
      </c>
      <c r="AJ38" s="405">
        <f t="shared" si="22"/>
        <v>-3359.15625</v>
      </c>
      <c r="AK38" s="405">
        <f t="shared" si="22"/>
        <v>-1119.71875</v>
      </c>
    </row>
    <row r="39" spans="1:40" ht="15">
      <c r="A39" s="473" t="s">
        <v>878</v>
      </c>
      <c r="B39" s="493">
        <f>SUM(B30:B38)</f>
        <v>-7260.9647599999998</v>
      </c>
      <c r="C39" s="493">
        <f t="shared" ref="C39:AK39" si="23">SUM(C30:C38)</f>
        <v>-10407.214759999999</v>
      </c>
      <c r="D39" s="493">
        <f t="shared" si="23"/>
        <v>-19194.964759999999</v>
      </c>
      <c r="E39" s="493">
        <f t="shared" si="23"/>
        <v>-19194.964759999999</v>
      </c>
      <c r="F39" s="493">
        <f t="shared" si="23"/>
        <v>-19194.964759999999</v>
      </c>
      <c r="G39" s="493">
        <f t="shared" si="23"/>
        <v>-19921.061236000001</v>
      </c>
      <c r="H39" s="493">
        <f t="shared" si="23"/>
        <v>-19921.061236000001</v>
      </c>
      <c r="I39" s="493">
        <f t="shared" si="23"/>
        <v>-41505.861235999997</v>
      </c>
      <c r="J39" s="493">
        <f t="shared" si="23"/>
        <v>-56214.761236000006</v>
      </c>
      <c r="K39" s="493">
        <f t="shared" si="23"/>
        <v>-69269.161236</v>
      </c>
      <c r="L39" s="493">
        <f t="shared" si="23"/>
        <v>-41670.96123600001</v>
      </c>
      <c r="M39" s="493">
        <f t="shared" si="23"/>
        <v>-23558.461235999999</v>
      </c>
      <c r="N39" s="493">
        <f t="shared" si="23"/>
        <v>-23558.461235999999</v>
      </c>
      <c r="O39" s="493">
        <f t="shared" si="23"/>
        <v>-23558.461235999999</v>
      </c>
      <c r="P39" s="493">
        <f t="shared" si="23"/>
        <v>-42626.261236000006</v>
      </c>
      <c r="Q39" s="493">
        <f t="shared" si="23"/>
        <v>-54701.261235999998</v>
      </c>
      <c r="R39" s="493">
        <f t="shared" si="23"/>
        <v>-35633.461235999966</v>
      </c>
      <c r="S39" s="493">
        <f t="shared" si="23"/>
        <v>-41696.51735959998</v>
      </c>
      <c r="T39" s="493">
        <f t="shared" si="23"/>
        <v>-41031.017359600002</v>
      </c>
      <c r="U39" s="493">
        <f t="shared" si="23"/>
        <v>-43421.517359600002</v>
      </c>
      <c r="V39" s="493">
        <f t="shared" si="23"/>
        <v>-41031.017359600002</v>
      </c>
      <c r="W39" s="493">
        <f t="shared" si="23"/>
        <v>-34463.767359600002</v>
      </c>
      <c r="X39" s="493">
        <f t="shared" si="23"/>
        <v>-51184.017359600002</v>
      </c>
      <c r="Y39" s="493">
        <f t="shared" si="23"/>
        <v>-41031.017359600002</v>
      </c>
      <c r="Z39" s="493">
        <f t="shared" si="23"/>
        <v>-25506.017359600002</v>
      </c>
      <c r="AA39" s="493">
        <f t="shared" si="23"/>
        <v>-25506.017359600002</v>
      </c>
      <c r="AB39" s="493">
        <f t="shared" si="23"/>
        <v>-25506.017359600002</v>
      </c>
      <c r="AC39" s="493">
        <f t="shared" si="23"/>
        <v>-43421.517359599959</v>
      </c>
      <c r="AD39" s="493">
        <f t="shared" si="23"/>
        <v>-67904.267359599966</v>
      </c>
      <c r="AE39" s="493">
        <f t="shared" si="23"/>
        <v>-67587.594095559994</v>
      </c>
      <c r="AF39" s="493">
        <f t="shared" si="23"/>
        <v>-41909.594095560002</v>
      </c>
      <c r="AG39" s="493">
        <f t="shared" si="23"/>
        <v>-44300.094095560002</v>
      </c>
      <c r="AH39" s="493">
        <f t="shared" si="23"/>
        <v>-41909.594095560002</v>
      </c>
      <c r="AI39" s="493">
        <f t="shared" si="23"/>
        <v>-35342.344095560002</v>
      </c>
      <c r="AJ39" s="493">
        <f t="shared" si="23"/>
        <v>-52062.594095560002</v>
      </c>
      <c r="AK39" s="493">
        <f t="shared" si="23"/>
        <v>-41909.594095560002</v>
      </c>
    </row>
    <row r="40" spans="1:40" s="396" customFormat="1" ht="15">
      <c r="A40" s="473" t="s">
        <v>551</v>
      </c>
      <c r="B40" s="494">
        <f>B39+B28</f>
        <v>-73696.879281636575</v>
      </c>
      <c r="C40" s="494">
        <f t="shared" ref="C40:AK40" si="24">C39+C28</f>
        <v>-76843.129281636575</v>
      </c>
      <c r="D40" s="494">
        <f t="shared" si="24"/>
        <v>-85630.879281636575</v>
      </c>
      <c r="E40" s="494">
        <f t="shared" si="24"/>
        <v>-91630.879281636575</v>
      </c>
      <c r="F40" s="494">
        <f t="shared" si="24"/>
        <v>-91630.879281636575</v>
      </c>
      <c r="G40" s="494">
        <f t="shared" si="24"/>
        <v>-99600.56720980024</v>
      </c>
      <c r="H40" s="494">
        <f t="shared" si="24"/>
        <v>-99600.56720980024</v>
      </c>
      <c r="I40" s="494">
        <f t="shared" si="24"/>
        <v>-121185.36720980023</v>
      </c>
      <c r="J40" s="494">
        <f t="shared" si="24"/>
        <v>-135894.26720980025</v>
      </c>
      <c r="K40" s="494">
        <f t="shared" si="24"/>
        <v>-148948.66720980022</v>
      </c>
      <c r="L40" s="494">
        <f t="shared" si="24"/>
        <v>-121350.46720980023</v>
      </c>
      <c r="M40" s="494">
        <f t="shared" si="24"/>
        <v>-103237.96720980023</v>
      </c>
      <c r="N40" s="494">
        <f t="shared" si="24"/>
        <v>-103237.96720980023</v>
      </c>
      <c r="O40" s="494">
        <f t="shared" si="24"/>
        <v>-103237.96720980023</v>
      </c>
      <c r="P40" s="494">
        <f t="shared" si="24"/>
        <v>-122305.76720980024</v>
      </c>
      <c r="Q40" s="494">
        <f t="shared" si="24"/>
        <v>-134380.76720980022</v>
      </c>
      <c r="R40" s="494">
        <f t="shared" si="24"/>
        <v>-115312.9672098002</v>
      </c>
      <c r="S40" s="494">
        <f t="shared" si="24"/>
        <v>-129343.97393078025</v>
      </c>
      <c r="T40" s="494">
        <f t="shared" si="24"/>
        <v>-128678.47393078028</v>
      </c>
      <c r="U40" s="494">
        <f t="shared" si="24"/>
        <v>-131068.97393078028</v>
      </c>
      <c r="V40" s="494">
        <f t="shared" si="24"/>
        <v>-128678.47393078028</v>
      </c>
      <c r="W40" s="494">
        <f t="shared" si="24"/>
        <v>-122111.22393078028</v>
      </c>
      <c r="X40" s="494">
        <f t="shared" si="24"/>
        <v>-138831.47393078028</v>
      </c>
      <c r="Y40" s="494">
        <f t="shared" si="24"/>
        <v>-128678.47393078028</v>
      </c>
      <c r="Z40" s="494">
        <f t="shared" si="24"/>
        <v>-113153.47393078028</v>
      </c>
      <c r="AA40" s="494">
        <f t="shared" si="24"/>
        <v>-113153.47393078028</v>
      </c>
      <c r="AB40" s="494">
        <f t="shared" si="24"/>
        <v>-113153.47393078028</v>
      </c>
      <c r="AC40" s="494">
        <f t="shared" si="24"/>
        <v>-131068.97393078022</v>
      </c>
      <c r="AD40" s="494">
        <f t="shared" si="24"/>
        <v>-155551.72393078025</v>
      </c>
      <c r="AE40" s="494">
        <f t="shared" si="24"/>
        <v>-156885.82156823034</v>
      </c>
      <c r="AF40" s="494">
        <f t="shared" si="24"/>
        <v>-131207.82156823034</v>
      </c>
      <c r="AG40" s="494">
        <f t="shared" si="24"/>
        <v>-133598.32156823034</v>
      </c>
      <c r="AH40" s="494">
        <f t="shared" si="24"/>
        <v>-138321.79632385832</v>
      </c>
      <c r="AI40" s="494">
        <f t="shared" si="24"/>
        <v>-131754.54632385832</v>
      </c>
      <c r="AJ40" s="494">
        <f t="shared" si="24"/>
        <v>-148474.79632385832</v>
      </c>
      <c r="AK40" s="494">
        <f t="shared" si="24"/>
        <v>-138321.79632385832</v>
      </c>
    </row>
    <row r="41" spans="1:40" ht="16" thickBot="1">
      <c r="A41" s="490" t="s">
        <v>881</v>
      </c>
      <c r="B41" s="495">
        <f>B23+B40</f>
        <v>-340424.7245304212</v>
      </c>
      <c r="C41" s="495">
        <f t="shared" ref="C41:AK41" si="25">C23+C40</f>
        <v>-157454.19928163657</v>
      </c>
      <c r="D41" s="495">
        <f t="shared" si="25"/>
        <v>-22705.879281636575</v>
      </c>
      <c r="E41" s="495">
        <f t="shared" si="25"/>
        <v>-28705.879281636575</v>
      </c>
      <c r="F41" s="495">
        <f t="shared" si="25"/>
        <v>-28705.879281636575</v>
      </c>
      <c r="G41" s="495">
        <f t="shared" si="25"/>
        <v>-205013.08015187961</v>
      </c>
      <c r="H41" s="495">
        <f t="shared" si="25"/>
        <v>-120844.32368083992</v>
      </c>
      <c r="I41" s="495">
        <f t="shared" si="25"/>
        <v>43212.119848120405</v>
      </c>
      <c r="J41" s="495">
        <f t="shared" si="25"/>
        <v>316014.48279019975</v>
      </c>
      <c r="K41" s="495">
        <f t="shared" si="25"/>
        <v>390671.33279019978</v>
      </c>
      <c r="L41" s="495">
        <f t="shared" si="25"/>
        <v>-2176.7172098002338</v>
      </c>
      <c r="M41" s="495">
        <f t="shared" si="25"/>
        <v>15935.782790199766</v>
      </c>
      <c r="N41" s="495">
        <f t="shared" si="25"/>
        <v>15935.782790199766</v>
      </c>
      <c r="O41" s="495">
        <f t="shared" si="25"/>
        <v>15935.782790199766</v>
      </c>
      <c r="P41" s="495">
        <f t="shared" si="25"/>
        <v>235215.48279019975</v>
      </c>
      <c r="Q41" s="495">
        <f t="shared" si="25"/>
        <v>12949.957808008476</v>
      </c>
      <c r="R41" s="495">
        <f t="shared" si="25"/>
        <v>-101234.47970089628</v>
      </c>
      <c r="S41" s="495">
        <f t="shared" si="25"/>
        <v>-3618.8739129715541</v>
      </c>
      <c r="T41" s="495">
        <f t="shared" si="25"/>
        <v>-16706.598930780281</v>
      </c>
      <c r="U41" s="495">
        <f t="shared" si="25"/>
        <v>204846.65106921972</v>
      </c>
      <c r="V41" s="495">
        <f t="shared" si="25"/>
        <v>-16706.598930780281</v>
      </c>
      <c r="W41" s="495">
        <f t="shared" si="25"/>
        <v>101832.52606921972</v>
      </c>
      <c r="X41" s="495">
        <f t="shared" si="25"/>
        <v>197084.15106921972</v>
      </c>
      <c r="Y41" s="495">
        <f t="shared" si="25"/>
        <v>-16706.598930780281</v>
      </c>
      <c r="Z41" s="495">
        <f t="shared" si="25"/>
        <v>-1181.5989307802811</v>
      </c>
      <c r="AA41" s="495">
        <f t="shared" si="25"/>
        <v>-1181.5989307802811</v>
      </c>
      <c r="AB41" s="495">
        <f t="shared" si="25"/>
        <v>-190181.59893078028</v>
      </c>
      <c r="AC41" s="495">
        <f t="shared" si="25"/>
        <v>110346.65106921931</v>
      </c>
      <c r="AD41" s="495">
        <f t="shared" si="25"/>
        <v>103335.77606921975</v>
      </c>
      <c r="AE41" s="495">
        <f t="shared" si="25"/>
        <v>179029.80343176966</v>
      </c>
      <c r="AF41" s="495">
        <f t="shared" si="25"/>
        <v>-19235.946568230342</v>
      </c>
      <c r="AG41" s="495">
        <f t="shared" si="25"/>
        <v>202317.30343176966</v>
      </c>
      <c r="AH41" s="495">
        <f t="shared" si="25"/>
        <v>-26349.921323858318</v>
      </c>
      <c r="AI41" s="495">
        <f t="shared" si="25"/>
        <v>92189.203676141682</v>
      </c>
      <c r="AJ41" s="495">
        <f t="shared" si="25"/>
        <v>187440.82867614168</v>
      </c>
      <c r="AK41" s="495">
        <f t="shared" si="25"/>
        <v>-26349.921323858318</v>
      </c>
    </row>
    <row r="42" spans="1:40">
      <c r="A42" s="396"/>
    </row>
    <row r="43" spans="1:40" ht="15">
      <c r="A43" s="488" t="s">
        <v>882</v>
      </c>
    </row>
    <row r="44" spans="1:40">
      <c r="A44" s="397" t="s">
        <v>742</v>
      </c>
      <c r="B44" s="436"/>
      <c r="C44" s="436"/>
      <c r="D44" s="436"/>
      <c r="E44" s="436"/>
      <c r="F44" s="436"/>
      <c r="G44" s="436"/>
      <c r="H44" s="436"/>
      <c r="I44" s="436">
        <f>+'07 SG MRA Grant'!F9</f>
        <v>119885.375</v>
      </c>
      <c r="J44" s="436"/>
      <c r="K44" s="436"/>
      <c r="L44" s="436"/>
      <c r="M44" s="436"/>
    </row>
    <row r="45" spans="1:40">
      <c r="A45" s="397" t="s">
        <v>136</v>
      </c>
      <c r="B45" s="436">
        <f>+C70</f>
        <v>357396.73000000004</v>
      </c>
      <c r="C45" s="448"/>
      <c r="D45" s="436"/>
      <c r="E45" s="436"/>
      <c r="F45" s="436"/>
      <c r="G45" s="436"/>
      <c r="H45" s="436"/>
      <c r="I45" s="436"/>
      <c r="J45" s="436"/>
      <c r="K45" s="436"/>
      <c r="L45" s="436"/>
      <c r="M45" s="436"/>
    </row>
    <row r="46" spans="1:40" ht="14">
      <c r="A46" s="489" t="s">
        <v>985</v>
      </c>
      <c r="U46" s="421">
        <v>-50000</v>
      </c>
      <c r="V46" s="405">
        <f>U46</f>
        <v>-50000</v>
      </c>
      <c r="W46" s="405">
        <f t="shared" ref="W46:AK46" si="26">V46</f>
        <v>-50000</v>
      </c>
      <c r="X46" s="405">
        <f t="shared" si="26"/>
        <v>-50000</v>
      </c>
      <c r="Y46" s="405">
        <f t="shared" si="26"/>
        <v>-50000</v>
      </c>
      <c r="Z46" s="405">
        <f t="shared" si="26"/>
        <v>-50000</v>
      </c>
      <c r="AA46" s="405">
        <f t="shared" si="26"/>
        <v>-50000</v>
      </c>
      <c r="AB46" s="405">
        <f t="shared" si="26"/>
        <v>-50000</v>
      </c>
      <c r="AC46" s="405">
        <f t="shared" si="26"/>
        <v>-50000</v>
      </c>
      <c r="AD46" s="405">
        <f t="shared" si="26"/>
        <v>-50000</v>
      </c>
      <c r="AE46" s="405">
        <f t="shared" si="26"/>
        <v>-50000</v>
      </c>
      <c r="AF46" s="405">
        <f t="shared" si="26"/>
        <v>-50000</v>
      </c>
      <c r="AG46" s="405">
        <f t="shared" si="26"/>
        <v>-50000</v>
      </c>
      <c r="AH46" s="405">
        <f t="shared" si="26"/>
        <v>-50000</v>
      </c>
      <c r="AI46" s="405">
        <f t="shared" si="26"/>
        <v>-50000</v>
      </c>
      <c r="AJ46" s="405">
        <f t="shared" si="26"/>
        <v>-50000</v>
      </c>
      <c r="AK46" s="405">
        <f t="shared" si="26"/>
        <v>-50000</v>
      </c>
    </row>
    <row r="47" spans="1:40">
      <c r="A47" s="397" t="s">
        <v>484</v>
      </c>
      <c r="B47" s="436"/>
      <c r="C47" s="436"/>
      <c r="D47" s="421">
        <f>-C75</f>
        <v>-40000</v>
      </c>
      <c r="E47" s="436">
        <f>-C76</f>
        <v>-25000</v>
      </c>
      <c r="F47" s="436">
        <f>-C77</f>
        <v>-10000</v>
      </c>
      <c r="G47" s="436"/>
      <c r="H47" s="436"/>
      <c r="I47" s="436">
        <f>-C72</f>
        <v>-320248.8</v>
      </c>
      <c r="J47" s="436"/>
      <c r="K47" s="436"/>
      <c r="L47" s="436"/>
      <c r="M47" s="436"/>
    </row>
    <row r="48" spans="1:40" ht="15">
      <c r="A48" s="490" t="s">
        <v>886</v>
      </c>
      <c r="B48" s="405">
        <f>SUM(B41,B45:B47)</f>
        <v>16972.005469578842</v>
      </c>
      <c r="C48" s="405">
        <f t="shared" ref="C48:AK48" si="27">SUM(C41,C45:C47)</f>
        <v>-157454.19928163657</v>
      </c>
      <c r="D48" s="405">
        <f t="shared" si="27"/>
        <v>-62705.879281636575</v>
      </c>
      <c r="E48" s="405">
        <f t="shared" si="27"/>
        <v>-53705.879281636575</v>
      </c>
      <c r="F48" s="405">
        <f t="shared" si="27"/>
        <v>-38705.879281636575</v>
      </c>
      <c r="G48" s="405">
        <f t="shared" si="27"/>
        <v>-205013.08015187961</v>
      </c>
      <c r="H48" s="405">
        <f t="shared" si="27"/>
        <v>-120844.32368083992</v>
      </c>
      <c r="I48" s="497">
        <f t="shared" si="27"/>
        <v>-277036.68015187955</v>
      </c>
      <c r="J48" s="497">
        <f t="shared" si="27"/>
        <v>316014.48279019975</v>
      </c>
      <c r="K48" s="497">
        <f t="shared" si="27"/>
        <v>390671.33279019978</v>
      </c>
      <c r="L48" s="405">
        <f t="shared" si="27"/>
        <v>-2176.7172098002338</v>
      </c>
      <c r="M48" s="405">
        <f t="shared" si="27"/>
        <v>15935.782790199766</v>
      </c>
      <c r="N48" s="497">
        <f t="shared" si="27"/>
        <v>15935.782790199766</v>
      </c>
      <c r="O48" s="497">
        <f t="shared" si="27"/>
        <v>15935.782790199766</v>
      </c>
      <c r="P48" s="497">
        <f t="shared" si="27"/>
        <v>235215.48279019975</v>
      </c>
      <c r="Q48" s="497">
        <f t="shared" si="27"/>
        <v>12949.957808008476</v>
      </c>
      <c r="R48" s="497">
        <f t="shared" si="27"/>
        <v>-101234.47970089628</v>
      </c>
      <c r="S48" s="405">
        <f t="shared" si="27"/>
        <v>-3618.8739129715541</v>
      </c>
      <c r="T48" s="405">
        <f t="shared" si="27"/>
        <v>-16706.598930780281</v>
      </c>
      <c r="U48" s="405">
        <f t="shared" si="27"/>
        <v>154846.65106921972</v>
      </c>
      <c r="V48" s="497">
        <f t="shared" si="27"/>
        <v>-66706.598930780281</v>
      </c>
      <c r="W48" s="497">
        <f t="shared" si="27"/>
        <v>51832.526069219719</v>
      </c>
      <c r="X48" s="497">
        <f t="shared" si="27"/>
        <v>147084.15106921972</v>
      </c>
      <c r="Y48" s="497">
        <f t="shared" si="27"/>
        <v>-66706.598930780281</v>
      </c>
      <c r="Z48" s="497">
        <f t="shared" si="27"/>
        <v>-51181.598930780281</v>
      </c>
      <c r="AA48" s="497">
        <f t="shared" si="27"/>
        <v>-51181.598930780281</v>
      </c>
      <c r="AB48" s="497">
        <f t="shared" si="27"/>
        <v>-240181.59893078028</v>
      </c>
      <c r="AC48" s="497">
        <f t="shared" si="27"/>
        <v>60346.651069219311</v>
      </c>
      <c r="AD48" s="497">
        <f t="shared" si="27"/>
        <v>53335.776069219748</v>
      </c>
      <c r="AE48" s="497">
        <f t="shared" si="27"/>
        <v>129029.80343176966</v>
      </c>
      <c r="AF48" s="497">
        <f t="shared" si="27"/>
        <v>-69235.946568230342</v>
      </c>
      <c r="AG48" s="497">
        <f t="shared" si="27"/>
        <v>152317.30343176966</v>
      </c>
      <c r="AH48" s="497">
        <f t="shared" si="27"/>
        <v>-76349.921323858318</v>
      </c>
      <c r="AI48" s="497">
        <f t="shared" si="27"/>
        <v>42189.203676141682</v>
      </c>
      <c r="AJ48" s="497">
        <f t="shared" si="27"/>
        <v>137440.82867614168</v>
      </c>
      <c r="AK48" s="497">
        <f t="shared" si="27"/>
        <v>-76349.921323858318</v>
      </c>
    </row>
    <row r="49" spans="1:37">
      <c r="A49" s="396"/>
      <c r="B49" s="450"/>
      <c r="C49" s="450"/>
      <c r="D49" s="450"/>
      <c r="E49" s="450"/>
      <c r="F49" s="450"/>
      <c r="G49" s="450"/>
      <c r="H49" s="450"/>
      <c r="I49" s="404"/>
      <c r="J49" s="404"/>
      <c r="K49" s="404"/>
      <c r="L49" s="450"/>
      <c r="M49" s="450"/>
      <c r="N49" s="404"/>
      <c r="O49" s="404"/>
      <c r="P49" s="404"/>
      <c r="Q49" s="404"/>
      <c r="R49" s="404"/>
      <c r="S49" s="450"/>
      <c r="T49" s="450"/>
      <c r="U49" s="450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/>
      <c r="AJ49" s="404"/>
      <c r="AK49" s="404"/>
    </row>
    <row r="50" spans="1:37">
      <c r="B50" s="401"/>
      <c r="C50" s="401"/>
      <c r="D50" s="401"/>
      <c r="E50" s="401"/>
      <c r="F50" s="401"/>
      <c r="G50" s="401"/>
      <c r="H50" s="401"/>
      <c r="I50" s="401"/>
      <c r="J50" s="401"/>
      <c r="K50" s="401"/>
      <c r="L50" s="436"/>
      <c r="M50" s="436"/>
      <c r="N50" s="401"/>
      <c r="O50" s="401"/>
      <c r="P50" s="401"/>
      <c r="Q50" s="401"/>
      <c r="R50" s="401"/>
      <c r="S50" s="401"/>
      <c r="T50" s="401"/>
      <c r="U50" s="401"/>
      <c r="V50" s="401"/>
      <c r="W50" s="401"/>
      <c r="X50" s="401"/>
      <c r="Y50" s="401"/>
      <c r="Z50" s="401"/>
      <c r="AA50" s="401"/>
      <c r="AB50" s="401"/>
      <c r="AC50" s="401"/>
      <c r="AD50" s="401"/>
      <c r="AE50" s="401"/>
      <c r="AF50" s="401"/>
      <c r="AG50" s="401"/>
      <c r="AH50" s="401"/>
      <c r="AI50" s="401"/>
      <c r="AJ50" s="401"/>
      <c r="AK50" s="401"/>
    </row>
    <row r="51" spans="1:37">
      <c r="A51" s="397" t="s">
        <v>747</v>
      </c>
      <c r="B51" s="401">
        <v>32988</v>
      </c>
      <c r="C51" s="401">
        <f>B53</f>
        <v>49960.005469578842</v>
      </c>
      <c r="D51" s="401">
        <f t="shared" ref="D51:AK51" si="28">C53</f>
        <v>-107494.19381205773</v>
      </c>
      <c r="E51" s="401">
        <f t="shared" si="28"/>
        <v>-170200.07309369429</v>
      </c>
      <c r="F51" s="401">
        <f t="shared" si="28"/>
        <v>-223905.95237533085</v>
      </c>
      <c r="G51" s="401">
        <f t="shared" si="28"/>
        <v>-262611.83165696741</v>
      </c>
      <c r="H51" s="401">
        <f t="shared" si="28"/>
        <v>-467624.91180884698</v>
      </c>
      <c r="I51" s="401">
        <f t="shared" si="28"/>
        <v>-588469.23548968695</v>
      </c>
      <c r="J51" s="401">
        <f t="shared" si="28"/>
        <v>-865505.91564156651</v>
      </c>
      <c r="K51" s="401">
        <f t="shared" si="28"/>
        <v>-549491.4328513667</v>
      </c>
      <c r="L51" s="401">
        <f t="shared" si="28"/>
        <v>-158820.10006116692</v>
      </c>
      <c r="M51" s="401">
        <f t="shared" si="28"/>
        <v>-160996.81727096715</v>
      </c>
      <c r="N51" s="401">
        <f t="shared" si="28"/>
        <v>-145061.03448076738</v>
      </c>
      <c r="O51" s="401">
        <f t="shared" si="28"/>
        <v>-129125.25169056762</v>
      </c>
      <c r="P51" s="401">
        <f t="shared" si="28"/>
        <v>-113189.46890036785</v>
      </c>
      <c r="Q51" s="401">
        <f t="shared" si="28"/>
        <v>122026.0138898319</v>
      </c>
      <c r="R51" s="401">
        <f t="shared" si="28"/>
        <v>134975.97169784037</v>
      </c>
      <c r="S51" s="401">
        <f t="shared" si="28"/>
        <v>33741.491996944096</v>
      </c>
      <c r="T51" s="401">
        <f t="shared" si="28"/>
        <v>30122.618083972542</v>
      </c>
      <c r="U51" s="401">
        <f t="shared" si="28"/>
        <v>13416.019153192261</v>
      </c>
      <c r="V51" s="401">
        <f t="shared" si="28"/>
        <v>168262.67022241198</v>
      </c>
      <c r="W51" s="401">
        <f t="shared" si="28"/>
        <v>101556.0712916317</v>
      </c>
      <c r="X51" s="401">
        <f t="shared" si="28"/>
        <v>153388.59736085142</v>
      </c>
      <c r="Y51" s="401">
        <f t="shared" si="28"/>
        <v>300472.74843007117</v>
      </c>
      <c r="Z51" s="401">
        <f t="shared" si="28"/>
        <v>233766.14949929088</v>
      </c>
      <c r="AA51" s="401">
        <f t="shared" si="28"/>
        <v>182584.5505685106</v>
      </c>
      <c r="AB51" s="401">
        <f t="shared" si="28"/>
        <v>131402.95163773032</v>
      </c>
      <c r="AC51" s="401">
        <f t="shared" si="28"/>
        <v>-108778.64729304996</v>
      </c>
      <c r="AD51" s="401">
        <f t="shared" si="28"/>
        <v>-48431.996223830647</v>
      </c>
      <c r="AE51" s="401">
        <f t="shared" si="28"/>
        <v>4903.779845389101</v>
      </c>
      <c r="AF51" s="401">
        <f t="shared" si="28"/>
        <v>133933.58327715876</v>
      </c>
      <c r="AG51" s="401">
        <f t="shared" si="28"/>
        <v>64697.636708928418</v>
      </c>
      <c r="AH51" s="401">
        <f t="shared" si="28"/>
        <v>217014.94014069808</v>
      </c>
      <c r="AI51" s="401">
        <f t="shared" si="28"/>
        <v>140665.01881683976</v>
      </c>
      <c r="AJ51" s="401">
        <f t="shared" si="28"/>
        <v>182854.22249298144</v>
      </c>
      <c r="AK51" s="401">
        <f t="shared" si="28"/>
        <v>320295.05116912315</v>
      </c>
    </row>
    <row r="52" spans="1:37">
      <c r="A52" s="397" t="s">
        <v>748</v>
      </c>
      <c r="B52" s="407">
        <f t="shared" ref="B52:AK52" si="29">B48</f>
        <v>16972.005469578842</v>
      </c>
      <c r="C52" s="407">
        <f t="shared" si="29"/>
        <v>-157454.19928163657</v>
      </c>
      <c r="D52" s="407">
        <f t="shared" si="29"/>
        <v>-62705.879281636575</v>
      </c>
      <c r="E52" s="407">
        <f t="shared" si="29"/>
        <v>-53705.879281636575</v>
      </c>
      <c r="F52" s="407">
        <f t="shared" si="29"/>
        <v>-38705.879281636575</v>
      </c>
      <c r="G52" s="407">
        <f t="shared" si="29"/>
        <v>-205013.08015187961</v>
      </c>
      <c r="H52" s="407">
        <f t="shared" si="29"/>
        <v>-120844.32368083992</v>
      </c>
      <c r="I52" s="407">
        <f t="shared" si="29"/>
        <v>-277036.68015187955</v>
      </c>
      <c r="J52" s="401">
        <f t="shared" si="29"/>
        <v>316014.48279019975</v>
      </c>
      <c r="K52" s="401">
        <f t="shared" si="29"/>
        <v>390671.33279019978</v>
      </c>
      <c r="L52" s="401">
        <f t="shared" si="29"/>
        <v>-2176.7172098002338</v>
      </c>
      <c r="M52" s="401">
        <f t="shared" si="29"/>
        <v>15935.782790199766</v>
      </c>
      <c r="N52" s="401">
        <f t="shared" si="29"/>
        <v>15935.782790199766</v>
      </c>
      <c r="O52" s="401">
        <f t="shared" si="29"/>
        <v>15935.782790199766</v>
      </c>
      <c r="P52" s="401">
        <f t="shared" si="29"/>
        <v>235215.48279019975</v>
      </c>
      <c r="Q52" s="401">
        <f t="shared" si="29"/>
        <v>12949.957808008476</v>
      </c>
      <c r="R52" s="401">
        <f t="shared" si="29"/>
        <v>-101234.47970089628</v>
      </c>
      <c r="S52" s="401">
        <f t="shared" si="29"/>
        <v>-3618.8739129715541</v>
      </c>
      <c r="T52" s="401">
        <f t="shared" si="29"/>
        <v>-16706.598930780281</v>
      </c>
      <c r="U52" s="401">
        <f t="shared" si="29"/>
        <v>154846.65106921972</v>
      </c>
      <c r="V52" s="401">
        <f t="shared" si="29"/>
        <v>-66706.598930780281</v>
      </c>
      <c r="W52" s="401">
        <f t="shared" si="29"/>
        <v>51832.526069219719</v>
      </c>
      <c r="X52" s="401">
        <f t="shared" si="29"/>
        <v>147084.15106921972</v>
      </c>
      <c r="Y52" s="401">
        <f t="shared" si="29"/>
        <v>-66706.598930780281</v>
      </c>
      <c r="Z52" s="401">
        <f t="shared" si="29"/>
        <v>-51181.598930780281</v>
      </c>
      <c r="AA52" s="401">
        <f t="shared" si="29"/>
        <v>-51181.598930780281</v>
      </c>
      <c r="AB52" s="401">
        <f t="shared" si="29"/>
        <v>-240181.59893078028</v>
      </c>
      <c r="AC52" s="401">
        <f t="shared" si="29"/>
        <v>60346.651069219311</v>
      </c>
      <c r="AD52" s="401">
        <f t="shared" si="29"/>
        <v>53335.776069219748</v>
      </c>
      <c r="AE52" s="401">
        <f t="shared" si="29"/>
        <v>129029.80343176966</v>
      </c>
      <c r="AF52" s="401">
        <f t="shared" si="29"/>
        <v>-69235.946568230342</v>
      </c>
      <c r="AG52" s="401">
        <f t="shared" si="29"/>
        <v>152317.30343176966</v>
      </c>
      <c r="AH52" s="401">
        <f t="shared" si="29"/>
        <v>-76349.921323858318</v>
      </c>
      <c r="AI52" s="401">
        <f t="shared" si="29"/>
        <v>42189.203676141682</v>
      </c>
      <c r="AJ52" s="401">
        <f t="shared" si="29"/>
        <v>137440.82867614168</v>
      </c>
      <c r="AK52" s="401">
        <f t="shared" si="29"/>
        <v>-76349.921323858318</v>
      </c>
    </row>
    <row r="53" spans="1:37">
      <c r="A53" s="397" t="s">
        <v>749</v>
      </c>
      <c r="B53" s="401">
        <f>B51+B52</f>
        <v>49960.005469578842</v>
      </c>
      <c r="C53" s="401">
        <f t="shared" ref="C53:AK53" si="30">C51+C52</f>
        <v>-107494.19381205773</v>
      </c>
      <c r="D53" s="401">
        <f t="shared" si="30"/>
        <v>-170200.07309369429</v>
      </c>
      <c r="E53" s="401">
        <f t="shared" si="30"/>
        <v>-223905.95237533085</v>
      </c>
      <c r="F53" s="401">
        <f t="shared" si="30"/>
        <v>-262611.83165696741</v>
      </c>
      <c r="G53" s="401">
        <f t="shared" si="30"/>
        <v>-467624.91180884698</v>
      </c>
      <c r="H53" s="401">
        <f t="shared" si="30"/>
        <v>-588469.23548968695</v>
      </c>
      <c r="I53" s="401">
        <f t="shared" si="30"/>
        <v>-865505.91564156651</v>
      </c>
      <c r="J53" s="401">
        <f t="shared" si="30"/>
        <v>-549491.4328513667</v>
      </c>
      <c r="K53" s="401">
        <f t="shared" si="30"/>
        <v>-158820.10006116692</v>
      </c>
      <c r="L53" s="401">
        <f t="shared" si="30"/>
        <v>-160996.81727096715</v>
      </c>
      <c r="M53" s="401">
        <f t="shared" si="30"/>
        <v>-145061.03448076738</v>
      </c>
      <c r="N53" s="401">
        <f t="shared" si="30"/>
        <v>-129125.25169056762</v>
      </c>
      <c r="O53" s="401">
        <f t="shared" si="30"/>
        <v>-113189.46890036785</v>
      </c>
      <c r="P53" s="401">
        <f t="shared" si="30"/>
        <v>122026.0138898319</v>
      </c>
      <c r="Q53" s="401">
        <f t="shared" si="30"/>
        <v>134975.97169784037</v>
      </c>
      <c r="R53" s="401">
        <f t="shared" si="30"/>
        <v>33741.491996944096</v>
      </c>
      <c r="S53" s="401">
        <f t="shared" si="30"/>
        <v>30122.618083972542</v>
      </c>
      <c r="T53" s="401">
        <f t="shared" si="30"/>
        <v>13416.019153192261</v>
      </c>
      <c r="U53" s="401">
        <f t="shared" si="30"/>
        <v>168262.67022241198</v>
      </c>
      <c r="V53" s="401">
        <f t="shared" si="30"/>
        <v>101556.0712916317</v>
      </c>
      <c r="W53" s="401">
        <f t="shared" si="30"/>
        <v>153388.59736085142</v>
      </c>
      <c r="X53" s="401">
        <f t="shared" si="30"/>
        <v>300472.74843007117</v>
      </c>
      <c r="Y53" s="401">
        <f t="shared" si="30"/>
        <v>233766.14949929088</v>
      </c>
      <c r="Z53" s="401">
        <f t="shared" si="30"/>
        <v>182584.5505685106</v>
      </c>
      <c r="AA53" s="401">
        <f t="shared" si="30"/>
        <v>131402.95163773032</v>
      </c>
      <c r="AB53" s="401">
        <f t="shared" si="30"/>
        <v>-108778.64729304996</v>
      </c>
      <c r="AC53" s="401">
        <f t="shared" si="30"/>
        <v>-48431.996223830647</v>
      </c>
      <c r="AD53" s="401">
        <f t="shared" si="30"/>
        <v>4903.779845389101</v>
      </c>
      <c r="AE53" s="401">
        <f t="shared" si="30"/>
        <v>133933.58327715876</v>
      </c>
      <c r="AF53" s="401">
        <f t="shared" si="30"/>
        <v>64697.636708928418</v>
      </c>
      <c r="AG53" s="401">
        <f t="shared" si="30"/>
        <v>217014.94014069808</v>
      </c>
      <c r="AH53" s="401">
        <f t="shared" si="30"/>
        <v>140665.01881683976</v>
      </c>
      <c r="AI53" s="401">
        <f t="shared" si="30"/>
        <v>182854.22249298144</v>
      </c>
      <c r="AJ53" s="401">
        <f t="shared" si="30"/>
        <v>320295.05116912315</v>
      </c>
      <c r="AK53" s="401">
        <f t="shared" si="30"/>
        <v>243945.12984526483</v>
      </c>
    </row>
    <row r="55" spans="1:37">
      <c r="A55" s="396" t="str">
        <f>+A52</f>
        <v>Cash Surplus (+ve)/Deficit (-ve)</v>
      </c>
      <c r="B55" s="424">
        <f>ROUNDUP(SUM(B52:AK52),0)</f>
        <v>210958</v>
      </c>
    </row>
    <row r="56" spans="1:37">
      <c r="A56" s="396"/>
      <c r="B56" s="408"/>
    </row>
    <row r="57" spans="1:37">
      <c r="A57" s="396" t="s">
        <v>750</v>
      </c>
      <c r="B57" s="372">
        <f>ROUNDUP(IF(SUM(B52:I52)&gt;=0,0,SUM(B52:I52)*(-1)),0)</f>
        <v>898494</v>
      </c>
      <c r="C57" s="397" t="s">
        <v>825</v>
      </c>
    </row>
    <row r="59" spans="1:37">
      <c r="A59" s="397" t="s">
        <v>751</v>
      </c>
    </row>
    <row r="61" spans="1:37">
      <c r="A61" s="397" t="s">
        <v>752</v>
      </c>
      <c r="C61" s="409">
        <f>100*$B$7</f>
        <v>50</v>
      </c>
      <c r="D61" s="397" t="s">
        <v>753</v>
      </c>
      <c r="E61" s="409">
        <f>200*$B$7</f>
        <v>100</v>
      </c>
      <c r="F61" s="397" t="s">
        <v>754</v>
      </c>
      <c r="J61" s="402">
        <f>C61*$B$65+E61*$B$66</f>
        <v>629250</v>
      </c>
    </row>
    <row r="62" spans="1:37">
      <c r="A62" s="397" t="s">
        <v>756</v>
      </c>
      <c r="C62" s="409">
        <f>200*$B$7</f>
        <v>100</v>
      </c>
      <c r="D62" s="397" t="s">
        <v>753</v>
      </c>
      <c r="E62" s="501">
        <f>350*$B$7</f>
        <v>175</v>
      </c>
      <c r="F62" s="502" t="s">
        <v>754</v>
      </c>
      <c r="G62" s="501">
        <f>(700-E62-C62)*$B$7</f>
        <v>212.5</v>
      </c>
      <c r="H62" s="397" t="s">
        <v>757</v>
      </c>
      <c r="I62" s="410"/>
      <c r="J62" s="402">
        <f>C62*$B$65+E62*$B$66+G62*$B$67</f>
        <v>2383475</v>
      </c>
    </row>
    <row r="63" spans="1:37">
      <c r="A63" s="397" t="s">
        <v>759</v>
      </c>
      <c r="C63" s="409">
        <f>300*$B$7</f>
        <v>150</v>
      </c>
      <c r="D63" s="397" t="s">
        <v>823</v>
      </c>
      <c r="E63" s="501">
        <f>450*$B$7</f>
        <v>225</v>
      </c>
      <c r="F63" s="502" t="s">
        <v>754</v>
      </c>
      <c r="G63" s="501">
        <f>250*$B$7</f>
        <v>125</v>
      </c>
      <c r="H63" s="397" t="s">
        <v>757</v>
      </c>
      <c r="I63" s="410"/>
      <c r="J63" s="402">
        <f>C63*$B$65+E63*$B$66+G63*$B$67</f>
        <v>2239437.5</v>
      </c>
    </row>
    <row r="64" spans="1:37">
      <c r="A64" s="397" t="s">
        <v>822</v>
      </c>
      <c r="C64" s="409">
        <f>300*$B$7</f>
        <v>150</v>
      </c>
      <c r="D64" s="397" t="s">
        <v>823</v>
      </c>
      <c r="E64" s="501">
        <f>450*$B$7</f>
        <v>225</v>
      </c>
      <c r="F64" s="502" t="s">
        <v>754</v>
      </c>
      <c r="G64" s="501">
        <f>250*$B$7</f>
        <v>125</v>
      </c>
      <c r="H64" s="397" t="s">
        <v>757</v>
      </c>
      <c r="I64" s="410"/>
      <c r="J64" s="402">
        <f>C64*$B$65+E64*$B$66+G64*$B$67</f>
        <v>2239437.5</v>
      </c>
    </row>
    <row r="65" spans="1:37">
      <c r="A65" s="397" t="s">
        <v>760</v>
      </c>
      <c r="B65" s="411">
        <v>2300</v>
      </c>
      <c r="J65" s="402">
        <f>SUM(J61:J63)</f>
        <v>5252162.5</v>
      </c>
    </row>
    <row r="66" spans="1:37">
      <c r="A66" s="397" t="s">
        <v>761</v>
      </c>
      <c r="B66" s="411">
        <f>'[3]01 - Revenue Forecasts (KPIs)'!K15*0.85</f>
        <v>5142.5</v>
      </c>
      <c r="C66" s="397" t="s">
        <v>762</v>
      </c>
    </row>
    <row r="67" spans="1:37">
      <c r="A67" s="397" t="s">
        <v>814</v>
      </c>
      <c r="B67" s="411">
        <f>'[3]01 - Revenue Forecasts (KPIs)'!K24</f>
        <v>5899</v>
      </c>
    </row>
    <row r="70" spans="1:37">
      <c r="A70" s="397" t="s">
        <v>792</v>
      </c>
      <c r="C70" s="413">
        <f>'[3]Inventory Loan'!E23</f>
        <v>357396.73000000004</v>
      </c>
      <c r="D70" s="412" t="s">
        <v>920</v>
      </c>
      <c r="E70" s="412"/>
    </row>
    <row r="72" spans="1:37">
      <c r="A72" s="397" t="s">
        <v>765</v>
      </c>
      <c r="C72" s="411">
        <f>'10 Laser Balancing Int vs Ext'!B42</f>
        <v>320248.8</v>
      </c>
      <c r="D72" s="397" t="s">
        <v>919</v>
      </c>
    </row>
    <row r="74" spans="1:37">
      <c r="A74" s="397" t="s">
        <v>829</v>
      </c>
      <c r="C74" s="409" t="s">
        <v>158</v>
      </c>
      <c r="D74" s="397" t="s">
        <v>767</v>
      </c>
    </row>
    <row r="75" spans="1:37">
      <c r="A75" s="397" t="s">
        <v>768</v>
      </c>
      <c r="C75" s="413">
        <v>40000</v>
      </c>
      <c r="D75" s="397" t="s">
        <v>771</v>
      </c>
    </row>
    <row r="76" spans="1:37">
      <c r="A76" s="397" t="s">
        <v>770</v>
      </c>
      <c r="C76" s="413">
        <v>25000</v>
      </c>
      <c r="D76" s="397" t="s">
        <v>789</v>
      </c>
    </row>
    <row r="77" spans="1:37">
      <c r="A77" s="397" t="s">
        <v>772</v>
      </c>
      <c r="C77" s="413">
        <v>10000</v>
      </c>
      <c r="D77" s="397" t="s">
        <v>828</v>
      </c>
    </row>
    <row r="79" spans="1:37" s="438" customFormat="1">
      <c r="A79" s="397" t="s">
        <v>824</v>
      </c>
      <c r="B79" s="397"/>
      <c r="C79" s="397"/>
      <c r="D79" s="397"/>
      <c r="E79" s="397"/>
      <c r="F79" s="397"/>
      <c r="G79" s="397"/>
      <c r="H79" s="397"/>
      <c r="I79" s="397"/>
      <c r="J79" s="397"/>
      <c r="K79" s="397"/>
      <c r="L79" s="397"/>
      <c r="M79" s="397"/>
      <c r="N79" s="397"/>
      <c r="O79" s="397"/>
      <c r="P79" s="397"/>
      <c r="Q79" s="397"/>
      <c r="R79" s="397"/>
      <c r="S79" s="397"/>
      <c r="T79" s="397"/>
      <c r="U79" s="397"/>
      <c r="V79" s="397"/>
      <c r="W79" s="397"/>
      <c r="X79" s="397"/>
      <c r="Y79" s="397"/>
      <c r="Z79" s="397"/>
      <c r="AA79" s="397"/>
      <c r="AB79" s="397"/>
      <c r="AC79" s="397"/>
      <c r="AD79" s="397"/>
      <c r="AE79" s="397"/>
      <c r="AF79" s="397"/>
      <c r="AG79" s="397"/>
      <c r="AH79" s="397"/>
      <c r="AI79" s="397"/>
      <c r="AJ79" s="397"/>
      <c r="AK79" s="397"/>
    </row>
    <row r="80" spans="1:37" s="438" customFormat="1">
      <c r="A80" s="397" t="s">
        <v>773</v>
      </c>
      <c r="B80" s="397">
        <v>330</v>
      </c>
      <c r="C80" s="503">
        <f>+'04 MFG Batch 0001 Cost (330pc)'!C35</f>
        <v>410263.91524878464</v>
      </c>
      <c r="D80" s="397" t="s">
        <v>774</v>
      </c>
      <c r="E80" s="397"/>
      <c r="F80" s="397"/>
      <c r="G80" s="397"/>
      <c r="H80" s="397"/>
      <c r="I80" s="397"/>
      <c r="J80" s="397"/>
      <c r="K80" s="397"/>
      <c r="L80" s="397"/>
      <c r="M80" s="397"/>
      <c r="N80" s="397"/>
      <c r="O80" s="397"/>
      <c r="P80" s="397"/>
      <c r="Q80" s="397"/>
      <c r="R80" s="397"/>
      <c r="S80" s="397"/>
      <c r="T80" s="397"/>
      <c r="U80" s="397"/>
      <c r="V80" s="397"/>
      <c r="W80" s="397"/>
      <c r="X80" s="397"/>
      <c r="Y80" s="397"/>
      <c r="Z80" s="397"/>
      <c r="AA80" s="397"/>
      <c r="AB80" s="397"/>
      <c r="AC80" s="397"/>
      <c r="AD80" s="397"/>
      <c r="AE80" s="397"/>
      <c r="AF80" s="397"/>
      <c r="AG80" s="397"/>
      <c r="AH80" s="397"/>
      <c r="AI80" s="397"/>
      <c r="AJ80" s="397"/>
      <c r="AK80" s="397"/>
    </row>
    <row r="81" spans="1:37" s="438" customFormat="1">
      <c r="A81" s="397" t="s">
        <v>916</v>
      </c>
      <c r="B81" s="415">
        <f>700*$B$7</f>
        <v>350</v>
      </c>
      <c r="C81" s="413">
        <f>+'08 BOM Costs'!D5*'01b Cashflow Forecast - 3 Yrs'!B81</f>
        <v>420843.7823551984</v>
      </c>
      <c r="D81" s="397" t="s">
        <v>776</v>
      </c>
      <c r="E81" s="397"/>
      <c r="F81" s="397"/>
      <c r="G81" s="397"/>
      <c r="H81" s="397"/>
      <c r="I81" s="397"/>
      <c r="J81" s="397"/>
      <c r="K81" s="397"/>
      <c r="L81" s="397"/>
      <c r="M81" s="397"/>
      <c r="N81" s="397"/>
      <c r="O81" s="397"/>
      <c r="P81" s="397"/>
      <c r="Q81" s="397"/>
      <c r="R81" s="397"/>
      <c r="S81" s="397"/>
      <c r="T81" s="397"/>
      <c r="U81" s="397"/>
      <c r="V81" s="397"/>
      <c r="W81" s="397"/>
      <c r="X81" s="397"/>
      <c r="Y81" s="397"/>
      <c r="Z81" s="397"/>
      <c r="AA81" s="397"/>
      <c r="AB81" s="397"/>
      <c r="AC81" s="397"/>
      <c r="AD81" s="397"/>
      <c r="AE81" s="397"/>
      <c r="AF81" s="397"/>
      <c r="AG81" s="397"/>
      <c r="AH81" s="397"/>
      <c r="AI81" s="397"/>
      <c r="AJ81" s="397"/>
      <c r="AK81" s="397"/>
    </row>
    <row r="82" spans="1:37" s="438" customFormat="1">
      <c r="A82" s="397" t="s">
        <v>917</v>
      </c>
      <c r="B82" s="415">
        <f>1000*B7</f>
        <v>500</v>
      </c>
      <c r="C82" s="413">
        <f>'08 BOM Costs'!D6*B82</f>
        <v>525476.31245547824</v>
      </c>
      <c r="D82" s="397" t="s">
        <v>778</v>
      </c>
      <c r="E82" s="397"/>
      <c r="F82" s="397"/>
      <c r="G82" s="397"/>
      <c r="H82" s="397"/>
      <c r="I82" s="397"/>
      <c r="J82" s="397"/>
      <c r="K82" s="397"/>
      <c r="L82" s="397"/>
      <c r="M82" s="397"/>
      <c r="N82" s="397"/>
      <c r="O82" s="397"/>
      <c r="P82" s="397"/>
      <c r="Q82" s="397"/>
      <c r="R82" s="397"/>
      <c r="S82" s="397"/>
      <c r="T82" s="397"/>
      <c r="U82" s="397"/>
      <c r="V82" s="397"/>
      <c r="W82" s="397"/>
      <c r="X82" s="397"/>
      <c r="Y82" s="397"/>
      <c r="Z82" s="397"/>
      <c r="AA82" s="397"/>
      <c r="AB82" s="397"/>
      <c r="AC82" s="397"/>
      <c r="AD82" s="397"/>
      <c r="AE82" s="397"/>
      <c r="AF82" s="397"/>
      <c r="AG82" s="397"/>
      <c r="AH82" s="397"/>
      <c r="AI82" s="397"/>
      <c r="AJ82" s="397"/>
      <c r="AK82" s="397"/>
    </row>
    <row r="83" spans="1:37" s="438" customFormat="1">
      <c r="A83" s="397" t="s">
        <v>918</v>
      </c>
      <c r="B83" s="415">
        <f>1000*B7</f>
        <v>500</v>
      </c>
      <c r="C83" s="504">
        <f>B83*'08 BOM Costs'!D7</f>
        <v>472500</v>
      </c>
      <c r="D83" s="397" t="s">
        <v>826</v>
      </c>
      <c r="E83" s="397"/>
      <c r="F83" s="397"/>
      <c r="G83" s="397"/>
      <c r="H83" s="397"/>
      <c r="I83" s="397"/>
      <c r="J83" s="397"/>
      <c r="K83" s="397"/>
      <c r="L83" s="397"/>
      <c r="M83" s="397"/>
      <c r="N83" s="397"/>
      <c r="O83" s="397"/>
      <c r="P83" s="397"/>
      <c r="Q83" s="397"/>
      <c r="R83" s="397"/>
      <c r="S83" s="397"/>
      <c r="T83" s="397"/>
      <c r="U83" s="397"/>
      <c r="V83" s="397"/>
      <c r="W83" s="397"/>
      <c r="X83" s="397"/>
      <c r="Y83" s="397"/>
      <c r="Z83" s="397"/>
      <c r="AA83" s="397"/>
      <c r="AB83" s="397"/>
      <c r="AC83" s="397"/>
      <c r="AD83" s="397"/>
      <c r="AE83" s="397"/>
      <c r="AF83" s="397"/>
      <c r="AG83" s="397"/>
      <c r="AH83" s="397"/>
      <c r="AI83" s="397"/>
      <c r="AJ83" s="397"/>
      <c r="AK83" s="397"/>
    </row>
    <row r="84" spans="1:37" s="438" customFormat="1">
      <c r="A84" s="397"/>
      <c r="B84" s="397"/>
      <c r="C84" s="397"/>
      <c r="D84" s="397"/>
      <c r="E84" s="397"/>
      <c r="F84" s="397"/>
      <c r="G84" s="397"/>
      <c r="H84" s="397"/>
      <c r="I84" s="397"/>
      <c r="J84" s="397"/>
      <c r="K84" s="397"/>
      <c r="L84" s="397"/>
      <c r="M84" s="397"/>
      <c r="N84" s="397"/>
      <c r="O84" s="397"/>
      <c r="P84" s="397"/>
      <c r="Q84" s="397"/>
      <c r="R84" s="397"/>
      <c r="S84" s="397"/>
      <c r="T84" s="397"/>
      <c r="U84" s="397"/>
      <c r="V84" s="397"/>
      <c r="W84" s="397"/>
      <c r="X84" s="397"/>
      <c r="Y84" s="397"/>
      <c r="Z84" s="397"/>
      <c r="AA84" s="397"/>
      <c r="AB84" s="397"/>
      <c r="AC84" s="397"/>
      <c r="AD84" s="397"/>
      <c r="AE84" s="397"/>
      <c r="AF84" s="397"/>
      <c r="AG84" s="397"/>
      <c r="AH84" s="397"/>
      <c r="AI84" s="397"/>
      <c r="AJ84" s="397"/>
      <c r="AK84" s="397"/>
    </row>
    <row r="86" spans="1:37">
      <c r="A86" s="438" t="s">
        <v>922</v>
      </c>
      <c r="B86" s="441">
        <v>0.3</v>
      </c>
      <c r="C86" s="438" t="s">
        <v>807</v>
      </c>
      <c r="D86" s="438"/>
      <c r="E86" s="438"/>
      <c r="F86" s="438"/>
      <c r="G86" s="438"/>
      <c r="H86" s="438"/>
      <c r="I86" s="439">
        <v>2300</v>
      </c>
      <c r="J86" s="438" t="s">
        <v>808</v>
      </c>
      <c r="K86" s="438"/>
      <c r="L86" s="438"/>
      <c r="M86" s="438"/>
      <c r="N86" s="438"/>
      <c r="O86" s="438"/>
      <c r="P86" s="438"/>
      <c r="Q86" s="438"/>
      <c r="R86" s="438"/>
      <c r="S86" s="438"/>
      <c r="T86" s="438"/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  <c r="AE86" s="438"/>
      <c r="AF86" s="438"/>
      <c r="AG86" s="438"/>
      <c r="AH86" s="438"/>
      <c r="AI86" s="438"/>
      <c r="AJ86" s="438"/>
      <c r="AK86" s="438"/>
    </row>
    <row r="87" spans="1:37">
      <c r="A87" s="438"/>
      <c r="B87" s="438"/>
      <c r="C87" s="438" t="s">
        <v>809</v>
      </c>
      <c r="D87" s="438"/>
      <c r="E87" s="440">
        <f>B66</f>
        <v>5142.5</v>
      </c>
      <c r="F87" s="438" t="str">
        <f>C66</f>
        <v>less 15% commission to 1099 agents</v>
      </c>
      <c r="G87" s="438"/>
      <c r="H87" s="438"/>
      <c r="I87" s="438"/>
      <c r="J87" s="438"/>
      <c r="K87" s="438"/>
      <c r="L87" s="438"/>
      <c r="M87" s="438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  <c r="AE87" s="438"/>
      <c r="AF87" s="438"/>
      <c r="AG87" s="438"/>
      <c r="AH87" s="438"/>
      <c r="AI87" s="438"/>
      <c r="AJ87" s="438"/>
      <c r="AK87" s="438"/>
    </row>
    <row r="88" spans="1:37">
      <c r="A88" s="438"/>
      <c r="B88" s="438"/>
      <c r="C88" s="438"/>
      <c r="D88" s="438"/>
      <c r="E88" s="440"/>
      <c r="F88" s="438"/>
      <c r="G88" s="438"/>
      <c r="H88" s="438"/>
      <c r="I88" s="438"/>
      <c r="J88" s="438"/>
      <c r="K88" s="438"/>
      <c r="L88" s="438"/>
      <c r="M88" s="438"/>
      <c r="N88" s="438"/>
      <c r="O88" s="438"/>
      <c r="P88" s="438"/>
      <c r="Q88" s="438"/>
      <c r="R88" s="438"/>
      <c r="S88" s="438"/>
      <c r="T88" s="438"/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  <c r="AE88" s="438"/>
      <c r="AF88" s="438"/>
      <c r="AG88" s="438"/>
      <c r="AH88" s="438"/>
      <c r="AI88" s="438"/>
      <c r="AJ88" s="438"/>
      <c r="AK88" s="438"/>
    </row>
    <row r="89" spans="1:37" ht="11.25" customHeight="1">
      <c r="A89" s="491" t="s">
        <v>923</v>
      </c>
      <c r="B89" s="438"/>
      <c r="C89" s="438"/>
      <c r="D89" s="438"/>
      <c r="E89" s="438"/>
      <c r="F89" s="438"/>
      <c r="G89" s="438"/>
      <c r="H89" s="438"/>
      <c r="I89" s="438"/>
      <c r="J89" s="438"/>
      <c r="K89" s="438"/>
      <c r="L89" s="438"/>
      <c r="M89" s="438"/>
      <c r="N89" s="438"/>
      <c r="O89" s="438"/>
      <c r="P89" s="438"/>
      <c r="Q89" s="438"/>
      <c r="R89" s="438"/>
      <c r="S89" s="438"/>
      <c r="T89" s="438"/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  <c r="AE89" s="438"/>
      <c r="AF89" s="438"/>
      <c r="AG89" s="438"/>
      <c r="AH89" s="438"/>
      <c r="AI89" s="438"/>
      <c r="AJ89" s="438"/>
      <c r="AK89" s="438"/>
    </row>
    <row r="90" spans="1:37">
      <c r="A90" s="491" t="s">
        <v>897</v>
      </c>
      <c r="B90" s="499">
        <f>IF(B7&gt;=75%,140710.08,0)</f>
        <v>0</v>
      </c>
      <c r="C90" s="438"/>
      <c r="D90" s="438"/>
      <c r="E90" s="438"/>
      <c r="F90" s="438"/>
      <c r="G90" s="438"/>
      <c r="H90" s="438"/>
      <c r="I90" s="438"/>
      <c r="J90" s="438"/>
      <c r="K90" s="438"/>
      <c r="L90" s="438"/>
      <c r="M90" s="438"/>
      <c r="N90" s="438"/>
      <c r="O90" s="438"/>
      <c r="P90" s="438"/>
      <c r="Q90" s="438"/>
      <c r="R90" s="438"/>
      <c r="S90" s="438"/>
      <c r="T90" s="438"/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  <c r="AE90" s="438"/>
      <c r="AF90" s="438"/>
      <c r="AG90" s="438"/>
      <c r="AH90" s="438"/>
      <c r="AI90" s="438"/>
      <c r="AJ90" s="438"/>
      <c r="AK90" s="438"/>
    </row>
    <row r="91" spans="1:37">
      <c r="A91" s="491" t="s">
        <v>898</v>
      </c>
      <c r="B91" s="499">
        <f>IF(B7&gt;=75%,138197.4,0)</f>
        <v>0</v>
      </c>
      <c r="C91" s="438"/>
      <c r="D91" s="438"/>
      <c r="E91" s="438"/>
      <c r="F91" s="438"/>
      <c r="G91" s="438"/>
      <c r="H91" s="438"/>
      <c r="I91" s="438"/>
      <c r="J91" s="438"/>
      <c r="K91" s="438"/>
      <c r="L91" s="438"/>
      <c r="M91" s="438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  <c r="AE91" s="438"/>
      <c r="AF91" s="438"/>
      <c r="AG91" s="438"/>
      <c r="AH91" s="438"/>
      <c r="AI91" s="438"/>
      <c r="AJ91" s="438"/>
      <c r="AK91" s="438"/>
    </row>
    <row r="92" spans="1:37">
      <c r="A92" s="491" t="s">
        <v>899</v>
      </c>
      <c r="B92" s="499">
        <f>IF(B7&gt;=100%,443488.02,0)/3</f>
        <v>0</v>
      </c>
      <c r="C92" s="438"/>
      <c r="D92" s="438"/>
      <c r="E92" s="438"/>
      <c r="F92" s="438"/>
      <c r="G92" s="438"/>
      <c r="H92" s="438"/>
      <c r="I92" s="438"/>
      <c r="J92" s="438"/>
      <c r="K92" s="438"/>
      <c r="L92" s="438"/>
      <c r="M92" s="438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  <c r="AE92" s="438"/>
      <c r="AF92" s="438"/>
      <c r="AG92" s="438"/>
      <c r="AH92" s="438"/>
      <c r="AI92" s="438"/>
      <c r="AJ92" s="438"/>
      <c r="AK92" s="438"/>
    </row>
    <row r="93" spans="1:37">
      <c r="A93" s="491" t="s">
        <v>900</v>
      </c>
      <c r="B93" s="500">
        <f>IF(B7&gt;=100%,314085,0)/3</f>
        <v>0</v>
      </c>
      <c r="C93" s="438"/>
      <c r="D93" s="438"/>
      <c r="E93" s="438"/>
      <c r="F93" s="438"/>
      <c r="G93" s="438"/>
      <c r="H93" s="438"/>
      <c r="I93" s="438"/>
      <c r="J93" s="438"/>
      <c r="K93" s="438"/>
      <c r="L93" s="438"/>
      <c r="M93" s="438"/>
      <c r="N93" s="438"/>
      <c r="O93" s="438"/>
      <c r="P93" s="438"/>
      <c r="Q93" s="438"/>
      <c r="R93" s="438"/>
      <c r="S93" s="438"/>
      <c r="T93" s="438"/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438"/>
    </row>
    <row r="94" spans="1:37" hidden="1">
      <c r="A94" s="491" t="s">
        <v>901</v>
      </c>
      <c r="B94" s="421">
        <v>314085</v>
      </c>
    </row>
    <row r="95" spans="1:37" hidden="1">
      <c r="A95" s="491" t="s">
        <v>902</v>
      </c>
      <c r="B95" s="421">
        <v>628170</v>
      </c>
    </row>
    <row r="96" spans="1:37" hidden="1">
      <c r="A96" s="491" t="s">
        <v>903</v>
      </c>
      <c r="B96" s="421">
        <v>667191</v>
      </c>
    </row>
    <row r="97" spans="1:3">
      <c r="A97" s="491" t="s">
        <v>599</v>
      </c>
      <c r="B97" s="421">
        <f>IF(B7&gt;=100%,100000,0)</f>
        <v>0</v>
      </c>
    </row>
    <row r="98" spans="1:3" hidden="1">
      <c r="A98" s="491" t="s">
        <v>915</v>
      </c>
      <c r="B98" s="421">
        <f>493489/12</f>
        <v>41124.083333333336</v>
      </c>
    </row>
    <row r="99" spans="1:3">
      <c r="A99" s="491" t="s">
        <v>601</v>
      </c>
      <c r="B99" s="492">
        <f>IF(B7&gt;=100%,300000,0)/2</f>
        <v>0</v>
      </c>
    </row>
    <row r="100" spans="1:3" hidden="1">
      <c r="A100" s="491" t="s">
        <v>914</v>
      </c>
      <c r="B100" s="492">
        <f>256924.017383829/12</f>
        <v>21410.334781985748</v>
      </c>
    </row>
    <row r="101" spans="1:3">
      <c r="A101" s="491"/>
      <c r="B101" s="421">
        <f>+B90+B91+B92+B93+B97+B99</f>
        <v>0</v>
      </c>
    </row>
    <row r="102" spans="1:3">
      <c r="A102" s="491" t="s">
        <v>924</v>
      </c>
      <c r="B102" s="421"/>
    </row>
    <row r="103" spans="1:3">
      <c r="A103" s="491" t="s">
        <v>605</v>
      </c>
      <c r="B103" s="421">
        <f>IF(B7&gt;=75%,437109.38379738/36,0)</f>
        <v>0</v>
      </c>
    </row>
    <row r="104" spans="1:3">
      <c r="A104" s="491" t="s">
        <v>606</v>
      </c>
      <c r="B104" s="421">
        <f>IF(B7&gt;=75%,1033043.60124931/96,0)</f>
        <v>0</v>
      </c>
    </row>
    <row r="105" spans="1:3">
      <c r="A105" s="491" t="s">
        <v>607</v>
      </c>
      <c r="B105" s="492">
        <f>IF(B7&gt;=75%,721252.443235271/72,0)</f>
        <v>0</v>
      </c>
    </row>
    <row r="106" spans="1:3">
      <c r="A106" s="491"/>
      <c r="B106" s="421">
        <f>SUM(B103:B105)</f>
        <v>0</v>
      </c>
    </row>
    <row r="108" spans="1:3">
      <c r="A108" s="397" t="s">
        <v>925</v>
      </c>
      <c r="B108" s="412">
        <v>0.1</v>
      </c>
      <c r="C108" s="397" t="s">
        <v>911</v>
      </c>
    </row>
    <row r="109" spans="1:3">
      <c r="A109" s="397" t="s">
        <v>871</v>
      </c>
      <c r="B109" s="421">
        <f>'01c Actual Cashflow Stt'!AY9</f>
        <v>52793.179798578203</v>
      </c>
    </row>
    <row r="110" spans="1:3">
      <c r="A110" s="397" t="s">
        <v>872</v>
      </c>
      <c r="B110" s="421">
        <f>'01c Actual Cashflow Stt'!AY10</f>
        <v>6452.8909730583664</v>
      </c>
    </row>
    <row r="111" spans="1:3">
      <c r="A111" s="397" t="s">
        <v>904</v>
      </c>
      <c r="B111" s="421">
        <f>'01c Actual Cashflow Stt'!AY11</f>
        <v>7189.84375</v>
      </c>
    </row>
    <row r="112" spans="1:3">
      <c r="A112" s="397" t="s">
        <v>905</v>
      </c>
      <c r="B112" s="421">
        <v>2000</v>
      </c>
      <c r="C112" s="397" t="s">
        <v>908</v>
      </c>
    </row>
    <row r="113" spans="1:3">
      <c r="A113" s="397" t="s">
        <v>906</v>
      </c>
      <c r="B113" s="421">
        <v>1000</v>
      </c>
      <c r="C113" s="397" t="s">
        <v>907</v>
      </c>
    </row>
    <row r="115" spans="1:3">
      <c r="A115" s="397" t="s">
        <v>979</v>
      </c>
      <c r="B115" s="412">
        <v>0.1</v>
      </c>
      <c r="C115" s="397" t="s">
        <v>911</v>
      </c>
    </row>
    <row r="116" spans="1:3">
      <c r="A116" s="397" t="s">
        <v>549</v>
      </c>
      <c r="B116" s="505">
        <f>IF(B7&gt;=75%,'01c Actual Cashflow Stt'!AY18,'01c Actual Cashflow Stt'!AY18)</f>
        <v>7260.9647599999998</v>
      </c>
    </row>
    <row r="117" spans="1:3">
      <c r="A117" s="397" t="s">
        <v>537</v>
      </c>
      <c r="B117" s="412">
        <v>0.02</v>
      </c>
      <c r="C117" s="397" t="s">
        <v>909</v>
      </c>
    </row>
    <row r="118" spans="1:3">
      <c r="A118" s="397" t="s">
        <v>876</v>
      </c>
      <c r="B118" s="412">
        <v>0.03</v>
      </c>
      <c r="C118" s="397" t="s">
        <v>909</v>
      </c>
    </row>
    <row r="119" spans="1:3">
      <c r="A119" s="397" t="s">
        <v>910</v>
      </c>
      <c r="B119" s="412">
        <v>0.01</v>
      </c>
      <c r="C119" s="397" t="s">
        <v>909</v>
      </c>
    </row>
    <row r="120" spans="1:3">
      <c r="A120" s="397" t="s">
        <v>546</v>
      </c>
      <c r="B120" s="412">
        <v>0.01</v>
      </c>
      <c r="C120" s="397" t="s">
        <v>909</v>
      </c>
    </row>
    <row r="121" spans="1:3">
      <c r="A121" s="397" t="s">
        <v>550</v>
      </c>
      <c r="B121" s="412">
        <v>0.01</v>
      </c>
      <c r="C121" s="397" t="s">
        <v>909</v>
      </c>
    </row>
    <row r="123" spans="1:3">
      <c r="A123" s="397" t="s">
        <v>980</v>
      </c>
    </row>
  </sheetData>
  <dataValidations count="2">
    <dataValidation type="list" allowBlank="1" showInputMessage="1" showErrorMessage="1" sqref="B86" xr:uid="{C1E679B3-D790-3D41-9ECC-B1537581A939}">
      <formula1>"30%,50%"</formula1>
    </dataValidation>
    <dataValidation type="list" allowBlank="1" showInputMessage="1" showErrorMessage="1" sqref="B7" xr:uid="{3FA9E97F-2D2D-B44D-BE71-8E35A3BF7932}">
      <formula1>"0%,50%,75%,100%"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69F92-B614-464F-A3A3-6165BEC1F4D6}">
  <dimension ref="A1:O60"/>
  <sheetViews>
    <sheetView zoomScale="110" zoomScaleNormal="110" workbookViewId="0">
      <selection activeCell="A5" sqref="A5"/>
    </sheetView>
  </sheetViews>
  <sheetFormatPr baseColWidth="10" defaultRowHeight="13"/>
  <cols>
    <col min="1" max="1" width="26.5" style="397" customWidth="1"/>
    <col min="2" max="2" width="13.6640625" style="397" bestFit="1" customWidth="1"/>
    <col min="3" max="3" width="13.5" style="397" customWidth="1"/>
    <col min="4" max="4" width="13" style="397" customWidth="1"/>
    <col min="5" max="5" width="14.6640625" style="397" customWidth="1"/>
    <col min="6" max="6" width="14.33203125" style="397" customWidth="1"/>
    <col min="7" max="11" width="15.5" style="397" customWidth="1"/>
    <col min="12" max="13" width="13.1640625" style="397" customWidth="1"/>
    <col min="14" max="14" width="13.6640625" style="397" bestFit="1" customWidth="1"/>
    <col min="15" max="16384" width="10.83203125" style="397"/>
  </cols>
  <sheetData>
    <row r="1" spans="1:15" s="429" customFormat="1">
      <c r="D1" s="430">
        <v>0.2</v>
      </c>
      <c r="E1" s="430">
        <v>0.2</v>
      </c>
      <c r="F1" s="430">
        <v>0.05</v>
      </c>
      <c r="G1" s="430">
        <v>0.1</v>
      </c>
      <c r="H1" s="430">
        <v>0.05</v>
      </c>
      <c r="I1" s="430">
        <v>0.1</v>
      </c>
      <c r="J1" s="430">
        <v>0.05</v>
      </c>
      <c r="K1" s="430">
        <v>0.05</v>
      </c>
      <c r="L1" s="430">
        <v>0.2</v>
      </c>
      <c r="M1" s="429">
        <f>1-SUM(D1:L1)</f>
        <v>0</v>
      </c>
    </row>
    <row r="2" spans="1:15" s="429" customFormat="1">
      <c r="M2" s="430">
        <v>0.03</v>
      </c>
    </row>
    <row r="3" spans="1:15" s="429" customFormat="1">
      <c r="M3" s="430"/>
    </row>
    <row r="4" spans="1:15" ht="28">
      <c r="A4" s="422" t="s">
        <v>208</v>
      </c>
      <c r="B4" s="419"/>
      <c r="C4" s="426"/>
      <c r="D4" s="425" t="s">
        <v>795</v>
      </c>
      <c r="E4" s="427" t="s">
        <v>798</v>
      </c>
      <c r="F4" s="409"/>
      <c r="G4" s="409" t="s">
        <v>796</v>
      </c>
      <c r="H4" s="409"/>
      <c r="I4" s="409" t="s">
        <v>797</v>
      </c>
      <c r="J4" s="420"/>
      <c r="K4" s="420"/>
      <c r="L4" s="420"/>
      <c r="N4" s="398"/>
      <c r="O4" s="398"/>
    </row>
    <row r="5" spans="1:15">
      <c r="A5" s="422" t="s">
        <v>803</v>
      </c>
      <c r="B5" s="419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</row>
    <row r="6" spans="1:15">
      <c r="A6" s="419"/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</row>
    <row r="7" spans="1:15">
      <c r="B7" s="399">
        <v>45870</v>
      </c>
      <c r="C7" s="399">
        <f>B7+31</f>
        <v>45901</v>
      </c>
      <c r="D7" s="399">
        <f>C7+31</f>
        <v>45932</v>
      </c>
      <c r="E7" s="399">
        <f t="shared" ref="E7:M7" si="0">D7+31</f>
        <v>45963</v>
      </c>
      <c r="F7" s="399">
        <f t="shared" si="0"/>
        <v>45994</v>
      </c>
      <c r="G7" s="399">
        <f t="shared" si="0"/>
        <v>46025</v>
      </c>
      <c r="H7" s="399">
        <f t="shared" si="0"/>
        <v>46056</v>
      </c>
      <c r="I7" s="399">
        <f t="shared" si="0"/>
        <v>46087</v>
      </c>
      <c r="J7" s="399">
        <f t="shared" si="0"/>
        <v>46118</v>
      </c>
      <c r="K7" s="399">
        <f t="shared" si="0"/>
        <v>46149</v>
      </c>
      <c r="L7" s="399">
        <f t="shared" si="0"/>
        <v>46180</v>
      </c>
      <c r="M7" s="399">
        <f t="shared" si="0"/>
        <v>46211</v>
      </c>
      <c r="N7" s="400"/>
    </row>
    <row r="8" spans="1:15">
      <c r="A8" s="396" t="s">
        <v>739</v>
      </c>
    </row>
    <row r="9" spans="1:15">
      <c r="A9" s="397" t="s">
        <v>740</v>
      </c>
      <c r="B9" s="401"/>
      <c r="D9" s="401">
        <f>(($C$34*$B$37)+($E$34*$B$38))*D$1</f>
        <v>251700</v>
      </c>
      <c r="E9" s="401">
        <f>(($C$34*$B$37)+($E$34*$B$38))*E$1</f>
        <v>251700</v>
      </c>
      <c r="F9" s="401">
        <f>(($C$34*$B$37)+($E$34*$B$38))*F$1</f>
        <v>62925</v>
      </c>
      <c r="G9" s="401">
        <f>(($C$34*$B$37)+($E$34*$B$38))*G$1</f>
        <v>125850</v>
      </c>
      <c r="H9" s="401">
        <f>(($C$34*$B$37)+($E$34*$B$38))*H$1</f>
        <v>62925</v>
      </c>
      <c r="I9" s="401">
        <f t="shared" ref="I9:M9" si="1">(($C$34*$B$37)+($E$34*$B$38))*I$1</f>
        <v>125850</v>
      </c>
      <c r="J9" s="401">
        <f t="shared" si="1"/>
        <v>62925</v>
      </c>
      <c r="K9" s="401">
        <f t="shared" si="1"/>
        <v>62925</v>
      </c>
      <c r="L9" s="401">
        <f t="shared" si="1"/>
        <v>251700</v>
      </c>
      <c r="M9" s="401">
        <f t="shared" si="1"/>
        <v>0</v>
      </c>
    </row>
    <row r="10" spans="1:15">
      <c r="A10" s="397" t="s">
        <v>741</v>
      </c>
      <c r="B10" s="401"/>
      <c r="D10" s="401"/>
      <c r="E10" s="401"/>
      <c r="F10" s="401"/>
      <c r="G10" s="401"/>
      <c r="H10" s="401"/>
      <c r="I10" s="401"/>
      <c r="J10" s="401"/>
      <c r="K10" s="401">
        <f>+(($C$35*$B$37)+($E$35*$B$38)+($G$35*$B$39))*K$4</f>
        <v>0</v>
      </c>
      <c r="L10" s="401">
        <f t="shared" ref="L10" si="2">+(($C$35*$B$37)+($E$35*$B$38)+($G$35*$B$39))*L$4</f>
        <v>0</v>
      </c>
      <c r="M10" s="401">
        <f>+(($C$35*$B$37)+($E$35*$B$38)+($G$35*$B$39))*M$2</f>
        <v>94341.75</v>
      </c>
    </row>
    <row r="11" spans="1:15">
      <c r="A11" s="397" t="s">
        <v>742</v>
      </c>
      <c r="B11" s="401"/>
      <c r="C11" s="401"/>
      <c r="D11" s="401"/>
      <c r="E11" s="401"/>
      <c r="F11" s="401"/>
      <c r="G11" s="401"/>
      <c r="H11" s="401"/>
      <c r="I11" s="401">
        <f>+'07 SG MRA Grant'!F9</f>
        <v>119885.375</v>
      </c>
      <c r="J11" s="401"/>
      <c r="K11" s="401"/>
      <c r="L11" s="401"/>
      <c r="M11" s="401"/>
    </row>
    <row r="12" spans="1:15">
      <c r="A12" s="397" t="s">
        <v>136</v>
      </c>
      <c r="B12" s="403">
        <f>+C42</f>
        <v>357396.73000000004</v>
      </c>
      <c r="C12" s="428"/>
      <c r="D12" s="403"/>
      <c r="E12" s="403"/>
      <c r="F12" s="403"/>
      <c r="G12" s="403"/>
      <c r="H12" s="403"/>
      <c r="I12" s="403"/>
      <c r="J12" s="403"/>
      <c r="K12" s="403"/>
      <c r="L12" s="403"/>
      <c r="M12" s="403"/>
    </row>
    <row r="13" spans="1:15" s="396" customFormat="1">
      <c r="B13" s="404">
        <f t="shared" ref="B13:M13" si="3">SUM(B8:B12)</f>
        <v>357396.73000000004</v>
      </c>
      <c r="C13" s="404">
        <f t="shared" si="3"/>
        <v>0</v>
      </c>
      <c r="D13" s="404">
        <f t="shared" si="3"/>
        <v>251700</v>
      </c>
      <c r="E13" s="404">
        <f t="shared" si="3"/>
        <v>251700</v>
      </c>
      <c r="F13" s="404">
        <f t="shared" si="3"/>
        <v>62925</v>
      </c>
      <c r="G13" s="404">
        <f t="shared" si="3"/>
        <v>125850</v>
      </c>
      <c r="H13" s="404">
        <f t="shared" si="3"/>
        <v>62925</v>
      </c>
      <c r="I13" s="404">
        <f t="shared" si="3"/>
        <v>245735.375</v>
      </c>
      <c r="J13" s="404">
        <f t="shared" si="3"/>
        <v>62925</v>
      </c>
      <c r="K13" s="404">
        <f t="shared" si="3"/>
        <v>62925</v>
      </c>
      <c r="L13" s="404">
        <f t="shared" si="3"/>
        <v>251700</v>
      </c>
      <c r="M13" s="404">
        <f t="shared" si="3"/>
        <v>94341.75</v>
      </c>
    </row>
    <row r="15" spans="1:15">
      <c r="A15" s="396" t="s">
        <v>743</v>
      </c>
    </row>
    <row r="16" spans="1:15">
      <c r="A16" s="397" t="s">
        <v>799</v>
      </c>
      <c r="B16" s="401">
        <f>-C52-C16</f>
        <v>-266727.84524878464</v>
      </c>
      <c r="C16" s="401">
        <f>-'09 Inventory Loan'!H23</f>
        <v>-143536.07</v>
      </c>
      <c r="J16" s="401">
        <f>-C53*0.4</f>
        <v>-336675.02588415873</v>
      </c>
      <c r="K16" s="401">
        <f>-C53*0.2</f>
        <v>-168337.51294207937</v>
      </c>
      <c r="L16" s="421">
        <f>-C53*0.4</f>
        <v>-336675.02588415873</v>
      </c>
      <c r="M16" s="401"/>
    </row>
    <row r="17" spans="1:13">
      <c r="A17" s="397" t="s">
        <v>745</v>
      </c>
      <c r="B17" s="403">
        <f>-'11 Forward OPEX 250728'!G84</f>
        <v>-84340.335233817939</v>
      </c>
      <c r="C17" s="403">
        <f>B17</f>
        <v>-84340.335233817939</v>
      </c>
      <c r="D17" s="403">
        <f t="shared" ref="D17:E17" si="4">C17</f>
        <v>-84340.335233817939</v>
      </c>
      <c r="E17" s="403">
        <f t="shared" si="4"/>
        <v>-84340.335233817939</v>
      </c>
      <c r="F17" s="403">
        <f>E17</f>
        <v>-84340.335233817939</v>
      </c>
      <c r="G17" s="403">
        <f>+F17</f>
        <v>-84340.335233817939</v>
      </c>
      <c r="H17" s="403">
        <f t="shared" ref="H17:M17" si="5">+G17</f>
        <v>-84340.335233817939</v>
      </c>
      <c r="I17" s="403">
        <f t="shared" si="5"/>
        <v>-84340.335233817939</v>
      </c>
      <c r="J17" s="403">
        <f t="shared" si="5"/>
        <v>-84340.335233817939</v>
      </c>
      <c r="K17" s="403">
        <f t="shared" si="5"/>
        <v>-84340.335233817939</v>
      </c>
      <c r="L17" s="403">
        <f t="shared" si="5"/>
        <v>-84340.335233817939</v>
      </c>
      <c r="M17" s="403">
        <f t="shared" si="5"/>
        <v>-84340.335233817939</v>
      </c>
    </row>
    <row r="18" spans="1:13">
      <c r="A18" s="397" t="s">
        <v>484</v>
      </c>
      <c r="B18" s="401"/>
      <c r="C18" s="401"/>
      <c r="E18" s="401"/>
      <c r="F18" s="401"/>
      <c r="G18" s="401"/>
      <c r="H18" s="401"/>
      <c r="I18" s="401"/>
      <c r="J18" s="401"/>
      <c r="K18" s="401"/>
      <c r="L18" s="401"/>
      <c r="M18" s="401"/>
    </row>
    <row r="19" spans="1:13">
      <c r="A19" s="397" t="s">
        <v>783</v>
      </c>
      <c r="B19" s="401"/>
      <c r="C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</row>
    <row r="20" spans="1:13">
      <c r="A20" s="397" t="s">
        <v>746</v>
      </c>
      <c r="B20" s="401"/>
      <c r="C20" s="401"/>
      <c r="D20" s="401"/>
      <c r="E20" s="405">
        <f>IFERROR(-B56/E56,0)</f>
        <v>0</v>
      </c>
      <c r="F20" s="401">
        <f>E20</f>
        <v>0</v>
      </c>
      <c r="G20" s="401">
        <f>F20</f>
        <v>0</v>
      </c>
      <c r="H20" s="401"/>
      <c r="I20" s="401"/>
      <c r="J20" s="401"/>
      <c r="K20" s="401"/>
      <c r="L20" s="401"/>
      <c r="M20" s="401"/>
    </row>
    <row r="21" spans="1:13">
      <c r="A21" s="397" t="s">
        <v>533</v>
      </c>
      <c r="B21" s="403"/>
      <c r="C21" s="406"/>
      <c r="D21" s="406"/>
      <c r="E21" s="403">
        <f>IFERROR(-D58/F58,0)</f>
        <v>0</v>
      </c>
      <c r="F21" s="403">
        <f>E21</f>
        <v>0</v>
      </c>
      <c r="G21" s="403"/>
      <c r="H21" s="403"/>
      <c r="I21" s="403"/>
      <c r="J21" s="403"/>
      <c r="K21" s="403"/>
      <c r="L21" s="403"/>
      <c r="M21" s="403"/>
    </row>
    <row r="22" spans="1:13" s="396" customFormat="1">
      <c r="B22" s="404">
        <f t="shared" ref="B22:D22" si="6">SUM(B16:B21)</f>
        <v>-351068.18048260256</v>
      </c>
      <c r="C22" s="404">
        <f t="shared" si="6"/>
        <v>-227876.40523381793</v>
      </c>
      <c r="D22" s="404">
        <f t="shared" si="6"/>
        <v>-84340.335233817939</v>
      </c>
      <c r="E22" s="404">
        <f t="shared" ref="E22:M22" si="7">SUM(E16:E21)</f>
        <v>-84340.335233817939</v>
      </c>
      <c r="F22" s="404">
        <f t="shared" si="7"/>
        <v>-84340.335233817939</v>
      </c>
      <c r="G22" s="404">
        <f t="shared" si="7"/>
        <v>-84340.335233817939</v>
      </c>
      <c r="H22" s="404">
        <f t="shared" si="7"/>
        <v>-84340.335233817939</v>
      </c>
      <c r="I22" s="404">
        <f t="shared" si="7"/>
        <v>-84340.335233817939</v>
      </c>
      <c r="J22" s="404">
        <f t="shared" si="7"/>
        <v>-421015.36111797666</v>
      </c>
      <c r="K22" s="404">
        <f t="shared" si="7"/>
        <v>-252677.84817589732</v>
      </c>
      <c r="L22" s="404">
        <f t="shared" si="7"/>
        <v>-421015.36111797666</v>
      </c>
      <c r="M22" s="404">
        <f t="shared" si="7"/>
        <v>-84340.335233817939</v>
      </c>
    </row>
    <row r="23" spans="1:13">
      <c r="B23" s="401"/>
      <c r="C23" s="401"/>
      <c r="D23" s="401"/>
      <c r="E23" s="401"/>
      <c r="F23" s="401"/>
      <c r="G23" s="401"/>
      <c r="H23" s="401"/>
      <c r="I23" s="401"/>
      <c r="J23" s="401"/>
      <c r="K23" s="401"/>
      <c r="L23" s="401"/>
      <c r="M23" s="401"/>
    </row>
    <row r="24" spans="1:13">
      <c r="A24" s="397" t="s">
        <v>747</v>
      </c>
      <c r="B24" s="401">
        <v>32988</v>
      </c>
      <c r="C24" s="401">
        <f>B26</f>
        <v>39316.549517397478</v>
      </c>
      <c r="D24" s="401">
        <f t="shared" ref="D24:M24" si="8">C26</f>
        <v>-188559.85571642045</v>
      </c>
      <c r="E24" s="401">
        <f t="shared" si="8"/>
        <v>-21200.190950238379</v>
      </c>
      <c r="F24" s="401">
        <f t="shared" si="8"/>
        <v>146159.4738159437</v>
      </c>
      <c r="G24" s="401">
        <f t="shared" si="8"/>
        <v>124744.13858212576</v>
      </c>
      <c r="H24" s="401">
        <f t="shared" si="8"/>
        <v>166253.80334830782</v>
      </c>
      <c r="I24" s="401">
        <f t="shared" si="8"/>
        <v>144838.46811448986</v>
      </c>
      <c r="J24" s="401">
        <f t="shared" si="8"/>
        <v>306233.50788067194</v>
      </c>
      <c r="K24" s="401">
        <f t="shared" si="8"/>
        <v>-51856.85323730472</v>
      </c>
      <c r="L24" s="401">
        <f t="shared" si="8"/>
        <v>-241609.70141320204</v>
      </c>
      <c r="M24" s="401">
        <f t="shared" si="8"/>
        <v>-410925.0625311787</v>
      </c>
    </row>
    <row r="25" spans="1:13">
      <c r="A25" s="397" t="s">
        <v>748</v>
      </c>
      <c r="B25" s="401">
        <f t="shared" ref="B25:M25" si="9">B13+B22</f>
        <v>6328.5495173974778</v>
      </c>
      <c r="C25" s="401">
        <f t="shared" si="9"/>
        <v>-227876.40523381793</v>
      </c>
      <c r="D25" s="401">
        <f t="shared" si="9"/>
        <v>167359.66476618208</v>
      </c>
      <c r="E25" s="401">
        <f t="shared" si="9"/>
        <v>167359.66476618208</v>
      </c>
      <c r="F25" s="401">
        <f t="shared" si="9"/>
        <v>-21415.335233817939</v>
      </c>
      <c r="G25" s="401">
        <f t="shared" si="9"/>
        <v>41509.664766182061</v>
      </c>
      <c r="H25" s="401">
        <f t="shared" si="9"/>
        <v>-21415.335233817939</v>
      </c>
      <c r="I25" s="401">
        <f t="shared" si="9"/>
        <v>161395.03976618208</v>
      </c>
      <c r="J25" s="401">
        <f t="shared" si="9"/>
        <v>-358090.36111797666</v>
      </c>
      <c r="K25" s="401">
        <f t="shared" si="9"/>
        <v>-189752.84817589732</v>
      </c>
      <c r="L25" s="401">
        <f t="shared" si="9"/>
        <v>-169315.36111797666</v>
      </c>
      <c r="M25" s="401">
        <f t="shared" si="9"/>
        <v>10001.414766182061</v>
      </c>
    </row>
    <row r="26" spans="1:13">
      <c r="A26" s="397" t="s">
        <v>749</v>
      </c>
      <c r="B26" s="401">
        <f>B24+B25</f>
        <v>39316.549517397478</v>
      </c>
      <c r="C26" s="401">
        <f t="shared" ref="C26:M26" si="10">C24+C25</f>
        <v>-188559.85571642045</v>
      </c>
      <c r="D26" s="401">
        <f t="shared" si="10"/>
        <v>-21200.190950238379</v>
      </c>
      <c r="E26" s="401">
        <f t="shared" si="10"/>
        <v>146159.4738159437</v>
      </c>
      <c r="F26" s="401">
        <f t="shared" si="10"/>
        <v>124744.13858212576</v>
      </c>
      <c r="G26" s="401">
        <f t="shared" si="10"/>
        <v>166253.80334830782</v>
      </c>
      <c r="H26" s="401">
        <f t="shared" si="10"/>
        <v>144838.46811448986</v>
      </c>
      <c r="I26" s="401">
        <f t="shared" si="10"/>
        <v>306233.50788067194</v>
      </c>
      <c r="J26" s="401">
        <f t="shared" si="10"/>
        <v>-51856.85323730472</v>
      </c>
      <c r="K26" s="401">
        <f t="shared" si="10"/>
        <v>-241609.70141320204</v>
      </c>
      <c r="L26" s="401">
        <f t="shared" si="10"/>
        <v>-410925.0625311787</v>
      </c>
      <c r="M26" s="401">
        <f t="shared" si="10"/>
        <v>-400923.64776499663</v>
      </c>
    </row>
    <row r="28" spans="1:13">
      <c r="A28" s="396" t="str">
        <f>+A25</f>
        <v>Cash Surplus (+ve)/Deficit (-ve)</v>
      </c>
      <c r="B28" s="424">
        <f>ROUNDUP(SUM(B25:M25),0)</f>
        <v>-433912</v>
      </c>
    </row>
    <row r="29" spans="1:13">
      <c r="A29" s="396"/>
      <c r="B29" s="408"/>
    </row>
    <row r="30" spans="1:13">
      <c r="A30" s="396" t="s">
        <v>750</v>
      </c>
      <c r="B30" s="372">
        <f>ROUNDUP(IF(B28&gt;=0,0,B28*(-1)),0)</f>
        <v>433912</v>
      </c>
    </row>
    <row r="32" spans="1:13">
      <c r="A32" s="397" t="s">
        <v>751</v>
      </c>
    </row>
    <row r="34" spans="1:14">
      <c r="A34" s="397" t="s">
        <v>752</v>
      </c>
      <c r="C34" s="409">
        <v>100</v>
      </c>
      <c r="D34" s="397" t="s">
        <v>753</v>
      </c>
      <c r="E34" s="409">
        <v>200</v>
      </c>
      <c r="F34" s="397" t="s">
        <v>754</v>
      </c>
      <c r="N34" s="402">
        <f>C34*B37+E34*B38</f>
        <v>1258500</v>
      </c>
    </row>
    <row r="35" spans="1:14">
      <c r="A35" s="397" t="s">
        <v>756</v>
      </c>
      <c r="C35" s="409">
        <v>200</v>
      </c>
      <c r="D35" s="397" t="s">
        <v>753</v>
      </c>
      <c r="E35" s="409">
        <v>350</v>
      </c>
      <c r="F35" s="397" t="s">
        <v>754</v>
      </c>
      <c r="G35" s="409">
        <f>700-E35-C35</f>
        <v>150</v>
      </c>
      <c r="H35" s="397" t="s">
        <v>757</v>
      </c>
      <c r="I35" s="410"/>
      <c r="N35" s="402">
        <f>C35*B37+E35*B38+G35*B39</f>
        <v>3144725</v>
      </c>
    </row>
    <row r="36" spans="1:14">
      <c r="A36" s="397" t="s">
        <v>759</v>
      </c>
      <c r="C36" s="409"/>
      <c r="D36" s="397" t="s">
        <v>753</v>
      </c>
      <c r="E36" s="409"/>
      <c r="F36" s="397" t="s">
        <v>754</v>
      </c>
      <c r="G36" s="409"/>
      <c r="H36" s="397" t="s">
        <v>757</v>
      </c>
      <c r="I36" s="410"/>
      <c r="N36" s="402">
        <f>C36*B37+E36*B38+G36*B39</f>
        <v>0</v>
      </c>
    </row>
    <row r="37" spans="1:14">
      <c r="A37" s="397" t="s">
        <v>760</v>
      </c>
      <c r="B37" s="411">
        <v>2300</v>
      </c>
      <c r="N37" s="402">
        <f>SUM(N34:N36)</f>
        <v>4403225</v>
      </c>
    </row>
    <row r="38" spans="1:14">
      <c r="A38" s="397" t="s">
        <v>761</v>
      </c>
      <c r="B38" s="411">
        <f>'[3]01 - Revenue Forecasts (KPIs)'!K15*0.85</f>
        <v>5142.5</v>
      </c>
      <c r="C38" s="397" t="s">
        <v>762</v>
      </c>
    </row>
    <row r="39" spans="1:14">
      <c r="A39" s="397" t="s">
        <v>763</v>
      </c>
      <c r="B39" s="411">
        <f>'[3]01 - Revenue Forecasts (KPIs)'!K24</f>
        <v>5899</v>
      </c>
    </row>
    <row r="42" spans="1:14">
      <c r="A42" s="397" t="s">
        <v>792</v>
      </c>
      <c r="C42" s="411">
        <f>'[3]Inventory Loan'!E23</f>
        <v>357396.73000000004</v>
      </c>
      <c r="D42" s="412"/>
      <c r="E42" s="412"/>
    </row>
    <row r="44" spans="1:14">
      <c r="A44" s="397" t="s">
        <v>765</v>
      </c>
      <c r="C44" s="411">
        <f>-C18</f>
        <v>0</v>
      </c>
      <c r="D44" s="397" t="s">
        <v>766</v>
      </c>
    </row>
    <row r="46" spans="1:14">
      <c r="A46" s="397" t="s">
        <v>787</v>
      </c>
      <c r="C46" s="397" t="s">
        <v>158</v>
      </c>
      <c r="D46" s="397" t="s">
        <v>767</v>
      </c>
    </row>
    <row r="47" spans="1:14">
      <c r="A47" s="397" t="s">
        <v>768</v>
      </c>
      <c r="C47" s="413">
        <v>40000</v>
      </c>
      <c r="D47" s="397" t="s">
        <v>769</v>
      </c>
    </row>
    <row r="48" spans="1:14">
      <c r="A48" s="397" t="s">
        <v>770</v>
      </c>
      <c r="C48" s="413">
        <v>25000</v>
      </c>
      <c r="D48" s="397" t="s">
        <v>771</v>
      </c>
    </row>
    <row r="49" spans="1:7">
      <c r="A49" s="397" t="s">
        <v>772</v>
      </c>
      <c r="C49" s="413">
        <v>10000</v>
      </c>
      <c r="D49" s="397" t="s">
        <v>771</v>
      </c>
    </row>
    <row r="51" spans="1:7">
      <c r="A51" s="397" t="s">
        <v>793</v>
      </c>
    </row>
    <row r="52" spans="1:7">
      <c r="A52" s="397" t="s">
        <v>773</v>
      </c>
      <c r="B52" s="397">
        <v>330</v>
      </c>
      <c r="C52" s="414">
        <f>+'04 MFG Batch 0001 Cost (330pc)'!C35</f>
        <v>410263.91524878464</v>
      </c>
      <c r="D52" s="397" t="s">
        <v>774</v>
      </c>
    </row>
    <row r="53" spans="1:7">
      <c r="A53" s="397" t="s">
        <v>775</v>
      </c>
      <c r="B53" s="415">
        <f>'[3]BOM Cost Presentation'!C6</f>
        <v>700</v>
      </c>
      <c r="C53" s="411">
        <f>+'08 BOM Costs'!D5*'01A Cash 12 Mths OPEX 2 Batch '!B53</f>
        <v>841687.56471039681</v>
      </c>
      <c r="D53" s="397" t="s">
        <v>776</v>
      </c>
    </row>
    <row r="54" spans="1:7">
      <c r="A54" s="397" t="s">
        <v>777</v>
      </c>
      <c r="B54" s="415">
        <v>1000</v>
      </c>
      <c r="C54" s="411"/>
      <c r="D54" s="397" t="s">
        <v>778</v>
      </c>
    </row>
    <row r="56" spans="1:7">
      <c r="A56" s="397" t="s">
        <v>779</v>
      </c>
      <c r="B56" s="411">
        <f>('[3]Summary P&amp;L-USD Yr Jul_Jun Best'!M12/4)/2</f>
        <v>166155.5</v>
      </c>
      <c r="C56" s="409" t="s">
        <v>771</v>
      </c>
      <c r="D56" s="397" t="s">
        <v>780</v>
      </c>
      <c r="E56" s="416">
        <f>3*F56</f>
        <v>0</v>
      </c>
      <c r="F56" s="397">
        <v>0</v>
      </c>
    </row>
    <row r="58" spans="1:7">
      <c r="A58" s="397" t="s">
        <v>781</v>
      </c>
      <c r="D58" s="417">
        <f>-(-'[3]Summary P&amp;L-USD Yr Jul_Jun Best'!M13-'[3]Summary P&amp;L-USD Yr Jul_Jun Best'!N13)/4/2</f>
        <v>199091.125</v>
      </c>
      <c r="E58" s="397" t="s">
        <v>780</v>
      </c>
      <c r="F58" s="418">
        <f>2*G58</f>
        <v>0</v>
      </c>
      <c r="G58" s="397">
        <v>0</v>
      </c>
    </row>
    <row r="60" spans="1:7">
      <c r="A60" s="398" t="s">
        <v>782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D885-DFFD-6B42-A543-975078A51667}">
  <dimension ref="A1:O57"/>
  <sheetViews>
    <sheetView topLeftCell="A9" workbookViewId="0">
      <selection activeCell="A49" sqref="A49"/>
    </sheetView>
  </sheetViews>
  <sheetFormatPr baseColWidth="10" defaultRowHeight="13"/>
  <cols>
    <col min="1" max="1" width="37.5" style="397" customWidth="1"/>
    <col min="2" max="2" width="13.6640625" style="397" bestFit="1" customWidth="1"/>
    <col min="3" max="3" width="13.5" style="397" customWidth="1"/>
    <col min="4" max="4" width="13" style="397" customWidth="1"/>
    <col min="5" max="5" width="13.1640625" style="397" bestFit="1" customWidth="1"/>
    <col min="6" max="6" width="14.33203125" style="397" customWidth="1"/>
    <col min="7" max="7" width="15.5" style="397" customWidth="1"/>
    <col min="8" max="11" width="15.5" style="397" hidden="1" customWidth="1"/>
    <col min="12" max="13" width="13.1640625" style="397" hidden="1" customWidth="1"/>
    <col min="14" max="14" width="13.6640625" style="397" bestFit="1" customWidth="1"/>
    <col min="15" max="16384" width="10.83203125" style="397"/>
  </cols>
  <sheetData>
    <row r="1" spans="1:15">
      <c r="A1" s="422" t="s">
        <v>208</v>
      </c>
      <c r="B1" s="419"/>
      <c r="C1" s="420">
        <f>10%</f>
        <v>0.1</v>
      </c>
      <c r="D1" s="420">
        <v>0.2</v>
      </c>
      <c r="E1" s="420">
        <v>0.3</v>
      </c>
      <c r="F1" s="420">
        <v>0.4</v>
      </c>
      <c r="G1" s="419">
        <v>0.1</v>
      </c>
      <c r="H1" s="419">
        <v>0.1</v>
      </c>
      <c r="I1" s="419">
        <v>0.2</v>
      </c>
      <c r="J1" s="419">
        <v>0.3</v>
      </c>
      <c r="K1" s="419">
        <v>0.3</v>
      </c>
      <c r="L1" s="419"/>
      <c r="M1" s="419"/>
      <c r="N1" s="398"/>
      <c r="O1" s="398"/>
    </row>
    <row r="2" spans="1:15">
      <c r="A2" s="422" t="s">
        <v>784</v>
      </c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</row>
    <row r="3" spans="1:1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</row>
    <row r="4" spans="1:15">
      <c r="B4" s="399">
        <v>45870</v>
      </c>
      <c r="C4" s="399">
        <f>B4+31</f>
        <v>45901</v>
      </c>
      <c r="D4" s="399">
        <f>C4+31</f>
        <v>45932</v>
      </c>
      <c r="E4" s="399">
        <f t="shared" ref="E4:M4" si="0">D4+31</f>
        <v>45963</v>
      </c>
      <c r="F4" s="399">
        <f t="shared" si="0"/>
        <v>45994</v>
      </c>
      <c r="G4" s="399">
        <f t="shared" si="0"/>
        <v>46025</v>
      </c>
      <c r="H4" s="399">
        <f t="shared" si="0"/>
        <v>46056</v>
      </c>
      <c r="I4" s="399">
        <f t="shared" si="0"/>
        <v>46087</v>
      </c>
      <c r="J4" s="399">
        <f t="shared" si="0"/>
        <v>46118</v>
      </c>
      <c r="K4" s="399">
        <f t="shared" si="0"/>
        <v>46149</v>
      </c>
      <c r="L4" s="399">
        <f t="shared" si="0"/>
        <v>46180</v>
      </c>
      <c r="M4" s="399">
        <f t="shared" si="0"/>
        <v>46211</v>
      </c>
      <c r="N4" s="400"/>
    </row>
    <row r="5" spans="1:15">
      <c r="A5" s="396" t="s">
        <v>739</v>
      </c>
    </row>
    <row r="6" spans="1:15">
      <c r="A6" s="397" t="s">
        <v>740</v>
      </c>
      <c r="B6" s="401"/>
      <c r="D6" s="401">
        <f>($C$31*$B$34*$C$1)+($E$31*$B$35*SUM($C$1:$D$1))</f>
        <v>331550.00000000006</v>
      </c>
      <c r="E6" s="401">
        <f>(($C$31*$B$34)*$D$1)+(($E$31*$B$35)*$E$1)</f>
        <v>354550</v>
      </c>
      <c r="F6" s="401">
        <f>(($C$31*$B$34)*SUM($E$1:F1)+(($E$31*$B$35)*$F$1))</f>
        <v>572400</v>
      </c>
      <c r="G6" s="402">
        <f>+(($C$32*$B$34)+($E$32*$B$35)+($G$32*$B$36))*G$1</f>
        <v>314472.5</v>
      </c>
      <c r="H6" s="402"/>
      <c r="I6" s="402"/>
      <c r="J6" s="402"/>
      <c r="K6" s="402"/>
      <c r="L6" s="401">
        <f>L1*N33</f>
        <v>0</v>
      </c>
      <c r="M6" s="401">
        <f>M1*N33</f>
        <v>0</v>
      </c>
    </row>
    <row r="7" spans="1:15">
      <c r="A7" s="397" t="s">
        <v>741</v>
      </c>
      <c r="B7" s="401"/>
      <c r="D7" s="401"/>
      <c r="E7" s="401"/>
      <c r="F7" s="401"/>
      <c r="G7" s="401"/>
      <c r="H7" s="401"/>
      <c r="I7" s="401"/>
      <c r="J7" s="401"/>
      <c r="K7" s="401"/>
      <c r="L7" s="401"/>
      <c r="M7" s="401"/>
    </row>
    <row r="8" spans="1:15">
      <c r="A8" s="397" t="s">
        <v>742</v>
      </c>
      <c r="B8" s="401"/>
      <c r="C8" s="401"/>
      <c r="D8" s="401"/>
      <c r="E8" s="401"/>
      <c r="F8" s="401"/>
      <c r="G8" s="401"/>
      <c r="H8" s="401"/>
      <c r="I8" s="401">
        <f>+'07 SG MRA Grant'!F9</f>
        <v>119885.375</v>
      </c>
      <c r="J8" s="401"/>
      <c r="K8" s="401"/>
      <c r="L8" s="401"/>
      <c r="M8" s="401"/>
    </row>
    <row r="9" spans="1:15">
      <c r="A9" s="397" t="s">
        <v>136</v>
      </c>
      <c r="B9" s="403">
        <f>+C39</f>
        <v>357396.73000000004</v>
      </c>
      <c r="C9" s="403"/>
      <c r="D9" s="403"/>
      <c r="E9" s="403"/>
      <c r="F9" s="403"/>
      <c r="G9" s="403"/>
      <c r="H9" s="403"/>
      <c r="I9" s="403"/>
      <c r="J9" s="403"/>
      <c r="K9" s="403"/>
      <c r="L9" s="403"/>
      <c r="M9" s="403"/>
    </row>
    <row r="10" spans="1:15" s="396" customFormat="1">
      <c r="B10" s="404">
        <f t="shared" ref="B10:M10" si="1">SUM(B5:B9)</f>
        <v>357396.73000000004</v>
      </c>
      <c r="C10" s="404">
        <f t="shared" si="1"/>
        <v>0</v>
      </c>
      <c r="D10" s="404">
        <f t="shared" si="1"/>
        <v>331550.00000000006</v>
      </c>
      <c r="E10" s="404">
        <f t="shared" si="1"/>
        <v>354550</v>
      </c>
      <c r="F10" s="404">
        <f t="shared" si="1"/>
        <v>572400</v>
      </c>
      <c r="G10" s="404">
        <f t="shared" si="1"/>
        <v>314472.5</v>
      </c>
      <c r="H10" s="404">
        <f t="shared" si="1"/>
        <v>0</v>
      </c>
      <c r="I10" s="404">
        <f t="shared" si="1"/>
        <v>119885.375</v>
      </c>
      <c r="J10" s="404">
        <f t="shared" si="1"/>
        <v>0</v>
      </c>
      <c r="K10" s="404">
        <f t="shared" si="1"/>
        <v>0</v>
      </c>
      <c r="L10" s="404">
        <f t="shared" si="1"/>
        <v>0</v>
      </c>
      <c r="M10" s="404">
        <f t="shared" si="1"/>
        <v>0</v>
      </c>
    </row>
    <row r="12" spans="1:15">
      <c r="A12" s="396" t="s">
        <v>743</v>
      </c>
    </row>
    <row r="13" spans="1:15">
      <c r="A13" s="397" t="s">
        <v>744</v>
      </c>
      <c r="B13" s="401">
        <f>-C49-C13</f>
        <v>-266727.84524878464</v>
      </c>
      <c r="C13" s="401">
        <f>-'09 Inventory Loan'!H23</f>
        <v>-143536.07</v>
      </c>
      <c r="D13" s="401">
        <f>-C50*0.4</f>
        <v>-336675.02588415873</v>
      </c>
      <c r="E13" s="401">
        <f>-C50*0.2</f>
        <v>-168337.51294207937</v>
      </c>
      <c r="F13" s="421">
        <f>-C50*0.4</f>
        <v>-336675.02588415873</v>
      </c>
      <c r="G13" s="401"/>
      <c r="H13" s="401"/>
      <c r="I13" s="401"/>
      <c r="L13" s="401"/>
      <c r="M13" s="401"/>
    </row>
    <row r="14" spans="1:15">
      <c r="A14" s="397" t="s">
        <v>745</v>
      </c>
      <c r="B14" s="401">
        <f>-'11 Forward OPEX 250728'!G84</f>
        <v>-84340.335233817939</v>
      </c>
      <c r="C14" s="401">
        <f>B14</f>
        <v>-84340.335233817939</v>
      </c>
      <c r="D14" s="401">
        <f t="shared" ref="D14:E14" si="2">C14</f>
        <v>-84340.335233817939</v>
      </c>
      <c r="E14" s="401">
        <f t="shared" si="2"/>
        <v>-84340.335233817939</v>
      </c>
      <c r="F14" s="401">
        <f>E14*1.2</f>
        <v>-101208.40228058152</v>
      </c>
      <c r="G14" s="401">
        <f>+F14</f>
        <v>-101208.40228058152</v>
      </c>
      <c r="H14" s="401"/>
      <c r="I14" s="401"/>
      <c r="J14" s="401"/>
      <c r="K14" s="401"/>
      <c r="L14" s="401"/>
      <c r="M14" s="401"/>
    </row>
    <row r="15" spans="1:15" hidden="1">
      <c r="A15" s="397" t="s">
        <v>484</v>
      </c>
      <c r="B15" s="401"/>
      <c r="C15" s="401"/>
      <c r="E15" s="401"/>
      <c r="F15" s="401"/>
      <c r="G15" s="401"/>
      <c r="H15" s="401"/>
      <c r="I15" s="401"/>
      <c r="J15" s="401"/>
      <c r="K15" s="401"/>
      <c r="L15" s="401"/>
      <c r="M15" s="401"/>
    </row>
    <row r="16" spans="1:15">
      <c r="A16" s="397" t="s">
        <v>783</v>
      </c>
      <c r="B16" s="401"/>
      <c r="C16" s="401">
        <f>-C44</f>
        <v>-40000</v>
      </c>
      <c r="D16" s="401">
        <f>-C45</f>
        <v>-25000</v>
      </c>
      <c r="E16" s="401">
        <f>-C46</f>
        <v>-10000</v>
      </c>
      <c r="F16" s="401"/>
      <c r="G16" s="401"/>
      <c r="H16" s="401"/>
      <c r="I16" s="401"/>
      <c r="J16" s="401"/>
      <c r="K16" s="401"/>
      <c r="L16" s="401"/>
      <c r="M16" s="401"/>
    </row>
    <row r="17" spans="1:14" hidden="1">
      <c r="A17" s="397" t="s">
        <v>746</v>
      </c>
      <c r="B17" s="401"/>
      <c r="C17" s="401"/>
      <c r="D17" s="401"/>
      <c r="E17" s="405">
        <f>IFERROR(-B53/E53,0)</f>
        <v>0</v>
      </c>
      <c r="F17" s="401">
        <f>E17</f>
        <v>0</v>
      </c>
      <c r="G17" s="401">
        <f>F17</f>
        <v>0</v>
      </c>
      <c r="H17" s="401"/>
      <c r="I17" s="401"/>
      <c r="J17" s="401"/>
      <c r="K17" s="401"/>
      <c r="L17" s="401"/>
      <c r="M17" s="401"/>
    </row>
    <row r="18" spans="1:14" hidden="1">
      <c r="A18" s="397" t="s">
        <v>533</v>
      </c>
      <c r="B18" s="403"/>
      <c r="C18" s="406"/>
      <c r="D18" s="406"/>
      <c r="E18" s="403">
        <f>IFERROR(-D55/F55,0)</f>
        <v>0</v>
      </c>
      <c r="F18" s="403">
        <f>E18</f>
        <v>0</v>
      </c>
      <c r="G18" s="403"/>
      <c r="H18" s="403"/>
      <c r="I18" s="403"/>
      <c r="J18" s="403"/>
      <c r="K18" s="403"/>
      <c r="L18" s="403"/>
      <c r="M18" s="403"/>
    </row>
    <row r="19" spans="1:14" s="396" customFormat="1">
      <c r="B19" s="404">
        <f t="shared" ref="B19:M19" si="3">SUM(B13:B18)</f>
        <v>-351068.18048260256</v>
      </c>
      <c r="C19" s="404">
        <f t="shared" si="3"/>
        <v>-267876.40523381793</v>
      </c>
      <c r="D19" s="404">
        <f t="shared" si="3"/>
        <v>-446015.36111797666</v>
      </c>
      <c r="E19" s="404">
        <f>SUM(E13:E18)</f>
        <v>-262677.84817589732</v>
      </c>
      <c r="F19" s="404">
        <f>SUM(F13:F18)</f>
        <v>-437883.42816474027</v>
      </c>
      <c r="G19" s="404">
        <f t="shared" si="3"/>
        <v>-101208.40228058152</v>
      </c>
      <c r="H19" s="404">
        <f t="shared" si="3"/>
        <v>0</v>
      </c>
      <c r="I19" s="404">
        <f t="shared" si="3"/>
        <v>0</v>
      </c>
      <c r="J19" s="404">
        <f t="shared" si="3"/>
        <v>0</v>
      </c>
      <c r="K19" s="404">
        <f t="shared" si="3"/>
        <v>0</v>
      </c>
      <c r="L19" s="404">
        <f t="shared" si="3"/>
        <v>0</v>
      </c>
      <c r="M19" s="404">
        <f t="shared" si="3"/>
        <v>0</v>
      </c>
    </row>
    <row r="20" spans="1:14">
      <c r="B20" s="401"/>
      <c r="C20" s="401"/>
      <c r="D20" s="401"/>
      <c r="E20" s="401"/>
      <c r="F20" s="401"/>
      <c r="G20" s="401"/>
      <c r="H20" s="401"/>
      <c r="I20" s="401"/>
      <c r="J20" s="401"/>
      <c r="K20" s="401"/>
      <c r="L20" s="401"/>
      <c r="M20" s="401"/>
    </row>
    <row r="21" spans="1:14">
      <c r="A21" s="397" t="s">
        <v>747</v>
      </c>
      <c r="B21" s="407"/>
      <c r="C21" s="401">
        <f>B23</f>
        <v>6328.5495173974778</v>
      </c>
      <c r="D21" s="401">
        <f t="shared" ref="D21:M21" si="4">C23</f>
        <v>-261547.85571642045</v>
      </c>
      <c r="E21" s="401">
        <f t="shared" si="4"/>
        <v>-376013.21683439706</v>
      </c>
      <c r="F21" s="401">
        <f t="shared" si="4"/>
        <v>-284141.06501029438</v>
      </c>
      <c r="G21" s="401">
        <f t="shared" si="4"/>
        <v>-149624.49317503464</v>
      </c>
      <c r="H21" s="401">
        <f t="shared" si="4"/>
        <v>63639.604544383823</v>
      </c>
      <c r="I21" s="401">
        <f t="shared" si="4"/>
        <v>63639.604544383823</v>
      </c>
      <c r="J21" s="401">
        <f t="shared" si="4"/>
        <v>183524.97954438382</v>
      </c>
      <c r="K21" s="401">
        <f t="shared" si="4"/>
        <v>183524.97954438382</v>
      </c>
      <c r="L21" s="401">
        <f t="shared" si="4"/>
        <v>183524.97954438382</v>
      </c>
      <c r="M21" s="401">
        <f t="shared" si="4"/>
        <v>183524.97954438382</v>
      </c>
    </row>
    <row r="22" spans="1:14">
      <c r="A22" s="397" t="s">
        <v>748</v>
      </c>
      <c r="B22" s="401">
        <f t="shared" ref="B22:M22" si="5">B10+B19</f>
        <v>6328.5495173974778</v>
      </c>
      <c r="C22" s="401">
        <f t="shared" si="5"/>
        <v>-267876.40523381793</v>
      </c>
      <c r="D22" s="401">
        <f t="shared" si="5"/>
        <v>-114465.3611179766</v>
      </c>
      <c r="E22" s="401">
        <f t="shared" si="5"/>
        <v>91872.151824102679</v>
      </c>
      <c r="F22" s="401">
        <f t="shared" si="5"/>
        <v>134516.57183525973</v>
      </c>
      <c r="G22" s="401">
        <f t="shared" si="5"/>
        <v>213264.09771941847</v>
      </c>
      <c r="H22" s="401">
        <f t="shared" si="5"/>
        <v>0</v>
      </c>
      <c r="I22" s="401">
        <f t="shared" si="5"/>
        <v>119885.375</v>
      </c>
      <c r="J22" s="401">
        <f t="shared" si="5"/>
        <v>0</v>
      </c>
      <c r="K22" s="401">
        <f t="shared" si="5"/>
        <v>0</v>
      </c>
      <c r="L22" s="401">
        <f t="shared" si="5"/>
        <v>0</v>
      </c>
      <c r="M22" s="401">
        <f t="shared" si="5"/>
        <v>0</v>
      </c>
    </row>
    <row r="23" spans="1:14">
      <c r="A23" s="397" t="s">
        <v>749</v>
      </c>
      <c r="B23" s="401">
        <f>B21+B22</f>
        <v>6328.5495173974778</v>
      </c>
      <c r="C23" s="401">
        <f t="shared" ref="C23:M23" si="6">C21+C22</f>
        <v>-261547.85571642045</v>
      </c>
      <c r="D23" s="401">
        <f t="shared" si="6"/>
        <v>-376013.21683439706</v>
      </c>
      <c r="E23" s="401">
        <f t="shared" si="6"/>
        <v>-284141.06501029438</v>
      </c>
      <c r="F23" s="401">
        <f t="shared" si="6"/>
        <v>-149624.49317503464</v>
      </c>
      <c r="G23" s="401">
        <f t="shared" si="6"/>
        <v>63639.604544383823</v>
      </c>
      <c r="H23" s="401">
        <f t="shared" si="6"/>
        <v>63639.604544383823</v>
      </c>
      <c r="I23" s="401">
        <f t="shared" si="6"/>
        <v>183524.97954438382</v>
      </c>
      <c r="J23" s="401">
        <f t="shared" si="6"/>
        <v>183524.97954438382</v>
      </c>
      <c r="K23" s="401">
        <f t="shared" si="6"/>
        <v>183524.97954438382</v>
      </c>
      <c r="L23" s="401">
        <f t="shared" si="6"/>
        <v>183524.97954438382</v>
      </c>
      <c r="M23" s="401">
        <f t="shared" si="6"/>
        <v>183524.97954438382</v>
      </c>
    </row>
    <row r="25" spans="1:14">
      <c r="A25" s="396" t="s">
        <v>786</v>
      </c>
      <c r="B25" s="408">
        <f>ROUNDUP(SUM(B22:G22),0)</f>
        <v>63640</v>
      </c>
    </row>
    <row r="26" spans="1:14">
      <c r="A26" s="396"/>
      <c r="B26" s="408"/>
    </row>
    <row r="27" spans="1:14">
      <c r="A27" s="396" t="s">
        <v>785</v>
      </c>
      <c r="B27" s="423">
        <f>IF(SUM(B22:D22)&gt;=0,0,SUM(B22:D22)*(-1))</f>
        <v>376013.21683439706</v>
      </c>
    </row>
    <row r="29" spans="1:14">
      <c r="A29" s="397" t="s">
        <v>751</v>
      </c>
    </row>
    <row r="31" spans="1:14">
      <c r="A31" s="397" t="s">
        <v>752</v>
      </c>
      <c r="C31" s="409">
        <v>100</v>
      </c>
      <c r="D31" s="397" t="s">
        <v>753</v>
      </c>
      <c r="E31" s="409">
        <v>200</v>
      </c>
      <c r="F31" s="397" t="s">
        <v>754</v>
      </c>
      <c r="G31" s="397" t="s">
        <v>755</v>
      </c>
      <c r="N31" s="402">
        <f>C31*B34+E31*B35</f>
        <v>1258500</v>
      </c>
    </row>
    <row r="32" spans="1:14">
      <c r="A32" s="397" t="s">
        <v>756</v>
      </c>
      <c r="C32" s="409">
        <v>200</v>
      </c>
      <c r="D32" s="397" t="s">
        <v>753</v>
      </c>
      <c r="E32" s="409">
        <v>350</v>
      </c>
      <c r="F32" s="397" t="s">
        <v>754</v>
      </c>
      <c r="G32" s="409">
        <v>150</v>
      </c>
      <c r="H32" s="397" t="s">
        <v>757</v>
      </c>
      <c r="I32" s="410" t="s">
        <v>758</v>
      </c>
      <c r="N32" s="402">
        <f>C32*B34+E32*B35+G32*B36</f>
        <v>3144725</v>
      </c>
    </row>
    <row r="33" spans="1:14" hidden="1">
      <c r="A33" s="397" t="s">
        <v>759</v>
      </c>
      <c r="C33" s="409"/>
      <c r="D33" s="397" t="s">
        <v>753</v>
      </c>
      <c r="E33" s="409"/>
      <c r="F33" s="397" t="s">
        <v>754</v>
      </c>
      <c r="G33" s="409"/>
      <c r="H33" s="397" t="s">
        <v>757</v>
      </c>
      <c r="I33" s="410"/>
      <c r="N33" s="402">
        <f>C33*B34+E33*B35+G33*B36</f>
        <v>0</v>
      </c>
    </row>
    <row r="34" spans="1:14">
      <c r="A34" s="397" t="s">
        <v>760</v>
      </c>
      <c r="B34" s="411">
        <v>2300</v>
      </c>
    </row>
    <row r="35" spans="1:14">
      <c r="A35" s="397" t="s">
        <v>761</v>
      </c>
      <c r="B35" s="411">
        <f>'[3]01 - Revenue Forecasts (KPIs)'!K15*0.85</f>
        <v>5142.5</v>
      </c>
      <c r="C35" s="397" t="s">
        <v>762</v>
      </c>
    </row>
    <row r="36" spans="1:14">
      <c r="A36" s="397" t="s">
        <v>763</v>
      </c>
      <c r="B36" s="411">
        <f>'[3]01 - Revenue Forecasts (KPIs)'!K24</f>
        <v>5899</v>
      </c>
    </row>
    <row r="39" spans="1:14">
      <c r="A39" s="397" t="s">
        <v>764</v>
      </c>
      <c r="C39" s="411">
        <f>'[3]Inventory Loan'!E23</f>
        <v>357396.73000000004</v>
      </c>
      <c r="D39" s="412"/>
      <c r="E39" s="412"/>
    </row>
    <row r="41" spans="1:14" hidden="1">
      <c r="A41" s="397" t="s">
        <v>765</v>
      </c>
      <c r="C41" s="411">
        <f>-C15</f>
        <v>0</v>
      </c>
      <c r="D41" s="397" t="s">
        <v>766</v>
      </c>
    </row>
    <row r="42" spans="1:14" hidden="1"/>
    <row r="43" spans="1:14">
      <c r="A43" s="397" t="s">
        <v>791</v>
      </c>
      <c r="C43" s="397" t="s">
        <v>158</v>
      </c>
      <c r="D43" s="397" t="s">
        <v>767</v>
      </c>
    </row>
    <row r="44" spans="1:14">
      <c r="A44" s="397" t="s">
        <v>768</v>
      </c>
      <c r="C44" s="413">
        <v>40000</v>
      </c>
      <c r="D44" s="397" t="s">
        <v>769</v>
      </c>
    </row>
    <row r="45" spans="1:14">
      <c r="A45" s="397" t="s">
        <v>770</v>
      </c>
      <c r="C45" s="413">
        <v>25000</v>
      </c>
      <c r="D45" s="397" t="s">
        <v>771</v>
      </c>
    </row>
    <row r="46" spans="1:14">
      <c r="A46" s="397" t="s">
        <v>790</v>
      </c>
      <c r="C46" s="413">
        <v>10000</v>
      </c>
      <c r="D46" s="397" t="s">
        <v>789</v>
      </c>
    </row>
    <row r="48" spans="1:14">
      <c r="A48" s="397" t="s">
        <v>788</v>
      </c>
    </row>
    <row r="49" spans="1:7">
      <c r="A49" s="397" t="s">
        <v>773</v>
      </c>
      <c r="B49" s="397">
        <v>330</v>
      </c>
      <c r="C49" s="414">
        <f>+'04 MFG Batch 0001 Cost (330pc)'!C35</f>
        <v>410263.91524878464</v>
      </c>
      <c r="D49" s="397" t="s">
        <v>774</v>
      </c>
    </row>
    <row r="50" spans="1:7">
      <c r="A50" s="397" t="s">
        <v>775</v>
      </c>
      <c r="B50" s="415">
        <f>'[3]BOM Cost Presentation'!C6</f>
        <v>700</v>
      </c>
      <c r="C50" s="411">
        <f>+'08 BOM Costs'!D5*'01b Cash Forecast 6 Mths OPEX'!B50</f>
        <v>841687.56471039681</v>
      </c>
      <c r="D50" s="397" t="s">
        <v>776</v>
      </c>
    </row>
    <row r="51" spans="1:7" hidden="1">
      <c r="A51" s="397" t="s">
        <v>777</v>
      </c>
      <c r="B51" s="415">
        <v>1000</v>
      </c>
      <c r="C51" s="411"/>
      <c r="D51" s="397" t="s">
        <v>778</v>
      </c>
    </row>
    <row r="53" spans="1:7" hidden="1">
      <c r="A53" s="397" t="s">
        <v>779</v>
      </c>
      <c r="B53" s="411">
        <f>('[3]Summary P&amp;L-USD Yr Jul_Jun Best'!M12/4)/2</f>
        <v>166155.5</v>
      </c>
      <c r="C53" s="409" t="s">
        <v>771</v>
      </c>
      <c r="D53" s="397" t="s">
        <v>780</v>
      </c>
      <c r="E53" s="416">
        <f>3*F53</f>
        <v>0</v>
      </c>
      <c r="F53" s="397">
        <v>0</v>
      </c>
    </row>
    <row r="54" spans="1:7" hidden="1"/>
    <row r="55" spans="1:7" hidden="1">
      <c r="A55" s="397" t="s">
        <v>781</v>
      </c>
      <c r="D55" s="417">
        <f>-(-'[3]Summary P&amp;L-USD Yr Jul_Jun Best'!M13-'[3]Summary P&amp;L-USD Yr Jul_Jun Best'!N13)/4/2</f>
        <v>199091.125</v>
      </c>
      <c r="E55" s="397" t="s">
        <v>780</v>
      </c>
      <c r="F55" s="418">
        <f>2*G55</f>
        <v>0</v>
      </c>
      <c r="G55" s="397">
        <v>0</v>
      </c>
    </row>
    <row r="56" spans="1:7" hidden="1"/>
    <row r="57" spans="1:7">
      <c r="A57" s="398" t="s">
        <v>782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5C69D-DD0E-4CB5-ACDE-1A0DC40860C6}">
  <sheetPr>
    <outlinePr summaryBelow="0" summaryRight="0"/>
  </sheetPr>
  <dimension ref="A1:W92"/>
  <sheetViews>
    <sheetView showGridLines="0" topLeftCell="K1" zoomScaleNormal="100" workbookViewId="0">
      <selection activeCell="S113" sqref="S113"/>
    </sheetView>
  </sheetViews>
  <sheetFormatPr baseColWidth="10" defaultColWidth="12.6640625" defaultRowHeight="15.75" customHeight="1" outlineLevelRow="1"/>
  <cols>
    <col min="1" max="10" width="0" hidden="1" customWidth="1"/>
    <col min="11" max="11" width="9.1640625"/>
    <col min="12" max="12" width="50" customWidth="1"/>
    <col min="13" max="13" width="13.1640625" bestFit="1" customWidth="1"/>
    <col min="14" max="14" width="9.1640625"/>
    <col min="15" max="15" width="16.5" customWidth="1"/>
    <col min="16" max="16" width="12.6640625" bestFit="1" customWidth="1"/>
    <col min="17" max="20" width="9.1640625"/>
    <col min="21" max="21" width="9.1640625" bestFit="1" customWidth="1"/>
    <col min="22" max="22" width="45.83203125" style="284" customWidth="1"/>
    <col min="23" max="23" width="29.5" style="284" customWidth="1"/>
  </cols>
  <sheetData>
    <row r="1" spans="1:23" ht="15.75" customHeight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281"/>
      <c r="W1" s="281"/>
    </row>
    <row r="2" spans="1:23" ht="15.75" customHeight="1">
      <c r="A2" s="100"/>
      <c r="B2" s="100"/>
      <c r="C2" s="174"/>
      <c r="D2" s="174"/>
      <c r="E2" s="100"/>
      <c r="F2" s="100"/>
      <c r="G2" s="100"/>
      <c r="H2" s="100"/>
      <c r="I2" s="100"/>
      <c r="J2" s="100"/>
      <c r="K2" s="100"/>
      <c r="L2" s="378" t="s">
        <v>133</v>
      </c>
      <c r="M2" s="285">
        <v>0.25</v>
      </c>
      <c r="N2" s="290" t="s">
        <v>31</v>
      </c>
      <c r="O2" s="164"/>
      <c r="P2" s="164"/>
      <c r="Q2" s="164"/>
      <c r="R2" s="164"/>
      <c r="S2" s="164"/>
      <c r="T2" s="164"/>
      <c r="U2" s="164"/>
      <c r="V2" s="281"/>
      <c r="W2" s="281"/>
    </row>
    <row r="3" spans="1:23" ht="15.75" customHeight="1" collapsed="1">
      <c r="A3" s="100"/>
      <c r="B3" s="100"/>
      <c r="C3" s="106"/>
      <c r="D3" s="106"/>
      <c r="E3" s="100"/>
      <c r="F3" s="100"/>
      <c r="G3" s="100"/>
      <c r="H3" s="100"/>
      <c r="I3" s="100"/>
      <c r="J3" s="100"/>
      <c r="K3" s="100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282" t="s">
        <v>32</v>
      </c>
      <c r="W3" s="281"/>
    </row>
    <row r="4" spans="1:23" ht="15.75" hidden="1" customHeight="1" outlineLevel="1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386"/>
      <c r="L4" s="304" t="s">
        <v>134</v>
      </c>
      <c r="M4" s="166"/>
      <c r="N4" s="166"/>
      <c r="O4" s="166"/>
      <c r="P4" s="166"/>
      <c r="Q4" s="166"/>
      <c r="R4" s="166"/>
      <c r="S4" s="166"/>
      <c r="T4" s="166"/>
      <c r="U4" s="167"/>
      <c r="V4" s="592" t="s">
        <v>35</v>
      </c>
      <c r="W4" s="587"/>
    </row>
    <row r="5" spans="1:23" ht="15.75" hidden="1" customHeight="1" outlineLevel="1">
      <c r="A5" s="100"/>
      <c r="B5" s="100"/>
      <c r="C5" s="100"/>
      <c r="D5" s="100"/>
      <c r="E5" s="100"/>
      <c r="F5" s="100"/>
      <c r="G5" s="100"/>
      <c r="H5" s="100"/>
      <c r="I5" s="100"/>
      <c r="J5" s="100"/>
      <c r="K5" s="386"/>
      <c r="L5" s="346"/>
      <c r="M5" s="347"/>
      <c r="N5" s="347"/>
      <c r="O5" s="347"/>
      <c r="P5" s="348"/>
      <c r="Q5" s="165"/>
      <c r="R5" s="165"/>
      <c r="S5" s="165"/>
      <c r="T5" s="165"/>
      <c r="U5" s="349"/>
      <c r="V5" s="382"/>
      <c r="W5" s="383"/>
    </row>
    <row r="6" spans="1:23" ht="15.75" hidden="1" customHeight="1" outlineLevel="1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386"/>
      <c r="L6" s="591" t="s">
        <v>135</v>
      </c>
      <c r="M6" s="576"/>
      <c r="N6" s="576"/>
      <c r="O6" s="576"/>
      <c r="P6" s="577"/>
      <c r="Q6" s="100"/>
      <c r="R6" s="100"/>
      <c r="S6" s="100"/>
      <c r="T6" s="100"/>
      <c r="U6" s="168"/>
      <c r="V6" s="592" t="s">
        <v>37</v>
      </c>
      <c r="W6" s="587"/>
    </row>
    <row r="7" spans="1:23" ht="15.75" hidden="1" customHeight="1" outlineLevel="1">
      <c r="A7" s="386"/>
      <c r="B7" s="379"/>
      <c r="C7" s="379"/>
      <c r="D7" s="321"/>
      <c r="E7" s="100"/>
      <c r="F7" s="100"/>
      <c r="G7" s="100"/>
      <c r="H7" s="100"/>
      <c r="I7" s="100"/>
      <c r="J7" s="100"/>
      <c r="K7" s="386"/>
      <c r="L7" s="388" t="s">
        <v>136</v>
      </c>
      <c r="M7" s="345">
        <f>+'09 Inventory Loan'!F26</f>
        <v>357812.5</v>
      </c>
      <c r="N7" s="380">
        <v>1</v>
      </c>
      <c r="O7" s="345">
        <f>+N7*M7</f>
        <v>357812.5</v>
      </c>
      <c r="P7" s="381"/>
      <c r="Q7" s="100"/>
      <c r="R7" s="100"/>
      <c r="S7" s="100"/>
      <c r="T7" s="100"/>
      <c r="U7" s="168"/>
      <c r="V7" s="382"/>
      <c r="W7" s="383"/>
    </row>
    <row r="8" spans="1:23" ht="15.75" hidden="1" customHeight="1" outlineLevel="1">
      <c r="A8" s="386"/>
      <c r="B8" s="379"/>
      <c r="C8" s="379"/>
      <c r="D8" s="321"/>
      <c r="E8" s="100"/>
      <c r="F8" s="100"/>
      <c r="G8" s="100"/>
      <c r="H8" s="100"/>
      <c r="I8" s="100"/>
      <c r="J8" s="100"/>
      <c r="K8" s="386"/>
      <c r="L8" s="385"/>
      <c r="M8" s="345"/>
      <c r="N8" s="380"/>
      <c r="O8" s="345"/>
      <c r="P8" s="381"/>
      <c r="Q8" s="100"/>
      <c r="R8" s="100"/>
      <c r="S8" s="100"/>
      <c r="T8" s="100"/>
      <c r="U8" s="168"/>
      <c r="V8" s="382"/>
      <c r="W8" s="383"/>
    </row>
    <row r="9" spans="1:23" ht="15.75" hidden="1" customHeight="1" outlineLevel="1">
      <c r="A9" s="386"/>
      <c r="B9" s="379"/>
      <c r="C9" s="379"/>
      <c r="D9" s="321"/>
      <c r="E9" s="100"/>
      <c r="F9" s="100"/>
      <c r="G9" s="100"/>
      <c r="H9" s="100"/>
      <c r="I9" s="100"/>
      <c r="J9" s="100"/>
      <c r="K9" s="386"/>
      <c r="L9" s="385"/>
      <c r="M9" s="380"/>
      <c r="N9" s="380"/>
      <c r="O9" s="380"/>
      <c r="P9" s="381"/>
      <c r="Q9" s="100"/>
      <c r="R9" s="100"/>
      <c r="S9" s="100"/>
      <c r="T9" s="100"/>
      <c r="U9" s="168"/>
      <c r="V9" s="382"/>
      <c r="W9" s="383"/>
    </row>
    <row r="10" spans="1:23" ht="15.75" hidden="1" customHeight="1" outlineLevel="1">
      <c r="A10" s="581" t="s">
        <v>38</v>
      </c>
      <c r="B10" s="576"/>
      <c r="C10" s="576"/>
      <c r="D10" s="577"/>
      <c r="E10" s="100"/>
      <c r="F10" s="100"/>
      <c r="G10" s="100"/>
      <c r="H10" s="100"/>
      <c r="I10" s="100"/>
      <c r="J10" s="100"/>
      <c r="K10" s="386"/>
      <c r="L10" s="169" t="s">
        <v>137</v>
      </c>
      <c r="M10" s="161">
        <f>-'11 Forward OPEX 250728'!G84</f>
        <v>-84340.335233817939</v>
      </c>
      <c r="N10" s="102">
        <v>6</v>
      </c>
      <c r="O10" s="163">
        <f>+N10*M10</f>
        <v>-506042.01140290766</v>
      </c>
      <c r="P10" s="100"/>
      <c r="Q10" s="100"/>
      <c r="R10" s="100"/>
      <c r="S10" s="100"/>
      <c r="T10" s="100"/>
      <c r="U10" s="168"/>
      <c r="V10" s="592" t="s">
        <v>40</v>
      </c>
      <c r="W10" s="587"/>
    </row>
    <row r="11" spans="1:23" ht="15.75" hidden="1" customHeight="1" outlineLevel="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386"/>
      <c r="L11" s="169" t="s">
        <v>14</v>
      </c>
      <c r="M11" s="363">
        <v>0</v>
      </c>
      <c r="N11" s="102">
        <v>330</v>
      </c>
      <c r="O11" s="161">
        <f>-'04 MFG Batch 0001 Cost (330pc)'!C35</f>
        <v>-410263.91524878464</v>
      </c>
      <c r="P11" s="100" t="s">
        <v>138</v>
      </c>
      <c r="Q11" s="100"/>
      <c r="R11" s="100"/>
      <c r="S11" s="100"/>
      <c r="T11" s="100"/>
      <c r="U11" s="168"/>
      <c r="V11" s="592" t="s">
        <v>41</v>
      </c>
      <c r="W11" s="587"/>
    </row>
    <row r="12" spans="1:23" ht="15.75" hidden="1" customHeight="1" outlineLevel="1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386"/>
      <c r="L12" s="169" t="s">
        <v>66</v>
      </c>
      <c r="M12" s="354">
        <f>-'04 MFG Batch 0001 Cost (330pc)'!I41</f>
        <v>-1050.9526249109565</v>
      </c>
      <c r="N12" s="351">
        <v>700</v>
      </c>
      <c r="O12" s="352">
        <f>+N12*M12</f>
        <v>-735666.83743766951</v>
      </c>
      <c r="P12" s="379" t="s">
        <v>139</v>
      </c>
      <c r="Q12" s="379"/>
      <c r="R12" s="379"/>
      <c r="S12" s="379"/>
      <c r="T12" s="321"/>
      <c r="U12" s="168"/>
      <c r="V12" s="382"/>
      <c r="W12" s="383"/>
    </row>
    <row r="13" spans="1:23" ht="15.75" hidden="1" customHeight="1" outlineLevel="1">
      <c r="A13" s="100"/>
      <c r="B13" s="101" t="s">
        <v>42</v>
      </c>
      <c r="C13" s="101" t="s">
        <v>43</v>
      </c>
      <c r="D13" s="101" t="s">
        <v>44</v>
      </c>
      <c r="E13" s="100"/>
      <c r="F13" s="100"/>
      <c r="G13" s="100"/>
      <c r="H13" s="100"/>
      <c r="I13" s="100"/>
      <c r="J13" s="100"/>
      <c r="K13" s="386"/>
      <c r="L13" s="169" t="s">
        <v>45</v>
      </c>
      <c r="M13" s="161">
        <f>-(28000+8500)</f>
        <v>-36500</v>
      </c>
      <c r="N13" s="351">
        <v>1</v>
      </c>
      <c r="O13" s="353">
        <f>+N13*M13</f>
        <v>-36500</v>
      </c>
      <c r="P13" s="601" t="s">
        <v>46</v>
      </c>
      <c r="Q13" s="576"/>
      <c r="R13" s="576"/>
      <c r="S13" s="576"/>
      <c r="T13" s="577"/>
      <c r="U13" s="168"/>
      <c r="V13" s="592" t="s">
        <v>47</v>
      </c>
      <c r="W13" s="587"/>
    </row>
    <row r="14" spans="1:23" ht="15.75" hidden="1" customHeight="1" outlineLevel="1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386"/>
      <c r="L14" s="169"/>
      <c r="M14" s="161"/>
      <c r="N14" s="102"/>
      <c r="O14" s="178">
        <f>SUM(O10:O13)</f>
        <v>-1688472.7640893618</v>
      </c>
      <c r="P14" s="386"/>
      <c r="Q14" s="379"/>
      <c r="R14" s="379"/>
      <c r="S14" s="379"/>
      <c r="T14" s="321"/>
      <c r="U14" s="168"/>
      <c r="V14" s="382"/>
      <c r="W14" s="383"/>
    </row>
    <row r="15" spans="1:23" ht="15.75" hidden="1" customHeight="1" outlineLevel="1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386"/>
      <c r="L15" s="169"/>
      <c r="M15" s="161"/>
      <c r="N15" s="102"/>
      <c r="O15" s="163"/>
      <c r="P15" s="386"/>
      <c r="Q15" s="379"/>
      <c r="R15" s="379"/>
      <c r="S15" s="379"/>
      <c r="T15" s="321"/>
      <c r="U15" s="168"/>
      <c r="V15" s="382"/>
      <c r="W15" s="383"/>
    </row>
    <row r="16" spans="1:23" ht="15.75" hidden="1" customHeight="1" outlineLevel="1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386"/>
      <c r="L16" s="269" t="s">
        <v>140</v>
      </c>
      <c r="M16" s="350"/>
      <c r="N16" s="105"/>
      <c r="O16" s="270">
        <f>+O7+O14+O8</f>
        <v>-1330660.2640893618</v>
      </c>
      <c r="P16" s="386"/>
      <c r="Q16" s="379"/>
      <c r="R16" s="379"/>
      <c r="S16" s="379"/>
      <c r="T16" s="321"/>
      <c r="U16" s="168"/>
      <c r="V16" s="382"/>
      <c r="W16" s="383"/>
    </row>
    <row r="17" spans="1:23" ht="15.75" hidden="1" customHeight="1" outlineLevel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386"/>
      <c r="L17" s="169"/>
      <c r="M17" s="161"/>
      <c r="N17" s="102"/>
      <c r="O17" s="163"/>
      <c r="P17" s="386"/>
      <c r="Q17" s="379"/>
      <c r="R17" s="379"/>
      <c r="S17" s="379"/>
      <c r="T17" s="321"/>
      <c r="U17" s="168"/>
      <c r="V17" s="382"/>
      <c r="W17" s="383"/>
    </row>
    <row r="18" spans="1:23" ht="15.75" hidden="1" customHeight="1" outlineLevel="1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386"/>
      <c r="L18" s="169"/>
      <c r="M18" s="161"/>
      <c r="N18" s="102"/>
      <c r="O18" s="163"/>
      <c r="P18" s="386"/>
      <c r="Q18" s="379"/>
      <c r="R18" s="379"/>
      <c r="S18" s="379"/>
      <c r="T18" s="321"/>
      <c r="U18" s="168"/>
      <c r="V18" s="382"/>
      <c r="W18" s="383"/>
    </row>
    <row r="19" spans="1:23" ht="15.75" hidden="1" customHeight="1" outlineLevel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386"/>
      <c r="L19" s="269" t="s">
        <v>141</v>
      </c>
      <c r="M19" s="161"/>
      <c r="N19" s="102"/>
      <c r="O19" s="163"/>
      <c r="P19" s="386"/>
      <c r="Q19" s="379"/>
      <c r="R19" s="379"/>
      <c r="S19" s="379"/>
      <c r="T19" s="321"/>
      <c r="U19" s="168"/>
      <c r="V19" s="382"/>
      <c r="W19" s="383"/>
    </row>
    <row r="20" spans="1:23" ht="15.75" hidden="1" customHeight="1" outlineLevel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386"/>
      <c r="L20" s="169" t="s">
        <v>142</v>
      </c>
      <c r="M20" s="161"/>
      <c r="N20" s="102">
        <f>300*M2</f>
        <v>75</v>
      </c>
      <c r="O20" s="163">
        <f>(200*('02 Rev Forecasts; Internal KPIs'!E15*0.85))+(100*'02 Rev Forecasts; Internal KPIs'!E6)*M2</f>
        <v>1086000</v>
      </c>
      <c r="P20" s="386" t="s">
        <v>143</v>
      </c>
      <c r="Q20" s="379"/>
      <c r="R20" s="379"/>
      <c r="S20" s="379"/>
      <c r="T20" s="321"/>
      <c r="U20" s="168"/>
      <c r="V20" s="382"/>
      <c r="W20" s="383"/>
    </row>
    <row r="21" spans="1:23" ht="15.75" hidden="1" customHeight="1" outlineLevel="1">
      <c r="A21" s="100"/>
      <c r="B21" s="165"/>
      <c r="C21" s="165"/>
      <c r="D21" s="165"/>
      <c r="E21" s="100"/>
      <c r="F21" s="100"/>
      <c r="G21" s="100"/>
      <c r="H21" s="100"/>
      <c r="I21" s="100"/>
      <c r="J21" s="100"/>
      <c r="K21" s="386"/>
      <c r="L21" s="169" t="s">
        <v>144</v>
      </c>
      <c r="M21" s="161"/>
      <c r="N21" s="110">
        <f>700*M2</f>
        <v>175</v>
      </c>
      <c r="O21" s="163">
        <f>((300*'02 Rev Forecasts; Internal KPIs'!E6)+(300*'02 Rev Forecasts; Internal KPIs'!E15*0.85)+(200*'02 Rev Forecasts; Internal KPIs'!E24))*M2</f>
        <v>853137.5</v>
      </c>
      <c r="P21" s="392" t="s">
        <v>143</v>
      </c>
      <c r="Q21" s="379"/>
      <c r="R21" s="379"/>
      <c r="S21" s="379"/>
      <c r="T21" s="321"/>
      <c r="U21" s="168"/>
      <c r="V21" s="382"/>
      <c r="W21" s="383"/>
    </row>
    <row r="22" spans="1:23" ht="15.75" hidden="1" customHeight="1" outlineLevel="1">
      <c r="A22" s="100"/>
      <c r="B22" s="177"/>
      <c r="C22" s="177"/>
      <c r="D22" s="177"/>
      <c r="E22" s="100"/>
      <c r="F22" s="100"/>
      <c r="G22" s="100"/>
      <c r="H22" s="100"/>
      <c r="I22" s="100"/>
      <c r="J22" s="100"/>
      <c r="K22" s="386"/>
      <c r="L22" s="169" t="s">
        <v>80</v>
      </c>
      <c r="M22" s="161"/>
      <c r="N22" s="179"/>
      <c r="O22" s="162">
        <f>+'07 SG MRA Grant'!F9</f>
        <v>119885.375</v>
      </c>
      <c r="P22" s="100" t="s">
        <v>81</v>
      </c>
      <c r="Q22" s="100"/>
      <c r="R22" s="100"/>
      <c r="S22" s="100"/>
      <c r="T22" s="100"/>
      <c r="U22" s="168"/>
      <c r="V22" s="383" t="s">
        <v>145</v>
      </c>
      <c r="W22" s="281"/>
    </row>
    <row r="23" spans="1:23" ht="15.75" hidden="1" customHeight="1" outlineLevel="1">
      <c r="A23" s="100"/>
      <c r="B23" s="177"/>
      <c r="C23" s="177"/>
      <c r="D23" s="177"/>
      <c r="E23" s="100"/>
      <c r="F23" s="100"/>
      <c r="G23" s="100"/>
      <c r="H23" s="100"/>
      <c r="I23" s="100"/>
      <c r="J23" s="100"/>
      <c r="K23" s="386"/>
      <c r="L23" s="169"/>
      <c r="M23" s="161"/>
      <c r="N23" s="179"/>
      <c r="O23" s="162">
        <f>SUM(O20:O22)</f>
        <v>2059022.875</v>
      </c>
      <c r="P23" s="386"/>
      <c r="Q23" s="379"/>
      <c r="R23" s="379"/>
      <c r="S23" s="379"/>
      <c r="T23" s="321"/>
      <c r="U23" s="168"/>
      <c r="V23" s="382"/>
      <c r="W23" s="383"/>
    </row>
    <row r="24" spans="1:23" ht="15.75" hidden="1" customHeight="1" outlineLevel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386"/>
      <c r="L24" s="169"/>
      <c r="M24" s="161"/>
      <c r="N24" s="102"/>
      <c r="O24" s="163"/>
      <c r="P24" s="386"/>
      <c r="Q24" s="379"/>
      <c r="R24" s="379"/>
      <c r="S24" s="379"/>
      <c r="T24" s="321"/>
      <c r="U24" s="168"/>
      <c r="V24" s="382" t="s">
        <v>145</v>
      </c>
      <c r="W24" s="383"/>
    </row>
    <row r="25" spans="1:23" ht="15.75" hidden="1" customHeight="1" outlineLevel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386"/>
      <c r="L25" s="169" t="s">
        <v>146</v>
      </c>
      <c r="M25" s="161">
        <f>+M10*1.2</f>
        <v>-101208.40228058152</v>
      </c>
      <c r="N25" s="102">
        <v>6</v>
      </c>
      <c r="O25" s="163">
        <f>+N25*M25</f>
        <v>-607250.41368348908</v>
      </c>
      <c r="P25" s="386" t="s">
        <v>147</v>
      </c>
      <c r="Q25" s="379"/>
      <c r="R25" s="379"/>
      <c r="S25" s="379"/>
      <c r="T25" s="321"/>
      <c r="U25" s="168"/>
      <c r="V25" s="382"/>
      <c r="W25" s="383"/>
    </row>
    <row r="26" spans="1:23" ht="15.75" hidden="1" customHeight="1" outlineLevel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386"/>
      <c r="L26" s="169" t="s">
        <v>84</v>
      </c>
      <c r="M26" s="161">
        <f>-'04 MFG Batch 0001 Cost (330pc)'!I44</f>
        <v>-945</v>
      </c>
      <c r="N26" s="330">
        <v>1000</v>
      </c>
      <c r="O26" s="163">
        <f>+M26*N26</f>
        <v>-945000</v>
      </c>
      <c r="P26" s="392" t="s">
        <v>148</v>
      </c>
      <c r="Q26" s="379"/>
      <c r="R26" s="379"/>
      <c r="S26" s="379"/>
      <c r="T26" s="321"/>
      <c r="U26" s="168"/>
      <c r="V26" s="382"/>
      <c r="W26" s="383"/>
    </row>
    <row r="27" spans="1:23" ht="15.75" hidden="1" customHeight="1" outlineLevel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386"/>
      <c r="L27" s="169" t="s">
        <v>90</v>
      </c>
      <c r="M27" s="161">
        <f>-'10 Laser Balancing Int vs Ext'!B42</f>
        <v>-320248.8</v>
      </c>
      <c r="N27" s="100">
        <v>1</v>
      </c>
      <c r="O27" s="163">
        <f>M27*N27</f>
        <v>-320248.8</v>
      </c>
      <c r="P27" s="100" t="s">
        <v>149</v>
      </c>
      <c r="Q27" s="100"/>
      <c r="R27" s="100"/>
      <c r="S27" s="100"/>
      <c r="T27" s="100"/>
      <c r="U27" s="168"/>
      <c r="V27" s="383"/>
      <c r="W27" s="281" t="s">
        <v>150</v>
      </c>
    </row>
    <row r="28" spans="1:23" ht="15.75" hidden="1" customHeight="1" outlineLevel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386"/>
      <c r="L28" s="169" t="s">
        <v>92</v>
      </c>
      <c r="M28" s="161">
        <v>-75000</v>
      </c>
      <c r="N28" s="100">
        <v>1</v>
      </c>
      <c r="O28" s="163">
        <f>M28*N28</f>
        <v>-75000</v>
      </c>
      <c r="P28" s="100" t="s">
        <v>93</v>
      </c>
      <c r="Q28" s="100"/>
      <c r="R28" s="100"/>
      <c r="S28" s="100"/>
      <c r="T28" s="100"/>
      <c r="U28" s="168"/>
      <c r="V28" s="383" t="s">
        <v>151</v>
      </c>
      <c r="W28" s="281"/>
    </row>
    <row r="29" spans="1:23" ht="15.75" hidden="1" customHeight="1" outlineLevel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386"/>
      <c r="L29" s="388" t="s">
        <v>94</v>
      </c>
      <c r="M29" s="181">
        <f>IF(M2&gt;50%,-250000*M2,0)</f>
        <v>0</v>
      </c>
      <c r="N29" s="100">
        <v>1</v>
      </c>
      <c r="O29" s="163">
        <f t="shared" ref="O29:O30" si="0">M29*N29</f>
        <v>0</v>
      </c>
      <c r="P29" s="100" t="s">
        <v>152</v>
      </c>
      <c r="Q29" s="100"/>
      <c r="R29" s="100"/>
      <c r="S29" s="100"/>
      <c r="T29" s="100"/>
      <c r="U29" s="168"/>
      <c r="V29" s="383"/>
      <c r="W29" s="281"/>
    </row>
    <row r="30" spans="1:23" ht="15.75" hidden="1" customHeight="1" outlineLevel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386"/>
      <c r="L30" s="388" t="s">
        <v>96</v>
      </c>
      <c r="M30" s="181">
        <f>IF(M2&gt;50%,-200000*M2,0)</f>
        <v>0</v>
      </c>
      <c r="N30" s="100">
        <v>1</v>
      </c>
      <c r="O30" s="163">
        <f t="shared" si="0"/>
        <v>0</v>
      </c>
      <c r="P30" s="100" t="s">
        <v>153</v>
      </c>
      <c r="Q30" s="100"/>
      <c r="R30" s="100"/>
      <c r="S30" s="100"/>
      <c r="T30" s="100"/>
      <c r="U30" s="168"/>
      <c r="V30" s="383"/>
      <c r="W30" s="281"/>
    </row>
    <row r="31" spans="1:23" ht="15.75" hidden="1" customHeight="1" outlineLevel="1">
      <c r="A31" s="100"/>
      <c r="B31" s="177"/>
      <c r="C31" s="177"/>
      <c r="D31" s="177"/>
      <c r="E31" s="100"/>
      <c r="F31" s="100"/>
      <c r="G31" s="100"/>
      <c r="H31" s="100"/>
      <c r="I31" s="100"/>
      <c r="J31" s="100"/>
      <c r="K31" s="386"/>
      <c r="L31" s="388"/>
      <c r="M31" s="379"/>
      <c r="N31" s="379"/>
      <c r="O31" s="331">
        <f>SUM(O25:O30)</f>
        <v>-1947499.213683489</v>
      </c>
      <c r="P31" s="100"/>
      <c r="Q31" s="100"/>
      <c r="R31" s="100"/>
      <c r="S31" s="100"/>
      <c r="T31" s="100"/>
      <c r="U31" s="168"/>
      <c r="V31" s="383"/>
      <c r="W31" s="281"/>
    </row>
    <row r="32" spans="1:23" ht="15.75" hidden="1" customHeight="1" outlineLevel="1">
      <c r="A32" s="100"/>
      <c r="B32" s="177"/>
      <c r="C32" s="177"/>
      <c r="D32" s="177"/>
      <c r="E32" s="100"/>
      <c r="F32" s="100"/>
      <c r="G32" s="100"/>
      <c r="H32" s="100"/>
      <c r="I32" s="100"/>
      <c r="J32" s="100"/>
      <c r="K32" s="386"/>
      <c r="L32" s="388"/>
      <c r="M32" s="379"/>
      <c r="N32" s="379"/>
      <c r="O32" s="331"/>
      <c r="P32" s="100"/>
      <c r="Q32" s="100"/>
      <c r="R32" s="100"/>
      <c r="S32" s="100"/>
      <c r="T32" s="100"/>
      <c r="U32" s="168"/>
      <c r="V32" s="383"/>
      <c r="W32" s="281"/>
    </row>
    <row r="33" spans="1:23" ht="15.75" hidden="1" customHeight="1" outlineLevel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386"/>
      <c r="L33" s="269" t="s">
        <v>154</v>
      </c>
      <c r="M33" s="350"/>
      <c r="N33" s="105"/>
      <c r="O33" s="270">
        <f>+O23+O31</f>
        <v>111523.66131651099</v>
      </c>
      <c r="P33" s="386"/>
      <c r="Q33" s="379"/>
      <c r="R33" s="379"/>
      <c r="S33" s="379"/>
      <c r="T33" s="321"/>
      <c r="U33" s="168"/>
      <c r="V33" s="382"/>
      <c r="W33" s="383"/>
    </row>
    <row r="34" spans="1:23" ht="15.75" hidden="1" customHeight="1" outlineLevel="1">
      <c r="A34" s="100"/>
      <c r="B34" s="165"/>
      <c r="C34" s="165"/>
      <c r="D34" s="165"/>
      <c r="E34" s="100"/>
      <c r="F34" s="100"/>
      <c r="G34" s="100"/>
      <c r="H34" s="100"/>
      <c r="I34" s="100"/>
      <c r="J34" s="100"/>
      <c r="K34" s="386"/>
      <c r="L34" s="385"/>
      <c r="M34" s="355"/>
      <c r="N34" s="356"/>
      <c r="O34" s="357"/>
      <c r="P34" s="386"/>
      <c r="Q34" s="379"/>
      <c r="R34" s="379"/>
      <c r="S34" s="379"/>
      <c r="T34" s="321"/>
      <c r="U34" s="168"/>
      <c r="V34" s="382"/>
      <c r="W34" s="383"/>
    </row>
    <row r="35" spans="1:23" s="57" customFormat="1" ht="15.75" hidden="1" customHeight="1" outlineLevel="1">
      <c r="A35" s="101"/>
      <c r="B35" s="358"/>
      <c r="C35" s="358"/>
      <c r="D35" s="358"/>
      <c r="E35" s="101"/>
      <c r="F35" s="101"/>
      <c r="G35" s="101"/>
      <c r="H35" s="101"/>
      <c r="I35" s="101"/>
      <c r="J35" s="101"/>
      <c r="K35" s="384"/>
      <c r="L35" s="385" t="s">
        <v>155</v>
      </c>
      <c r="M35" s="359"/>
      <c r="N35" s="359"/>
      <c r="O35" s="377">
        <f>-IF(+O16+O33&lt;=0,+O16+O33,0)</f>
        <v>1219136.6027728508</v>
      </c>
      <c r="P35" s="101"/>
      <c r="Q35" s="101"/>
      <c r="R35" s="101"/>
      <c r="S35" s="101"/>
      <c r="T35" s="101"/>
      <c r="U35" s="361"/>
      <c r="V35" s="362"/>
      <c r="W35" s="282"/>
    </row>
    <row r="36" spans="1:23" ht="15.75" hidden="1" customHeight="1" outlineLevel="1">
      <c r="L36" s="364"/>
      <c r="M36" s="365"/>
      <c r="N36" s="365"/>
      <c r="O36" s="365"/>
      <c r="P36" s="365"/>
      <c r="Q36" s="365"/>
      <c r="R36" s="365"/>
      <c r="S36" s="365"/>
      <c r="T36" s="365"/>
      <c r="U36" s="366"/>
    </row>
    <row r="37" spans="1:23" ht="13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U37" s="165"/>
      <c r="V37" s="281"/>
      <c r="W37" s="281"/>
    </row>
    <row r="38" spans="1:23" ht="1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281"/>
      <c r="W38" s="281"/>
    </row>
    <row r="39" spans="1:23" ht="13" hidden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 t="s">
        <v>156</v>
      </c>
      <c r="M39" s="100">
        <v>15000</v>
      </c>
      <c r="N39" s="100"/>
      <c r="O39" s="100"/>
      <c r="P39" s="100"/>
      <c r="Q39" s="100"/>
      <c r="R39" s="100"/>
      <c r="S39" s="100"/>
      <c r="T39" s="100"/>
      <c r="U39" s="100"/>
      <c r="V39" s="281"/>
      <c r="W39" s="281"/>
    </row>
    <row r="40" spans="1:23" ht="13" hidden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 t="s">
        <v>157</v>
      </c>
      <c r="M40" s="100">
        <v>50000</v>
      </c>
      <c r="N40" s="100"/>
      <c r="O40" s="100"/>
      <c r="P40" s="100"/>
      <c r="Q40" s="100"/>
      <c r="R40" s="100"/>
      <c r="S40" s="100"/>
      <c r="T40" s="100"/>
      <c r="U40" s="100"/>
      <c r="V40" s="281"/>
      <c r="W40" s="281"/>
    </row>
    <row r="41" spans="1:23" ht="13" collapsed="1">
      <c r="A41" s="581" t="s">
        <v>125</v>
      </c>
      <c r="B41" s="577"/>
      <c r="C41" s="100"/>
      <c r="D41" s="100"/>
      <c r="E41" s="100"/>
      <c r="F41" s="100"/>
      <c r="G41" s="100"/>
      <c r="H41" s="100"/>
      <c r="I41" s="100"/>
      <c r="J41" s="100"/>
      <c r="K41" s="100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281"/>
      <c r="W41" s="281"/>
    </row>
    <row r="42" spans="1:23" ht="13" hidden="1" outlineLevel="1">
      <c r="A42" s="100" t="s">
        <v>126</v>
      </c>
      <c r="B42" s="100" t="s">
        <v>127</v>
      </c>
      <c r="C42" s="100"/>
      <c r="D42" s="102" t="s">
        <v>128</v>
      </c>
      <c r="E42" s="100"/>
      <c r="F42" s="100"/>
      <c r="G42" s="100"/>
      <c r="H42" s="100"/>
      <c r="I42" s="100"/>
      <c r="J42" s="100"/>
      <c r="K42" s="386"/>
      <c r="L42" s="304" t="s">
        <v>134</v>
      </c>
      <c r="M42" s="166"/>
      <c r="N42" s="166"/>
      <c r="O42" s="166"/>
      <c r="P42" s="166"/>
      <c r="Q42" s="166"/>
      <c r="R42" s="166"/>
      <c r="S42" s="166"/>
      <c r="T42" s="166"/>
      <c r="U42" s="167"/>
      <c r="V42" s="383"/>
      <c r="W42" s="281"/>
    </row>
    <row r="43" spans="1:23" ht="13" hidden="1" outlineLevel="1">
      <c r="A43" s="100" t="s">
        <v>129</v>
      </c>
      <c r="B43" s="100" t="s">
        <v>109</v>
      </c>
      <c r="C43" s="102">
        <v>100</v>
      </c>
      <c r="D43" s="102" t="s">
        <v>56</v>
      </c>
      <c r="E43" s="100"/>
      <c r="F43" s="100"/>
      <c r="G43" s="100"/>
      <c r="H43" s="100"/>
      <c r="I43" s="100"/>
      <c r="J43" s="100"/>
      <c r="K43" s="386"/>
      <c r="L43" s="169"/>
      <c r="M43" s="100"/>
      <c r="N43" s="100"/>
      <c r="O43" s="100"/>
      <c r="P43" s="100"/>
      <c r="Q43" s="100"/>
      <c r="R43" s="100"/>
      <c r="S43" s="100"/>
      <c r="T43" s="100"/>
      <c r="U43" s="168"/>
      <c r="V43" s="383"/>
      <c r="W43" s="281"/>
    </row>
    <row r="44" spans="1:23" ht="13" hidden="1" outlineLevel="1">
      <c r="A44" s="100"/>
      <c r="B44" s="100"/>
      <c r="C44" s="101" t="s">
        <v>130</v>
      </c>
      <c r="D44" s="108" t="s">
        <v>131</v>
      </c>
      <c r="E44" s="100"/>
      <c r="F44" s="100"/>
      <c r="G44" s="100"/>
      <c r="H44" s="100"/>
      <c r="I44" s="100"/>
      <c r="J44" s="100"/>
      <c r="K44" s="386"/>
      <c r="L44" s="322" t="str">
        <f>+L7</f>
        <v>Inventory Loan</v>
      </c>
      <c r="M44" s="363">
        <f>+M7</f>
        <v>357812.5</v>
      </c>
      <c r="N44" s="363">
        <f>+N7</f>
        <v>1</v>
      </c>
      <c r="O44" s="363">
        <f>+O7</f>
        <v>357812.5</v>
      </c>
      <c r="U44" s="323"/>
      <c r="V44" s="383"/>
      <c r="W44" s="281"/>
    </row>
    <row r="45" spans="1:23" ht="13" hidden="1" outlineLevel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386"/>
      <c r="L45" s="169" t="str">
        <f>+L20</f>
        <v>Sales of batch 1</v>
      </c>
      <c r="M45" s="354"/>
      <c r="N45" s="354">
        <f t="shared" ref="N45:O47" si="1">+N20</f>
        <v>75</v>
      </c>
      <c r="O45" s="354">
        <f t="shared" si="1"/>
        <v>1086000</v>
      </c>
      <c r="P45" s="100"/>
      <c r="Q45" s="100"/>
      <c r="R45" s="100"/>
      <c r="S45" s="100"/>
      <c r="T45" s="100"/>
      <c r="U45" s="168"/>
      <c r="V45" s="383"/>
      <c r="W45" s="281"/>
    </row>
    <row r="46" spans="1:23" ht="13" hidden="1" outlineLevel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386"/>
      <c r="L46" s="169" t="str">
        <f>+L21</f>
        <v>Sales of batch 2</v>
      </c>
      <c r="M46" s="354"/>
      <c r="N46" s="354">
        <f t="shared" si="1"/>
        <v>175</v>
      </c>
      <c r="O46" s="354">
        <f t="shared" si="1"/>
        <v>853137.5</v>
      </c>
      <c r="P46" s="100"/>
      <c r="Q46" s="100"/>
      <c r="R46" s="100"/>
      <c r="S46" s="100"/>
      <c r="T46" s="100"/>
      <c r="U46" s="168"/>
      <c r="V46" s="383"/>
      <c r="W46" s="281"/>
    </row>
    <row r="47" spans="1:23" ht="13" hidden="1" outlineLevel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386"/>
      <c r="L47" s="169" t="str">
        <f>+L22</f>
        <v>Reimbursement of MRA grants</v>
      </c>
      <c r="M47" s="354"/>
      <c r="N47" s="354">
        <f t="shared" si="1"/>
        <v>0</v>
      </c>
      <c r="O47" s="354">
        <f t="shared" si="1"/>
        <v>119885.375</v>
      </c>
      <c r="P47" s="100" t="str">
        <f>+P22</f>
        <v>See MRA grant tab</v>
      </c>
      <c r="Q47" s="100"/>
      <c r="R47" s="100"/>
      <c r="S47" s="100"/>
      <c r="T47" s="100"/>
      <c r="U47" s="168"/>
      <c r="V47" s="383"/>
      <c r="W47" s="281"/>
    </row>
    <row r="48" spans="1:23" s="57" customFormat="1" ht="13" hidden="1" outlineLevel="1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384"/>
      <c r="L48" s="269"/>
      <c r="M48" s="101"/>
      <c r="N48" s="101"/>
      <c r="O48" s="368">
        <f>SUM(O44:O47)</f>
        <v>2416835.375</v>
      </c>
      <c r="P48" s="101"/>
      <c r="Q48" s="101"/>
      <c r="R48" s="101"/>
      <c r="S48" s="101"/>
      <c r="T48" s="101"/>
      <c r="U48" s="361"/>
      <c r="V48" s="362"/>
      <c r="W48" s="282"/>
    </row>
    <row r="49" spans="1:23" ht="13" hidden="1" outlineLevel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386"/>
      <c r="L49" s="169"/>
      <c r="M49" s="100"/>
      <c r="N49" s="100"/>
      <c r="O49" s="100"/>
      <c r="P49" s="100"/>
      <c r="Q49" s="100"/>
      <c r="R49" s="100"/>
      <c r="S49" s="100"/>
      <c r="T49" s="100"/>
      <c r="U49" s="168"/>
      <c r="V49" s="383"/>
      <c r="W49" s="281"/>
    </row>
    <row r="50" spans="1:23" ht="13" hidden="1" outlineLevel="1">
      <c r="A50" s="100"/>
      <c r="B50" s="100"/>
      <c r="C50" s="101" t="s">
        <v>68</v>
      </c>
      <c r="D50" s="105" t="s">
        <v>132</v>
      </c>
      <c r="E50" s="100"/>
      <c r="F50" s="100"/>
      <c r="G50" s="100"/>
      <c r="H50" s="100"/>
      <c r="I50" s="100"/>
      <c r="J50" s="100"/>
      <c r="K50" s="386"/>
      <c r="L50" s="169"/>
      <c r="M50" s="100"/>
      <c r="N50" s="100"/>
      <c r="O50" s="100"/>
      <c r="P50" s="100"/>
      <c r="Q50" s="100"/>
      <c r="R50" s="100"/>
      <c r="S50" s="100"/>
      <c r="T50" s="100"/>
      <c r="U50" s="168"/>
      <c r="V50" s="383"/>
      <c r="W50" s="281"/>
    </row>
    <row r="51" spans="1:23" ht="13" hidden="1" outlineLevel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386"/>
      <c r="L51" s="169" t="str">
        <f>+L10</f>
        <v>OPEX (1st 6 months runway)</v>
      </c>
      <c r="M51" s="354">
        <f>+M10</f>
        <v>-84340.335233817939</v>
      </c>
      <c r="N51" s="354">
        <f>+N10</f>
        <v>6</v>
      </c>
      <c r="O51" s="354">
        <f>+O10</f>
        <v>-506042.01140290766</v>
      </c>
      <c r="P51" s="100"/>
      <c r="Q51" s="100"/>
      <c r="R51" s="100"/>
      <c r="S51" s="100"/>
      <c r="T51" s="100"/>
      <c r="U51" s="168"/>
      <c r="V51" s="383"/>
      <c r="W51" s="281"/>
    </row>
    <row r="52" spans="1:23" ht="15.75" hidden="1" customHeight="1" outlineLevel="1">
      <c r="L52" s="322" t="str">
        <f>+L25</f>
        <v>OPEX (2nd 6 months runway)</v>
      </c>
      <c r="M52" s="363">
        <f>+M25</f>
        <v>-101208.40228058152</v>
      </c>
      <c r="N52" s="363">
        <f>+N25</f>
        <v>6</v>
      </c>
      <c r="O52" s="363">
        <f>+O25</f>
        <v>-607250.41368348908</v>
      </c>
      <c r="P52" t="str">
        <f>+P25</f>
        <v>OPEX increases by 20% - USA &amp; China OPEX</v>
      </c>
      <c r="U52" s="323"/>
    </row>
    <row r="53" spans="1:23" ht="15.75" hidden="1" customHeight="1" outlineLevel="1">
      <c r="L53" s="322" t="str">
        <f t="shared" ref="L53:P55" si="2">+L11</f>
        <v>Manufacture - batch 1</v>
      </c>
      <c r="M53" s="363">
        <f t="shared" si="2"/>
        <v>0</v>
      </c>
      <c r="N53" s="363">
        <f t="shared" si="2"/>
        <v>330</v>
      </c>
      <c r="O53" s="363">
        <f t="shared" si="2"/>
        <v>-410263.91524878464</v>
      </c>
      <c r="P53" t="str">
        <f t="shared" si="2"/>
        <v>BOM with NRE costs (BOM @ 330 units)</v>
      </c>
      <c r="U53" s="323"/>
    </row>
    <row r="54" spans="1:23" ht="15.75" hidden="1" customHeight="1" outlineLevel="1">
      <c r="L54" s="322" t="str">
        <f t="shared" si="2"/>
        <v>Manufacture - batch 2</v>
      </c>
      <c r="M54" s="363">
        <f t="shared" si="2"/>
        <v>-1050.9526249109565</v>
      </c>
      <c r="N54" s="363">
        <f t="shared" si="2"/>
        <v>700</v>
      </c>
      <c r="O54" s="363">
        <f t="shared" si="2"/>
        <v>-735666.83743766951</v>
      </c>
      <c r="P54" t="str">
        <f t="shared" si="2"/>
        <v>BOM without NRE costs (BOM @ 330 units)</v>
      </c>
      <c r="U54" s="323"/>
    </row>
    <row r="55" spans="1:23" ht="15.75" hidden="1" customHeight="1" outlineLevel="1">
      <c r="L55" s="322" t="str">
        <f t="shared" si="2"/>
        <v>Other incidental costs</v>
      </c>
      <c r="M55" s="363">
        <f t="shared" si="2"/>
        <v>-36500</v>
      </c>
      <c r="N55" s="363">
        <f t="shared" si="2"/>
        <v>1</v>
      </c>
      <c r="O55" s="363">
        <f t="shared" si="2"/>
        <v>-36500</v>
      </c>
      <c r="P55" t="str">
        <f t="shared" si="2"/>
        <v>Include US$28K testing on packaging and EMC and consigned parts to PI</v>
      </c>
      <c r="U55" s="323"/>
    </row>
    <row r="56" spans="1:23" ht="15.75" hidden="1" customHeight="1" outlineLevel="1">
      <c r="L56" s="322" t="str">
        <f t="shared" ref="L56:O60" si="3">+L26</f>
        <v>Manufacture - batch 3</v>
      </c>
      <c r="M56" s="363">
        <f t="shared" si="3"/>
        <v>-945</v>
      </c>
      <c r="N56" s="363">
        <f t="shared" si="3"/>
        <v>1000</v>
      </c>
      <c r="O56" s="363">
        <f t="shared" si="3"/>
        <v>-945000</v>
      </c>
      <c r="U56" s="323"/>
    </row>
    <row r="57" spans="1:23" ht="15.75" hidden="1" customHeight="1" outlineLevel="1">
      <c r="L57" s="322" t="str">
        <f t="shared" si="3"/>
        <v>CAPEX - Laser Balancing Machine</v>
      </c>
      <c r="M57" s="363">
        <f t="shared" si="3"/>
        <v>-320248.8</v>
      </c>
      <c r="N57" s="363">
        <f t="shared" si="3"/>
        <v>1</v>
      </c>
      <c r="O57" s="363">
        <f t="shared" si="3"/>
        <v>-320248.8</v>
      </c>
      <c r="P57" t="str">
        <f>+P27</f>
        <v>Assuming worst case - procure fully from supplier; Realistically, we will look to finance.</v>
      </c>
      <c r="U57" s="323"/>
    </row>
    <row r="58" spans="1:23" ht="15.75" hidden="1" customHeight="1" outlineLevel="1">
      <c r="L58" s="322" t="str">
        <f t="shared" si="3"/>
        <v>CAPEX - USA and China Office</v>
      </c>
      <c r="M58" s="363">
        <f t="shared" si="3"/>
        <v>-75000</v>
      </c>
      <c r="N58" s="363">
        <f t="shared" si="3"/>
        <v>1</v>
      </c>
      <c r="O58" s="363">
        <f t="shared" si="3"/>
        <v>-75000</v>
      </c>
      <c r="P58" t="str">
        <f>+P28</f>
        <v>Unlikely to cost this much.</v>
      </c>
      <c r="U58" s="323"/>
    </row>
    <row r="59" spans="1:23" ht="15.75" hidden="1" customHeight="1" outlineLevel="1">
      <c r="L59" s="322" t="str">
        <f t="shared" si="3"/>
        <v>Clinical Trial</v>
      </c>
      <c r="M59" s="363">
        <f t="shared" si="3"/>
        <v>0</v>
      </c>
      <c r="N59" s="363">
        <f t="shared" si="3"/>
        <v>1</v>
      </c>
      <c r="O59" s="363">
        <f t="shared" si="3"/>
        <v>0</v>
      </c>
      <c r="P59" t="str">
        <f>+P29</f>
        <v>Clinical trial for Y1 - will not commit until sufficient sales; left here as worst case scenario.</v>
      </c>
      <c r="U59" s="323"/>
    </row>
    <row r="60" spans="1:23" ht="15.75" hidden="1" customHeight="1" outlineLevel="1">
      <c r="L60" s="322" t="str">
        <f t="shared" si="3"/>
        <v>R&amp;D for next generation</v>
      </c>
      <c r="M60" s="363">
        <f t="shared" si="3"/>
        <v>0</v>
      </c>
      <c r="N60" s="363">
        <f t="shared" si="3"/>
        <v>1</v>
      </c>
      <c r="O60" s="363">
        <f t="shared" si="3"/>
        <v>0</v>
      </c>
      <c r="P60" t="str">
        <f>+P30</f>
        <v>Y1 R&amp;D - will not commit until sufficient sales; left here as worst case scenario. LOI signed with Vietnam development partner.</v>
      </c>
      <c r="U60" s="323"/>
    </row>
    <row r="61" spans="1:23" s="57" customFormat="1" ht="15.75" hidden="1" customHeight="1" outlineLevel="1">
      <c r="L61" s="369"/>
      <c r="O61" s="370">
        <f>SUM(O51:O60)</f>
        <v>-3635971.9777728505</v>
      </c>
      <c r="U61" s="371"/>
      <c r="V61" s="367"/>
      <c r="W61" s="367"/>
    </row>
    <row r="62" spans="1:23" ht="15.75" hidden="1" customHeight="1" outlineLevel="1">
      <c r="L62" s="322"/>
      <c r="U62" s="323"/>
    </row>
    <row r="63" spans="1:23" s="57" customFormat="1" ht="15.75" hidden="1" customHeight="1" outlineLevel="1">
      <c r="L63" s="369" t="str">
        <f>+L33</f>
        <v>Cash Surplus +ve/Cash Deficit -ve</v>
      </c>
      <c r="O63" s="370">
        <f>+O48+O61</f>
        <v>-1219136.6027728505</v>
      </c>
      <c r="U63" s="371"/>
      <c r="V63" s="367"/>
      <c r="W63" s="367"/>
    </row>
    <row r="64" spans="1:23" s="57" customFormat="1" ht="15.75" hidden="1" customHeight="1" outlineLevel="1">
      <c r="L64" s="369"/>
      <c r="U64" s="371"/>
      <c r="V64" s="367"/>
      <c r="W64" s="367"/>
    </row>
    <row r="65" spans="12:23" s="57" customFormat="1" ht="15.75" hidden="1" customHeight="1" outlineLevel="1">
      <c r="L65" s="369" t="str">
        <f>L35</f>
        <v>TOTAL FUNDS REQUIRED</v>
      </c>
      <c r="O65" s="370">
        <f>+O35</f>
        <v>1219136.6027728508</v>
      </c>
      <c r="U65" s="371"/>
      <c r="V65" s="367"/>
      <c r="W65" s="367"/>
    </row>
    <row r="66" spans="12:23" ht="15.75" hidden="1" customHeight="1" outlineLevel="1">
      <c r="L66" s="364"/>
      <c r="M66" s="365"/>
      <c r="N66" s="365"/>
      <c r="O66" s="365"/>
      <c r="P66" s="365"/>
      <c r="Q66" s="365"/>
      <c r="R66" s="365"/>
      <c r="S66" s="365"/>
      <c r="T66" s="365"/>
      <c r="U66" s="366"/>
    </row>
    <row r="69" spans="12:23" ht="15.75" customHeight="1">
      <c r="L69" s="57" t="s">
        <v>134</v>
      </c>
      <c r="M69" s="374" t="s">
        <v>158</v>
      </c>
      <c r="N69" s="374" t="s">
        <v>159</v>
      </c>
      <c r="O69" s="374" t="s">
        <v>158</v>
      </c>
    </row>
    <row r="70" spans="12:23" ht="15.75" customHeight="1">
      <c r="L70" s="393" t="str">
        <f>"Assuming "&amp;M2&amp;" of the Sales KPI achieved"</f>
        <v>Assuming 0.25 of the Sales KPI achieved</v>
      </c>
    </row>
    <row r="71" spans="12:23" ht="15.75" customHeight="1">
      <c r="L71" s="325" t="str">
        <f t="shared" ref="L71:O75" si="4">+L44</f>
        <v>Inventory Loan</v>
      </c>
      <c r="M71" s="325"/>
      <c r="N71" s="325"/>
      <c r="O71" s="325">
        <f>+O44</f>
        <v>357812.5</v>
      </c>
    </row>
    <row r="72" spans="12:23" ht="15.75" customHeight="1">
      <c r="L72" s="325" t="str">
        <f t="shared" si="4"/>
        <v>Sales of batch 1</v>
      </c>
      <c r="M72" s="325"/>
      <c r="N72" s="325">
        <f t="shared" si="4"/>
        <v>75</v>
      </c>
      <c r="O72" s="325">
        <f t="shared" si="4"/>
        <v>1086000</v>
      </c>
      <c r="P72" t="s">
        <v>160</v>
      </c>
    </row>
    <row r="73" spans="12:23" ht="15.75" customHeight="1">
      <c r="L73" s="325" t="str">
        <f t="shared" si="4"/>
        <v>Sales of batch 2</v>
      </c>
      <c r="M73" s="325"/>
      <c r="N73" s="325">
        <f t="shared" si="4"/>
        <v>175</v>
      </c>
      <c r="O73" s="325">
        <f t="shared" si="4"/>
        <v>853137.5</v>
      </c>
      <c r="P73" t="s">
        <v>160</v>
      </c>
    </row>
    <row r="74" spans="12:23" ht="15.75" customHeight="1">
      <c r="L74" s="325" t="str">
        <f t="shared" si="4"/>
        <v>Reimbursement of MRA grants</v>
      </c>
      <c r="M74" s="325"/>
      <c r="N74" s="325"/>
      <c r="O74" s="325">
        <f t="shared" si="4"/>
        <v>119885.375</v>
      </c>
      <c r="P74" t="str">
        <f>P22</f>
        <v>See MRA grant tab</v>
      </c>
    </row>
    <row r="75" spans="12:23" s="57" customFormat="1" ht="15.75" customHeight="1">
      <c r="L75" s="372"/>
      <c r="M75" s="372"/>
      <c r="N75" s="372"/>
      <c r="O75" s="372">
        <f t="shared" si="4"/>
        <v>2416835.375</v>
      </c>
      <c r="V75" s="367"/>
      <c r="W75" s="367"/>
    </row>
    <row r="76" spans="12:23" ht="15.75" customHeight="1">
      <c r="L76" s="325"/>
      <c r="M76" s="325"/>
      <c r="N76" s="325"/>
      <c r="O76" s="325"/>
    </row>
    <row r="77" spans="12:23" ht="15.75" customHeight="1">
      <c r="L77" s="325"/>
      <c r="M77" s="325"/>
      <c r="N77" s="325"/>
      <c r="O77" s="325"/>
    </row>
    <row r="78" spans="12:23" ht="15.75" customHeight="1">
      <c r="L78" s="325" t="str">
        <f t="shared" ref="L78:O88" si="5">+L51</f>
        <v>OPEX (1st 6 months runway)</v>
      </c>
      <c r="M78" s="325">
        <f t="shared" si="5"/>
        <v>-84340.335233817939</v>
      </c>
      <c r="N78" s="325">
        <f t="shared" si="5"/>
        <v>6</v>
      </c>
      <c r="O78" s="325">
        <f t="shared" si="5"/>
        <v>-506042.01140290766</v>
      </c>
    </row>
    <row r="79" spans="12:23" ht="15.75" customHeight="1">
      <c r="L79" s="325" t="str">
        <f t="shared" si="5"/>
        <v>OPEX (2nd 6 months runway)</v>
      </c>
      <c r="M79" s="325">
        <f t="shared" si="5"/>
        <v>-101208.40228058152</v>
      </c>
      <c r="N79" s="325">
        <f t="shared" si="5"/>
        <v>6</v>
      </c>
      <c r="O79" s="325">
        <f t="shared" si="5"/>
        <v>-607250.41368348908</v>
      </c>
      <c r="P79" t="str">
        <f>P25</f>
        <v>OPEX increases by 20% - USA &amp; China OPEX</v>
      </c>
    </row>
    <row r="80" spans="12:23" ht="15.75" customHeight="1">
      <c r="L80" s="325" t="str">
        <f t="shared" si="5"/>
        <v>Manufacture - batch 1</v>
      </c>
      <c r="M80" s="325"/>
      <c r="N80" s="325">
        <f t="shared" si="5"/>
        <v>330</v>
      </c>
      <c r="O80" s="325">
        <f t="shared" si="5"/>
        <v>-410263.91524878464</v>
      </c>
      <c r="P80" t="str">
        <f>P11</f>
        <v>BOM with NRE costs (BOM @ 330 units)</v>
      </c>
    </row>
    <row r="81" spans="12:23" ht="15.75" customHeight="1">
      <c r="L81" s="325" t="str">
        <f t="shared" si="5"/>
        <v>Manufacture - batch 2</v>
      </c>
      <c r="M81" s="325">
        <f t="shared" si="5"/>
        <v>-1050.9526249109565</v>
      </c>
      <c r="N81" s="325">
        <f t="shared" si="5"/>
        <v>700</v>
      </c>
      <c r="O81" s="325">
        <f t="shared" si="5"/>
        <v>-735666.83743766951</v>
      </c>
      <c r="P81" t="str">
        <f>P12</f>
        <v>BOM without NRE costs (BOM @ 330 units)</v>
      </c>
    </row>
    <row r="82" spans="12:23" ht="15.75" customHeight="1">
      <c r="L82" s="325" t="str">
        <f t="shared" si="5"/>
        <v>Other incidental costs</v>
      </c>
      <c r="M82" s="325"/>
      <c r="N82" s="325"/>
      <c r="O82" s="325">
        <f t="shared" si="5"/>
        <v>-36500</v>
      </c>
      <c r="P82" t="str">
        <f>P13</f>
        <v>Include US$28K testing on packaging and EMC and consigned parts to PI</v>
      </c>
    </row>
    <row r="83" spans="12:23" ht="15.75" customHeight="1">
      <c r="L83" s="325" t="str">
        <f t="shared" si="5"/>
        <v>Manufacture - batch 3</v>
      </c>
      <c r="M83" s="325">
        <f t="shared" si="5"/>
        <v>-945</v>
      </c>
      <c r="N83" s="325">
        <f t="shared" si="5"/>
        <v>1000</v>
      </c>
      <c r="O83" s="325">
        <f t="shared" si="5"/>
        <v>-945000</v>
      </c>
      <c r="P83" t="str">
        <f>P26</f>
        <v>Assuming worst case - sales pushed out to next calendar year</v>
      </c>
    </row>
    <row r="84" spans="12:23" ht="15.75" customHeight="1">
      <c r="L84" s="325" t="str">
        <f t="shared" si="5"/>
        <v>CAPEX - Laser Balancing Machine</v>
      </c>
      <c r="M84" s="325"/>
      <c r="N84" s="325"/>
      <c r="O84" s="325">
        <f t="shared" si="5"/>
        <v>-320248.8</v>
      </c>
      <c r="P84" t="str">
        <f>P27</f>
        <v>Assuming worst case - procure fully from supplier; Realistically, we will look to finance.</v>
      </c>
    </row>
    <row r="85" spans="12:23" ht="15.75" customHeight="1">
      <c r="L85" s="325" t="str">
        <f t="shared" si="5"/>
        <v>CAPEX - USA and China Office</v>
      </c>
      <c r="M85" s="325"/>
      <c r="N85" s="325"/>
      <c r="O85" s="325">
        <f t="shared" si="5"/>
        <v>-75000</v>
      </c>
      <c r="P85" t="str">
        <f>P28</f>
        <v>Unlikely to cost this much.</v>
      </c>
    </row>
    <row r="86" spans="12:23" ht="15.75" customHeight="1">
      <c r="L86" s="325" t="str">
        <f t="shared" si="5"/>
        <v>Clinical Trial</v>
      </c>
      <c r="M86" s="325"/>
      <c r="N86" s="325"/>
      <c r="O86" s="325">
        <f t="shared" si="5"/>
        <v>0</v>
      </c>
    </row>
    <row r="87" spans="12:23" ht="15.75" customHeight="1">
      <c r="L87" s="325" t="str">
        <f t="shared" si="5"/>
        <v>R&amp;D for next generation</v>
      </c>
      <c r="M87" s="325"/>
      <c r="N87" s="325"/>
      <c r="O87" s="325">
        <f t="shared" si="5"/>
        <v>0</v>
      </c>
    </row>
    <row r="88" spans="12:23" s="57" customFormat="1" ht="15.75" customHeight="1">
      <c r="L88" s="372"/>
      <c r="M88" s="372"/>
      <c r="N88" s="372"/>
      <c r="O88" s="372">
        <f t="shared" si="5"/>
        <v>-3635971.9777728505</v>
      </c>
      <c r="V88" s="367"/>
      <c r="W88" s="367"/>
    </row>
    <row r="89" spans="12:23" s="57" customFormat="1" ht="15.75" customHeight="1">
      <c r="L89" s="325"/>
      <c r="M89" s="325"/>
      <c r="N89" s="325"/>
      <c r="O89" s="325"/>
      <c r="V89" s="367"/>
      <c r="W89" s="367"/>
    </row>
    <row r="90" spans="12:23" s="57" customFormat="1" ht="15.75" customHeight="1">
      <c r="L90" s="372" t="str">
        <f t="shared" ref="L90" si="6">+L63</f>
        <v>Cash Surplus +ve/Cash Deficit -ve</v>
      </c>
      <c r="M90" s="372"/>
      <c r="N90" s="372"/>
      <c r="O90" s="372">
        <f>+O75+O88</f>
        <v>-1219136.6027728505</v>
      </c>
      <c r="V90" s="367"/>
      <c r="W90" s="367"/>
    </row>
    <row r="91" spans="12:23" s="57" customFormat="1" ht="15.75" customHeight="1">
      <c r="L91" s="325"/>
      <c r="M91" s="325"/>
      <c r="N91" s="325"/>
      <c r="O91" s="325"/>
      <c r="V91" s="367"/>
      <c r="W91" s="367"/>
    </row>
    <row r="92" spans="12:23" ht="15.75" customHeight="1">
      <c r="L92" s="375" t="str">
        <f t="shared" ref="L92" si="7">+L65</f>
        <v>TOTAL FUNDS REQUIRED</v>
      </c>
      <c r="M92" s="373"/>
      <c r="N92" s="373"/>
      <c r="O92" s="376" t="str">
        <f>IF(O90&gt;0,0,ROUNDDOWN(+O65/1000000,1)&amp;" Million")</f>
        <v>1.2 Million</v>
      </c>
    </row>
  </sheetData>
  <mergeCells count="9">
    <mergeCell ref="P13:T13"/>
    <mergeCell ref="V13:W13"/>
    <mergeCell ref="A41:B41"/>
    <mergeCell ref="V4:W4"/>
    <mergeCell ref="L6:P6"/>
    <mergeCell ref="V6:W6"/>
    <mergeCell ref="A10:D10"/>
    <mergeCell ref="V10:W10"/>
    <mergeCell ref="V11:W11"/>
  </mergeCells>
  <dataValidations count="1">
    <dataValidation type="list" allowBlank="1" showInputMessage="1" showErrorMessage="1" sqref="M2" xr:uid="{ABC6A96D-A68B-4DEE-8E02-BDB096CBD0E1}">
      <formula1>"25%,50%,75%,100%"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A0FD4-0616-B942-88A6-5042838030F9}">
  <dimension ref="A1:O60"/>
  <sheetViews>
    <sheetView topLeftCell="A4" zoomScale="173" zoomScaleNormal="173" workbookViewId="0">
      <selection activeCell="A5" sqref="A5"/>
    </sheetView>
  </sheetViews>
  <sheetFormatPr baseColWidth="10" defaultRowHeight="13"/>
  <cols>
    <col min="1" max="1" width="26.5" style="397" customWidth="1"/>
    <col min="2" max="2" width="13.6640625" style="397" bestFit="1" customWidth="1"/>
    <col min="3" max="3" width="13.5" style="397" customWidth="1"/>
    <col min="4" max="4" width="13" style="397" customWidth="1"/>
    <col min="5" max="5" width="13.1640625" style="397" bestFit="1" customWidth="1"/>
    <col min="6" max="6" width="14.33203125" style="397" customWidth="1"/>
    <col min="7" max="11" width="15.5" style="397" customWidth="1"/>
    <col min="12" max="13" width="13.1640625" style="397" customWidth="1"/>
    <col min="14" max="14" width="13.6640625" style="397" bestFit="1" customWidth="1"/>
    <col min="15" max="16384" width="10.83203125" style="397"/>
  </cols>
  <sheetData>
    <row r="1" spans="1:15" s="398" customFormat="1" hidden="1">
      <c r="D1" s="431">
        <v>0.01</v>
      </c>
      <c r="E1" s="431">
        <v>0.02</v>
      </c>
      <c r="F1" s="431">
        <v>0.1</v>
      </c>
      <c r="G1" s="431">
        <v>0.1</v>
      </c>
      <c r="H1" s="431">
        <v>0.1</v>
      </c>
      <c r="I1" s="431">
        <v>0.1</v>
      </c>
      <c r="J1" s="431">
        <v>0.1</v>
      </c>
      <c r="K1" s="431">
        <v>0.15</v>
      </c>
      <c r="L1" s="431">
        <v>0.15</v>
      </c>
      <c r="M1" s="398">
        <f>1-SUM(D1:L1)</f>
        <v>0.16999999999999993</v>
      </c>
    </row>
    <row r="2" spans="1:15" s="398" customFormat="1" hidden="1">
      <c r="M2" s="431">
        <v>0.03</v>
      </c>
    </row>
    <row r="3" spans="1:15" hidden="1">
      <c r="M3" s="420" t="s">
        <v>490</v>
      </c>
    </row>
    <row r="4" spans="1:15">
      <c r="A4" s="422" t="s">
        <v>208</v>
      </c>
      <c r="B4" s="419"/>
      <c r="C4" s="420"/>
      <c r="J4" s="420"/>
      <c r="K4" s="420"/>
      <c r="L4" s="420"/>
      <c r="N4" s="398"/>
      <c r="O4" s="398"/>
    </row>
    <row r="5" spans="1:15">
      <c r="A5" s="422" t="s">
        <v>804</v>
      </c>
      <c r="B5" s="419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</row>
    <row r="6" spans="1:15">
      <c r="A6" s="419"/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</row>
    <row r="7" spans="1:15">
      <c r="B7" s="399">
        <v>45870</v>
      </c>
      <c r="C7" s="399">
        <f>B7+31</f>
        <v>45901</v>
      </c>
      <c r="D7" s="399">
        <f>C7+31</f>
        <v>45932</v>
      </c>
      <c r="E7" s="399">
        <f t="shared" ref="E7:M7" si="0">D7+31</f>
        <v>45963</v>
      </c>
      <c r="F7" s="399">
        <f t="shared" si="0"/>
        <v>45994</v>
      </c>
      <c r="G7" s="399">
        <f t="shared" si="0"/>
        <v>46025</v>
      </c>
      <c r="H7" s="399">
        <f t="shared" si="0"/>
        <v>46056</v>
      </c>
      <c r="I7" s="399">
        <f t="shared" si="0"/>
        <v>46087</v>
      </c>
      <c r="J7" s="399">
        <f t="shared" si="0"/>
        <v>46118</v>
      </c>
      <c r="K7" s="399">
        <f t="shared" si="0"/>
        <v>46149</v>
      </c>
      <c r="L7" s="399">
        <f t="shared" si="0"/>
        <v>46180</v>
      </c>
      <c r="M7" s="399">
        <f t="shared" si="0"/>
        <v>46211</v>
      </c>
      <c r="N7" s="400"/>
    </row>
    <row r="8" spans="1:15">
      <c r="A8" s="396" t="s">
        <v>739</v>
      </c>
    </row>
    <row r="9" spans="1:15">
      <c r="A9" s="397" t="s">
        <v>740</v>
      </c>
      <c r="B9" s="401"/>
      <c r="D9" s="401">
        <f>(($C$34*$B$37)+($E$34*$B$38))*D$1</f>
        <v>12585</v>
      </c>
      <c r="E9" s="401">
        <f>(($C$34*$B$37)+($E$34*$B$38))*E$1</f>
        <v>25170</v>
      </c>
      <c r="F9" s="401">
        <f>(($C$34*$B$37)+($E$34*$B$38))*F$1</f>
        <v>125850</v>
      </c>
      <c r="G9" s="401">
        <f>(($C$34*$B$37)+($E$34*$B$38))*G$1</f>
        <v>125850</v>
      </c>
      <c r="H9" s="401">
        <f>(($C$34*$B$37)+($E$34*$B$38))*H$1</f>
        <v>125850</v>
      </c>
      <c r="I9" s="401">
        <f t="shared" ref="I9:M9" si="1">(($C$34*$B$37)+($E$34*$B$38))*I$1</f>
        <v>125850</v>
      </c>
      <c r="J9" s="401">
        <f t="shared" si="1"/>
        <v>125850</v>
      </c>
      <c r="K9" s="401">
        <f t="shared" si="1"/>
        <v>188775</v>
      </c>
      <c r="L9" s="401">
        <f t="shared" si="1"/>
        <v>188775</v>
      </c>
      <c r="M9" s="401">
        <f t="shared" si="1"/>
        <v>213944.99999999991</v>
      </c>
    </row>
    <row r="10" spans="1:15" hidden="1">
      <c r="A10" s="397" t="s">
        <v>741</v>
      </c>
      <c r="B10" s="401"/>
      <c r="D10" s="401"/>
      <c r="E10" s="401"/>
      <c r="F10" s="401"/>
      <c r="G10" s="401"/>
      <c r="H10" s="401"/>
      <c r="I10" s="401"/>
      <c r="J10" s="401"/>
      <c r="K10" s="401">
        <f>+(($C$35*$B$37)+($E$35*$B$38)+($G$35*$B$39))*K$4</f>
        <v>0</v>
      </c>
      <c r="L10" s="401">
        <f t="shared" ref="L10" si="2">+(($C$35*$B$37)+($E$35*$B$38)+($G$35*$B$39))*L$4</f>
        <v>0</v>
      </c>
      <c r="M10" s="401">
        <f>+(($C$35*$B$37)+($E$35*$B$38)+($G$35*$B$39))*M$2</f>
        <v>0</v>
      </c>
    </row>
    <row r="11" spans="1:15">
      <c r="A11" s="397" t="s">
        <v>742</v>
      </c>
      <c r="B11" s="401"/>
      <c r="C11" s="401"/>
      <c r="D11" s="401"/>
      <c r="E11" s="401"/>
      <c r="F11" s="401"/>
      <c r="G11" s="401"/>
      <c r="H11" s="401"/>
      <c r="I11" s="401">
        <f>+'07 SG MRA Grant'!F9</f>
        <v>119885.375</v>
      </c>
      <c r="J11" s="401"/>
      <c r="K11" s="401"/>
      <c r="L11" s="401"/>
      <c r="M11" s="401"/>
    </row>
    <row r="12" spans="1:15">
      <c r="A12" s="397" t="s">
        <v>136</v>
      </c>
      <c r="B12" s="403">
        <f>+C42</f>
        <v>357396.73000000004</v>
      </c>
      <c r="C12" s="403"/>
      <c r="D12" s="403"/>
      <c r="E12" s="403"/>
      <c r="F12" s="403"/>
      <c r="G12" s="403"/>
      <c r="H12" s="403"/>
      <c r="I12" s="403"/>
      <c r="J12" s="403"/>
      <c r="K12" s="403"/>
      <c r="L12" s="403"/>
      <c r="M12" s="403"/>
    </row>
    <row r="13" spans="1:15" s="396" customFormat="1">
      <c r="B13" s="404">
        <f t="shared" ref="B13:M13" si="3">SUM(B8:B12)</f>
        <v>357396.73000000004</v>
      </c>
      <c r="C13" s="404">
        <f t="shared" si="3"/>
        <v>0</v>
      </c>
      <c r="D13" s="404">
        <f t="shared" si="3"/>
        <v>12585</v>
      </c>
      <c r="E13" s="404">
        <f t="shared" si="3"/>
        <v>25170</v>
      </c>
      <c r="F13" s="404">
        <f t="shared" si="3"/>
        <v>125850</v>
      </c>
      <c r="G13" s="404">
        <f t="shared" si="3"/>
        <v>125850</v>
      </c>
      <c r="H13" s="404">
        <f t="shared" si="3"/>
        <v>125850</v>
      </c>
      <c r="I13" s="404">
        <f t="shared" si="3"/>
        <v>245735.375</v>
      </c>
      <c r="J13" s="404">
        <f t="shared" si="3"/>
        <v>125850</v>
      </c>
      <c r="K13" s="404">
        <f t="shared" si="3"/>
        <v>188775</v>
      </c>
      <c r="L13" s="404">
        <f t="shared" si="3"/>
        <v>188775</v>
      </c>
      <c r="M13" s="404">
        <f t="shared" si="3"/>
        <v>213944.99999999991</v>
      </c>
    </row>
    <row r="15" spans="1:15">
      <c r="A15" s="396" t="s">
        <v>743</v>
      </c>
    </row>
    <row r="16" spans="1:15">
      <c r="A16" s="397" t="s">
        <v>799</v>
      </c>
      <c r="B16" s="401">
        <f>-C52-C16</f>
        <v>-266727.84524878464</v>
      </c>
      <c r="C16" s="401">
        <f>-'09 Inventory Loan'!H23</f>
        <v>-143536.07</v>
      </c>
      <c r="J16" s="401">
        <f>-C53*0.4</f>
        <v>0</v>
      </c>
      <c r="K16" s="401">
        <f>-C53*0.2</f>
        <v>0</v>
      </c>
      <c r="L16" s="421">
        <f>-C53*0.4</f>
        <v>0</v>
      </c>
      <c r="M16" s="401"/>
    </row>
    <row r="17" spans="1:13">
      <c r="A17" s="397" t="s">
        <v>745</v>
      </c>
      <c r="B17" s="403">
        <f>-'11 Forward OPEX 250728'!G84</f>
        <v>-84340.335233817939</v>
      </c>
      <c r="C17" s="403">
        <f>B17</f>
        <v>-84340.335233817939</v>
      </c>
      <c r="D17" s="403">
        <f t="shared" ref="D17:E17" si="4">C17</f>
        <v>-84340.335233817939</v>
      </c>
      <c r="E17" s="403">
        <f t="shared" si="4"/>
        <v>-84340.335233817939</v>
      </c>
      <c r="F17" s="403">
        <f>E17</f>
        <v>-84340.335233817939</v>
      </c>
      <c r="G17" s="403">
        <f>+F17</f>
        <v>-84340.335233817939</v>
      </c>
      <c r="H17" s="403">
        <f t="shared" ref="H17:M17" si="5">+G17</f>
        <v>-84340.335233817939</v>
      </c>
      <c r="I17" s="403">
        <f t="shared" si="5"/>
        <v>-84340.335233817939</v>
      </c>
      <c r="J17" s="403">
        <f t="shared" si="5"/>
        <v>-84340.335233817939</v>
      </c>
      <c r="K17" s="403">
        <f t="shared" si="5"/>
        <v>-84340.335233817939</v>
      </c>
      <c r="L17" s="403">
        <f t="shared" si="5"/>
        <v>-84340.335233817939</v>
      </c>
      <c r="M17" s="403">
        <f t="shared" si="5"/>
        <v>-84340.335233817939</v>
      </c>
    </row>
    <row r="18" spans="1:13" hidden="1">
      <c r="A18" s="397" t="s">
        <v>484</v>
      </c>
      <c r="B18" s="401"/>
      <c r="C18" s="401"/>
      <c r="E18" s="401"/>
      <c r="F18" s="401"/>
      <c r="G18" s="401"/>
      <c r="H18" s="401"/>
      <c r="I18" s="401"/>
      <c r="J18" s="401"/>
      <c r="K18" s="401"/>
      <c r="L18" s="401"/>
      <c r="M18" s="401"/>
    </row>
    <row r="19" spans="1:13" hidden="1">
      <c r="A19" s="397" t="s">
        <v>783</v>
      </c>
      <c r="B19" s="401"/>
      <c r="C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</row>
    <row r="20" spans="1:13" hidden="1">
      <c r="A20" s="397" t="s">
        <v>746</v>
      </c>
      <c r="B20" s="401"/>
      <c r="C20" s="401"/>
      <c r="D20" s="401"/>
      <c r="E20" s="405">
        <f>IFERROR(-B56/E56,0)</f>
        <v>0</v>
      </c>
      <c r="F20" s="401">
        <f>E20</f>
        <v>0</v>
      </c>
      <c r="G20" s="401">
        <f>F20</f>
        <v>0</v>
      </c>
      <c r="H20" s="401"/>
      <c r="I20" s="401"/>
      <c r="J20" s="401"/>
      <c r="K20" s="401"/>
      <c r="L20" s="401"/>
      <c r="M20" s="401"/>
    </row>
    <row r="21" spans="1:13" hidden="1">
      <c r="A21" s="397" t="s">
        <v>533</v>
      </c>
      <c r="B21" s="403"/>
      <c r="C21" s="406"/>
      <c r="D21" s="406"/>
      <c r="E21" s="403">
        <f>IFERROR(-D58/F58,0)</f>
        <v>0</v>
      </c>
      <c r="F21" s="403">
        <f>E21</f>
        <v>0</v>
      </c>
      <c r="G21" s="403"/>
      <c r="H21" s="403"/>
      <c r="I21" s="403"/>
      <c r="J21" s="403"/>
      <c r="K21" s="403"/>
      <c r="L21" s="403"/>
      <c r="M21" s="403"/>
    </row>
    <row r="22" spans="1:13" s="396" customFormat="1">
      <c r="B22" s="404">
        <f t="shared" ref="B22:D22" si="6">SUM(B16:B21)</f>
        <v>-351068.18048260256</v>
      </c>
      <c r="C22" s="404">
        <f t="shared" si="6"/>
        <v>-227876.40523381793</v>
      </c>
      <c r="D22" s="404">
        <f t="shared" si="6"/>
        <v>-84340.335233817939</v>
      </c>
      <c r="E22" s="404">
        <f t="shared" ref="E22:M22" si="7">SUM(E16:E21)</f>
        <v>-84340.335233817939</v>
      </c>
      <c r="F22" s="404">
        <f t="shared" si="7"/>
        <v>-84340.335233817939</v>
      </c>
      <c r="G22" s="404">
        <f t="shared" si="7"/>
        <v>-84340.335233817939</v>
      </c>
      <c r="H22" s="404">
        <f t="shared" si="7"/>
        <v>-84340.335233817939</v>
      </c>
      <c r="I22" s="404">
        <f t="shared" si="7"/>
        <v>-84340.335233817939</v>
      </c>
      <c r="J22" s="404">
        <f t="shared" si="7"/>
        <v>-84340.335233817939</v>
      </c>
      <c r="K22" s="404">
        <f t="shared" si="7"/>
        <v>-84340.335233817939</v>
      </c>
      <c r="L22" s="404">
        <f t="shared" si="7"/>
        <v>-84340.335233817939</v>
      </c>
      <c r="M22" s="404">
        <f t="shared" si="7"/>
        <v>-84340.335233817939</v>
      </c>
    </row>
    <row r="23" spans="1:13">
      <c r="B23" s="401"/>
      <c r="C23" s="401"/>
      <c r="D23" s="401"/>
      <c r="E23" s="401"/>
      <c r="F23" s="401"/>
      <c r="G23" s="401"/>
      <c r="H23" s="401"/>
      <c r="I23" s="401"/>
      <c r="J23" s="401"/>
      <c r="K23" s="401"/>
      <c r="L23" s="401"/>
      <c r="M23" s="401"/>
    </row>
    <row r="24" spans="1:13">
      <c r="A24" s="397" t="s">
        <v>747</v>
      </c>
      <c r="B24" s="401">
        <v>32988</v>
      </c>
      <c r="C24" s="401">
        <f>B26</f>
        <v>39316.549517397478</v>
      </c>
      <c r="D24" s="401">
        <f t="shared" ref="D24:M24" si="8">C26</f>
        <v>-188559.85571642045</v>
      </c>
      <c r="E24" s="401">
        <f t="shared" si="8"/>
        <v>-260315.19095023838</v>
      </c>
      <c r="F24" s="401">
        <f t="shared" si="8"/>
        <v>-319485.5261840563</v>
      </c>
      <c r="G24" s="401">
        <f t="shared" si="8"/>
        <v>-277975.86141787423</v>
      </c>
      <c r="H24" s="401">
        <f t="shared" si="8"/>
        <v>-236466.19665169215</v>
      </c>
      <c r="I24" s="401">
        <f t="shared" si="8"/>
        <v>-194956.53188551008</v>
      </c>
      <c r="J24" s="401">
        <f t="shared" si="8"/>
        <v>-33561.492119328002</v>
      </c>
      <c r="K24" s="401">
        <f t="shared" si="8"/>
        <v>7948.1726468540583</v>
      </c>
      <c r="L24" s="401">
        <f t="shared" si="8"/>
        <v>112382.83741303612</v>
      </c>
      <c r="M24" s="401">
        <f t="shared" si="8"/>
        <v>216817.50217921817</v>
      </c>
    </row>
    <row r="25" spans="1:13">
      <c r="A25" s="397" t="s">
        <v>748</v>
      </c>
      <c r="B25" s="401">
        <f>B13+B22</f>
        <v>6328.5495173974778</v>
      </c>
      <c r="C25" s="401">
        <f t="shared" ref="C25:M25" si="9">C13+C22</f>
        <v>-227876.40523381793</v>
      </c>
      <c r="D25" s="401">
        <f t="shared" si="9"/>
        <v>-71755.335233817939</v>
      </c>
      <c r="E25" s="401">
        <f t="shared" si="9"/>
        <v>-59170.335233817939</v>
      </c>
      <c r="F25" s="401">
        <f t="shared" si="9"/>
        <v>41509.664766182061</v>
      </c>
      <c r="G25" s="401">
        <f t="shared" si="9"/>
        <v>41509.664766182061</v>
      </c>
      <c r="H25" s="401">
        <f t="shared" si="9"/>
        <v>41509.664766182061</v>
      </c>
      <c r="I25" s="401">
        <f t="shared" si="9"/>
        <v>161395.03976618208</v>
      </c>
      <c r="J25" s="401">
        <f t="shared" si="9"/>
        <v>41509.664766182061</v>
      </c>
      <c r="K25" s="401">
        <f t="shared" si="9"/>
        <v>104434.66476618206</v>
      </c>
      <c r="L25" s="401">
        <f t="shared" si="9"/>
        <v>104434.66476618206</v>
      </c>
      <c r="M25" s="401">
        <f t="shared" si="9"/>
        <v>129604.66476618197</v>
      </c>
    </row>
    <row r="26" spans="1:13">
      <c r="A26" s="397" t="s">
        <v>749</v>
      </c>
      <c r="B26" s="401">
        <f>B24+B25</f>
        <v>39316.549517397478</v>
      </c>
      <c r="C26" s="401">
        <f t="shared" ref="C26:M26" si="10">C24+C25</f>
        <v>-188559.85571642045</v>
      </c>
      <c r="D26" s="401">
        <f t="shared" si="10"/>
        <v>-260315.19095023838</v>
      </c>
      <c r="E26" s="401">
        <f t="shared" si="10"/>
        <v>-319485.5261840563</v>
      </c>
      <c r="F26" s="401">
        <f t="shared" si="10"/>
        <v>-277975.86141787423</v>
      </c>
      <c r="G26" s="401">
        <f t="shared" si="10"/>
        <v>-236466.19665169215</v>
      </c>
      <c r="H26" s="401">
        <f t="shared" si="10"/>
        <v>-194956.53188551008</v>
      </c>
      <c r="I26" s="401">
        <f t="shared" si="10"/>
        <v>-33561.492119328002</v>
      </c>
      <c r="J26" s="401">
        <f t="shared" si="10"/>
        <v>7948.1726468540583</v>
      </c>
      <c r="K26" s="401">
        <f t="shared" si="10"/>
        <v>112382.83741303612</v>
      </c>
      <c r="L26" s="401">
        <f t="shared" si="10"/>
        <v>216817.50217921817</v>
      </c>
      <c r="M26" s="401">
        <f t="shared" si="10"/>
        <v>346422.16694540012</v>
      </c>
    </row>
    <row r="28" spans="1:13">
      <c r="A28" s="396" t="str">
        <f>+A25</f>
        <v>Cash Surplus (+ve)/Deficit (-ve)</v>
      </c>
      <c r="B28" s="424">
        <f>ROUNDUP(SUM(B25:M25),0)</f>
        <v>313435</v>
      </c>
    </row>
    <row r="29" spans="1:13">
      <c r="A29" s="396"/>
      <c r="B29" s="408"/>
    </row>
    <row r="30" spans="1:13" hidden="1">
      <c r="A30" s="396" t="s">
        <v>750</v>
      </c>
      <c r="B30" s="372">
        <f>-SUM(B25:E25)</f>
        <v>352473.5261840563</v>
      </c>
      <c r="C30" s="397" t="s">
        <v>794</v>
      </c>
    </row>
    <row r="32" spans="1:13">
      <c r="A32" s="397" t="s">
        <v>751</v>
      </c>
    </row>
    <row r="34" spans="1:14">
      <c r="A34" s="397" t="s">
        <v>752</v>
      </c>
      <c r="C34" s="409">
        <v>100</v>
      </c>
      <c r="D34" s="397" t="s">
        <v>753</v>
      </c>
      <c r="E34" s="409">
        <v>200</v>
      </c>
      <c r="F34" s="397" t="s">
        <v>754</v>
      </c>
      <c r="N34" s="402">
        <f>C34*B37+E34*B38</f>
        <v>1258500</v>
      </c>
    </row>
    <row r="35" spans="1:14" hidden="1">
      <c r="A35" s="397" t="s">
        <v>756</v>
      </c>
      <c r="C35" s="409"/>
      <c r="D35" s="397" t="s">
        <v>753</v>
      </c>
      <c r="E35" s="409"/>
      <c r="F35" s="397" t="s">
        <v>754</v>
      </c>
      <c r="G35" s="409"/>
      <c r="H35" s="397" t="s">
        <v>757</v>
      </c>
      <c r="I35" s="410"/>
      <c r="N35" s="402">
        <f>C35*B37+E35*B38+G35*B39</f>
        <v>0</v>
      </c>
    </row>
    <row r="36" spans="1:14" hidden="1">
      <c r="A36" s="397" t="s">
        <v>759</v>
      </c>
      <c r="C36" s="409"/>
      <c r="D36" s="397" t="s">
        <v>753</v>
      </c>
      <c r="E36" s="409"/>
      <c r="F36" s="397" t="s">
        <v>754</v>
      </c>
      <c r="G36" s="409"/>
      <c r="H36" s="397" t="s">
        <v>757</v>
      </c>
      <c r="I36" s="410"/>
      <c r="N36" s="402">
        <f>C36*B37+E36*B38+G36*B39</f>
        <v>0</v>
      </c>
    </row>
    <row r="37" spans="1:14">
      <c r="A37" s="397" t="s">
        <v>760</v>
      </c>
      <c r="B37" s="411">
        <v>2300</v>
      </c>
    </row>
    <row r="38" spans="1:14">
      <c r="A38" s="397" t="s">
        <v>761</v>
      </c>
      <c r="B38" s="411">
        <f>'[3]01 - Revenue Forecasts (KPIs)'!K15*0.85</f>
        <v>5142.5</v>
      </c>
      <c r="C38" s="397" t="s">
        <v>762</v>
      </c>
    </row>
    <row r="39" spans="1:14">
      <c r="A39" s="397" t="s">
        <v>763</v>
      </c>
      <c r="B39" s="411">
        <f>'[3]01 - Revenue Forecasts (KPIs)'!K24</f>
        <v>5899</v>
      </c>
    </row>
    <row r="40" spans="1:14" hidden="1"/>
    <row r="42" spans="1:14">
      <c r="A42" s="397" t="s">
        <v>792</v>
      </c>
      <c r="C42" s="411">
        <f>'[3]Inventory Loan'!E23</f>
        <v>357396.73000000004</v>
      </c>
      <c r="D42" s="412"/>
      <c r="E42" s="412"/>
    </row>
    <row r="44" spans="1:14" hidden="1">
      <c r="A44" s="397" t="s">
        <v>765</v>
      </c>
      <c r="C44" s="411">
        <f>-C18</f>
        <v>0</v>
      </c>
      <c r="D44" s="397" t="s">
        <v>766</v>
      </c>
    </row>
    <row r="45" spans="1:14" hidden="1"/>
    <row r="46" spans="1:14" hidden="1">
      <c r="A46" s="397" t="s">
        <v>787</v>
      </c>
      <c r="C46" s="397" t="s">
        <v>158</v>
      </c>
      <c r="D46" s="397" t="s">
        <v>767</v>
      </c>
    </row>
    <row r="47" spans="1:14" hidden="1">
      <c r="A47" s="397" t="s">
        <v>768</v>
      </c>
      <c r="C47" s="413">
        <v>40000</v>
      </c>
      <c r="D47" s="397" t="s">
        <v>769</v>
      </c>
    </row>
    <row r="48" spans="1:14" hidden="1">
      <c r="A48" s="397" t="s">
        <v>770</v>
      </c>
      <c r="C48" s="413">
        <v>25000</v>
      </c>
      <c r="D48" s="397" t="s">
        <v>771</v>
      </c>
    </row>
    <row r="49" spans="1:7" hidden="1">
      <c r="A49" s="397" t="s">
        <v>772</v>
      </c>
      <c r="C49" s="413">
        <v>10000</v>
      </c>
      <c r="D49" s="397" t="s">
        <v>771</v>
      </c>
    </row>
    <row r="50" spans="1:7" hidden="1"/>
    <row r="51" spans="1:7">
      <c r="A51" s="397" t="s">
        <v>793</v>
      </c>
    </row>
    <row r="52" spans="1:7">
      <c r="A52" s="397" t="s">
        <v>773</v>
      </c>
      <c r="B52" s="397">
        <v>330</v>
      </c>
      <c r="C52" s="414">
        <f>+'04 MFG Batch 0001 Cost (330pc)'!C35</f>
        <v>410263.91524878464</v>
      </c>
      <c r="D52" s="397" t="s">
        <v>774</v>
      </c>
    </row>
    <row r="53" spans="1:7" hidden="1">
      <c r="A53" s="397" t="s">
        <v>775</v>
      </c>
      <c r="B53" s="415">
        <f>'[3]BOM Cost Presentation'!C6</f>
        <v>700</v>
      </c>
      <c r="C53" s="411"/>
      <c r="D53" s="397" t="s">
        <v>776</v>
      </c>
    </row>
    <row r="54" spans="1:7" hidden="1">
      <c r="A54" s="397" t="s">
        <v>777</v>
      </c>
      <c r="B54" s="415">
        <v>1000</v>
      </c>
      <c r="C54" s="411"/>
      <c r="D54" s="397" t="s">
        <v>778</v>
      </c>
    </row>
    <row r="56" spans="1:7" hidden="1">
      <c r="A56" s="397" t="s">
        <v>779</v>
      </c>
      <c r="B56" s="411">
        <f>('[3]Summary P&amp;L-USD Yr Jul_Jun Best'!M12/4)/2</f>
        <v>166155.5</v>
      </c>
      <c r="C56" s="409" t="s">
        <v>771</v>
      </c>
      <c r="D56" s="397" t="s">
        <v>780</v>
      </c>
      <c r="E56" s="416">
        <f>3*F56</f>
        <v>0</v>
      </c>
      <c r="F56" s="397">
        <v>0</v>
      </c>
    </row>
    <row r="57" spans="1:7" hidden="1"/>
    <row r="58" spans="1:7" hidden="1">
      <c r="A58" s="397" t="s">
        <v>781</v>
      </c>
      <c r="D58" s="417">
        <f>-(-'[3]Summary P&amp;L-USD Yr Jul_Jun Best'!M13-'[3]Summary P&amp;L-USD Yr Jul_Jun Best'!N13)/4/2</f>
        <v>199091.125</v>
      </c>
      <c r="E58" s="397" t="s">
        <v>780</v>
      </c>
      <c r="F58" s="418">
        <f>2*G58</f>
        <v>0</v>
      </c>
      <c r="G58" s="397">
        <v>0</v>
      </c>
    </row>
    <row r="60" spans="1:7">
      <c r="A60" s="398" t="s">
        <v>782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83F84-6C37-C746-9771-78ADAF233A26}">
  <dimension ref="A1:BK42"/>
  <sheetViews>
    <sheetView showGridLines="0" zoomScale="130" zoomScaleNormal="130" workbookViewId="0">
      <pane xSplit="1" ySplit="3" topLeftCell="E15" activePane="bottomRight" state="frozen"/>
      <selection pane="topRight" activeCell="C1" sqref="C1"/>
      <selection pane="bottomLeft" activeCell="A4" sqref="A4"/>
      <selection pane="bottomRight" activeCell="A30" sqref="A30:XFD30"/>
    </sheetView>
  </sheetViews>
  <sheetFormatPr baseColWidth="10" defaultColWidth="14.5" defaultRowHeight="15" customHeight="1" outlineLevelCol="2"/>
  <cols>
    <col min="1" max="1" width="22.33203125" style="455" customWidth="1"/>
    <col min="2" max="4" width="11" style="455" hidden="1" customWidth="1" outlineLevel="1"/>
    <col min="5" max="5" width="11" style="455" customWidth="1" collapsed="1"/>
    <col min="6" max="8" width="11" style="455" hidden="1" customWidth="1" outlineLevel="1"/>
    <col min="9" max="9" width="11" style="455" customWidth="1" collapsed="1"/>
    <col min="10" max="12" width="11" style="455" hidden="1" customWidth="1" outlineLevel="1"/>
    <col min="13" max="13" width="11" style="455" customWidth="1" collapsed="1"/>
    <col min="14" max="16" width="11" style="455" hidden="1" customWidth="1" outlineLevel="1"/>
    <col min="17" max="17" width="11" style="455" customWidth="1" collapsed="1"/>
    <col min="18" max="20" width="11" style="455" hidden="1" customWidth="1" outlineLevel="1"/>
    <col min="21" max="21" width="11" style="455" customWidth="1" collapsed="1"/>
    <col min="22" max="24" width="11" style="455" hidden="1" customWidth="1" outlineLevel="1"/>
    <col min="25" max="25" width="11" style="455" customWidth="1" collapsed="1"/>
    <col min="26" max="28" width="11" style="455" hidden="1" customWidth="1" outlineLevel="1"/>
    <col min="29" max="29" width="11" style="455" customWidth="1" collapsed="1"/>
    <col min="30" max="31" width="10.1640625" style="455" hidden="1" customWidth="1" outlineLevel="1"/>
    <col min="32" max="32" width="11.1640625" style="455" hidden="1" customWidth="1" outlineLevel="1"/>
    <col min="33" max="33" width="11.1640625" style="455" customWidth="1" collapsed="1"/>
    <col min="34" max="36" width="12" style="455" hidden="1" customWidth="1" outlineLevel="1"/>
    <col min="37" max="37" width="12" style="522" customWidth="1" collapsed="1"/>
    <col min="38" max="40" width="12" style="522" customWidth="1" outlineLevel="1"/>
    <col min="41" max="41" width="12" style="522" customWidth="1"/>
    <col min="42" max="44" width="12" style="522" hidden="1" customWidth="1" outlineLevel="1"/>
    <col min="45" max="45" width="12" style="522" hidden="1" customWidth="1" collapsed="1"/>
    <col min="46" max="48" width="12" style="522" hidden="1" customWidth="1" outlineLevel="1"/>
    <col min="49" max="49" width="12" style="522" hidden="1" customWidth="1" collapsed="1"/>
    <col min="50" max="50" width="12" style="522" hidden="1" customWidth="1"/>
    <col min="51" max="51" width="9.1640625" style="522" hidden="1" customWidth="1"/>
    <col min="52" max="52" width="20.5" style="522" customWidth="1" outlineLevel="2"/>
    <col min="53" max="53" width="14.5" style="522" customWidth="1" outlineLevel="2"/>
    <col min="54" max="54" width="2" style="522" customWidth="1" outlineLevel="2"/>
    <col min="55" max="56" width="14.5" style="522" customWidth="1" outlineLevel="2"/>
    <col min="57" max="57" width="6.83203125" style="522" customWidth="1" outlineLevel="2"/>
    <col min="58" max="58" width="1.6640625" style="522" customWidth="1" outlineLevel="2"/>
    <col min="59" max="59" width="10.5" style="522" customWidth="1" outlineLevel="2"/>
    <col min="60" max="61" width="10" style="522" customWidth="1" outlineLevel="2"/>
    <col min="62" max="62" width="10" style="522" customWidth="1"/>
    <col min="63" max="63" width="2.83203125" style="455" bestFit="1" customWidth="1"/>
    <col min="64" max="16384" width="14.5" style="455"/>
  </cols>
  <sheetData>
    <row r="1" spans="1:63" ht="25.5" customHeight="1">
      <c r="A1" s="452" t="s">
        <v>830</v>
      </c>
      <c r="B1" s="453" t="s">
        <v>831</v>
      </c>
      <c r="C1" s="453" t="s">
        <v>832</v>
      </c>
      <c r="D1" s="453" t="s">
        <v>833</v>
      </c>
      <c r="E1" s="453" t="s">
        <v>834</v>
      </c>
      <c r="F1" s="454" t="s">
        <v>835</v>
      </c>
      <c r="G1" s="454" t="s">
        <v>836</v>
      </c>
      <c r="H1" s="454" t="s">
        <v>837</v>
      </c>
      <c r="I1" s="454" t="s">
        <v>838</v>
      </c>
      <c r="J1" s="454" t="s">
        <v>839</v>
      </c>
      <c r="K1" s="454" t="s">
        <v>840</v>
      </c>
      <c r="L1" s="454" t="s">
        <v>841</v>
      </c>
      <c r="M1" s="454" t="s">
        <v>842</v>
      </c>
      <c r="N1" s="454" t="s">
        <v>843</v>
      </c>
      <c r="O1" s="454" t="s">
        <v>844</v>
      </c>
      <c r="P1" s="454" t="s">
        <v>845</v>
      </c>
      <c r="Q1" s="454" t="s">
        <v>846</v>
      </c>
      <c r="R1" s="454" t="s">
        <v>843</v>
      </c>
      <c r="S1" s="454" t="s">
        <v>844</v>
      </c>
      <c r="T1" s="454" t="s">
        <v>845</v>
      </c>
      <c r="U1" s="454" t="s">
        <v>834</v>
      </c>
      <c r="V1" s="454" t="s">
        <v>835</v>
      </c>
      <c r="W1" s="454" t="s">
        <v>836</v>
      </c>
      <c r="X1" s="454" t="s">
        <v>837</v>
      </c>
      <c r="Y1" s="454" t="s">
        <v>838</v>
      </c>
      <c r="Z1" s="454" t="s">
        <v>835</v>
      </c>
      <c r="AA1" s="454" t="s">
        <v>836</v>
      </c>
      <c r="AB1" s="454" t="s">
        <v>837</v>
      </c>
      <c r="AC1" s="454" t="s">
        <v>842</v>
      </c>
      <c r="AD1" s="454" t="s">
        <v>839</v>
      </c>
      <c r="AE1" s="454" t="s">
        <v>840</v>
      </c>
      <c r="AF1" s="454" t="s">
        <v>841</v>
      </c>
      <c r="AG1" s="454" t="s">
        <v>846</v>
      </c>
      <c r="AH1" s="454" t="s">
        <v>843</v>
      </c>
      <c r="AI1" s="454" t="s">
        <v>844</v>
      </c>
      <c r="AJ1" s="454" t="s">
        <v>845</v>
      </c>
      <c r="AK1" s="519" t="s">
        <v>834</v>
      </c>
      <c r="AL1" s="519" t="s">
        <v>831</v>
      </c>
      <c r="AM1" s="519" t="s">
        <v>832</v>
      </c>
      <c r="AN1" s="519" t="s">
        <v>833</v>
      </c>
      <c r="AO1" s="519" t="s">
        <v>838</v>
      </c>
      <c r="AP1" s="519" t="s">
        <v>835</v>
      </c>
      <c r="AQ1" s="519" t="s">
        <v>836</v>
      </c>
      <c r="AR1" s="519" t="s">
        <v>837</v>
      </c>
      <c r="AS1" s="519" t="s">
        <v>842</v>
      </c>
      <c r="AT1" s="519" t="s">
        <v>839</v>
      </c>
      <c r="AU1" s="519" t="s">
        <v>840</v>
      </c>
      <c r="AV1" s="519" t="s">
        <v>841</v>
      </c>
      <c r="AW1" s="519" t="s">
        <v>846</v>
      </c>
      <c r="AX1" s="519" t="s">
        <v>892</v>
      </c>
      <c r="AY1" s="519"/>
      <c r="AZ1" s="520" t="s">
        <v>347</v>
      </c>
      <c r="BA1" s="602" t="s">
        <v>847</v>
      </c>
      <c r="BB1" s="602"/>
      <c r="BC1" s="602"/>
      <c r="BD1" s="521"/>
      <c r="BE1" s="602" t="s">
        <v>847</v>
      </c>
      <c r="BF1" s="602"/>
      <c r="BG1" s="602"/>
      <c r="BH1" s="603"/>
      <c r="BI1" s="603"/>
    </row>
    <row r="2" spans="1:63" ht="12.75" customHeight="1">
      <c r="A2" s="452" t="s">
        <v>983</v>
      </c>
      <c r="B2" s="456" t="s">
        <v>848</v>
      </c>
      <c r="C2" s="456" t="s">
        <v>848</v>
      </c>
      <c r="D2" s="456" t="s">
        <v>848</v>
      </c>
      <c r="E2" s="456" t="s">
        <v>848</v>
      </c>
      <c r="F2" s="457" t="s">
        <v>849</v>
      </c>
      <c r="G2" s="457" t="s">
        <v>849</v>
      </c>
      <c r="H2" s="457" t="s">
        <v>849</v>
      </c>
      <c r="I2" s="457" t="s">
        <v>849</v>
      </c>
      <c r="J2" s="457" t="s">
        <v>849</v>
      </c>
      <c r="K2" s="457" t="s">
        <v>849</v>
      </c>
      <c r="L2" s="457" t="s">
        <v>849</v>
      </c>
      <c r="M2" s="457" t="s">
        <v>849</v>
      </c>
      <c r="N2" s="457" t="s">
        <v>849</v>
      </c>
      <c r="O2" s="457" t="s">
        <v>849</v>
      </c>
      <c r="P2" s="457" t="s">
        <v>849</v>
      </c>
      <c r="Q2" s="457" t="s">
        <v>849</v>
      </c>
      <c r="R2" s="457" t="s">
        <v>849</v>
      </c>
      <c r="S2" s="457" t="s">
        <v>849</v>
      </c>
      <c r="T2" s="457" t="s">
        <v>849</v>
      </c>
      <c r="U2" s="457" t="s">
        <v>849</v>
      </c>
      <c r="V2" s="457" t="s">
        <v>849</v>
      </c>
      <c r="W2" s="457" t="s">
        <v>849</v>
      </c>
      <c r="X2" s="457" t="s">
        <v>849</v>
      </c>
      <c r="Y2" s="457" t="s">
        <v>849</v>
      </c>
      <c r="Z2" s="457" t="s">
        <v>849</v>
      </c>
      <c r="AA2" s="457" t="s">
        <v>849</v>
      </c>
      <c r="AB2" s="457" t="s">
        <v>849</v>
      </c>
      <c r="AC2" s="457" t="s">
        <v>849</v>
      </c>
      <c r="AD2" s="457" t="s">
        <v>848</v>
      </c>
      <c r="AE2" s="457" t="s">
        <v>848</v>
      </c>
      <c r="AF2" s="457" t="s">
        <v>848</v>
      </c>
      <c r="AG2" s="457" t="s">
        <v>849</v>
      </c>
      <c r="AH2" s="457" t="s">
        <v>849</v>
      </c>
      <c r="AI2" s="457" t="s">
        <v>849</v>
      </c>
      <c r="AJ2" s="457" t="s">
        <v>849</v>
      </c>
      <c r="AK2" s="523" t="s">
        <v>849</v>
      </c>
      <c r="AL2" s="523" t="s">
        <v>849</v>
      </c>
      <c r="AM2" s="523" t="s">
        <v>848</v>
      </c>
      <c r="AN2" s="523" t="s">
        <v>848</v>
      </c>
      <c r="AO2" s="523" t="s">
        <v>848</v>
      </c>
      <c r="AP2" s="523" t="s">
        <v>848</v>
      </c>
      <c r="AQ2" s="523" t="s">
        <v>848</v>
      </c>
      <c r="AR2" s="523" t="s">
        <v>848</v>
      </c>
      <c r="AS2" s="523" t="s">
        <v>848</v>
      </c>
      <c r="AT2" s="523" t="s">
        <v>848</v>
      </c>
      <c r="AU2" s="523" t="s">
        <v>848</v>
      </c>
      <c r="AV2" s="523" t="s">
        <v>848</v>
      </c>
      <c r="AW2" s="523" t="s">
        <v>848</v>
      </c>
      <c r="AX2" s="523" t="s">
        <v>893</v>
      </c>
      <c r="AY2" s="523"/>
      <c r="BA2" s="523"/>
      <c r="BB2" s="523"/>
      <c r="BC2" s="523"/>
      <c r="BD2" s="523"/>
      <c r="BG2" s="521" t="s">
        <v>850</v>
      </c>
      <c r="BH2" s="524" t="s">
        <v>851</v>
      </c>
      <c r="BI2" s="524" t="s">
        <v>852</v>
      </c>
      <c r="BJ2" s="524"/>
    </row>
    <row r="3" spans="1:63" ht="12.75" customHeight="1">
      <c r="A3" s="452" t="s">
        <v>853</v>
      </c>
      <c r="B3" s="458">
        <v>45017</v>
      </c>
      <c r="C3" s="458">
        <v>45047</v>
      </c>
      <c r="D3" s="458">
        <v>45078</v>
      </c>
      <c r="E3" s="459" t="s">
        <v>854</v>
      </c>
      <c r="F3" s="460">
        <v>45108</v>
      </c>
      <c r="G3" s="460">
        <v>45139</v>
      </c>
      <c r="H3" s="460">
        <v>45170</v>
      </c>
      <c r="I3" s="461" t="s">
        <v>855</v>
      </c>
      <c r="J3" s="460">
        <v>45200</v>
      </c>
      <c r="K3" s="460">
        <v>45231</v>
      </c>
      <c r="L3" s="460">
        <v>45261</v>
      </c>
      <c r="M3" s="462" t="s">
        <v>856</v>
      </c>
      <c r="N3" s="460">
        <v>45292</v>
      </c>
      <c r="O3" s="460">
        <v>45323</v>
      </c>
      <c r="P3" s="460">
        <v>45352</v>
      </c>
      <c r="Q3" s="461" t="s">
        <v>857</v>
      </c>
      <c r="R3" s="460">
        <v>45383</v>
      </c>
      <c r="S3" s="460">
        <v>45413</v>
      </c>
      <c r="T3" s="460">
        <v>45444</v>
      </c>
      <c r="U3" s="461" t="s">
        <v>858</v>
      </c>
      <c r="V3" s="460">
        <v>45474</v>
      </c>
      <c r="W3" s="460">
        <v>45505</v>
      </c>
      <c r="X3" s="460">
        <v>45536</v>
      </c>
      <c r="Y3" s="461" t="s">
        <v>859</v>
      </c>
      <c r="Z3" s="460">
        <v>45566</v>
      </c>
      <c r="AA3" s="460">
        <v>45597</v>
      </c>
      <c r="AB3" s="460">
        <v>45627</v>
      </c>
      <c r="AC3" s="461" t="s">
        <v>860</v>
      </c>
      <c r="AD3" s="460">
        <v>45658</v>
      </c>
      <c r="AE3" s="460">
        <v>45689</v>
      </c>
      <c r="AF3" s="460">
        <v>45717</v>
      </c>
      <c r="AG3" s="461" t="s">
        <v>861</v>
      </c>
      <c r="AH3" s="460">
        <v>45748</v>
      </c>
      <c r="AI3" s="460">
        <v>45778</v>
      </c>
      <c r="AJ3" s="460">
        <v>45809</v>
      </c>
      <c r="AK3" s="525" t="s">
        <v>862</v>
      </c>
      <c r="AL3" s="526">
        <v>45839</v>
      </c>
      <c r="AM3" s="526">
        <v>45870</v>
      </c>
      <c r="AN3" s="526">
        <v>45901</v>
      </c>
      <c r="AO3" s="525" t="s">
        <v>863</v>
      </c>
      <c r="AP3" s="526">
        <v>45931</v>
      </c>
      <c r="AQ3" s="526">
        <v>45962</v>
      </c>
      <c r="AR3" s="526">
        <v>45992</v>
      </c>
      <c r="AS3" s="525" t="s">
        <v>864</v>
      </c>
      <c r="AT3" s="526">
        <v>46023</v>
      </c>
      <c r="AU3" s="526">
        <v>46054</v>
      </c>
      <c r="AV3" s="526">
        <v>46082</v>
      </c>
      <c r="AW3" s="525" t="s">
        <v>865</v>
      </c>
      <c r="AX3" s="525" t="s">
        <v>894</v>
      </c>
      <c r="AY3" s="525" t="s">
        <v>921</v>
      </c>
      <c r="AZ3" s="527"/>
      <c r="BA3" s="526">
        <v>45017</v>
      </c>
      <c r="BB3" s="526"/>
      <c r="BC3" s="526">
        <v>45717</v>
      </c>
      <c r="BD3" s="526"/>
      <c r="BE3" s="528" t="s">
        <v>866</v>
      </c>
      <c r="BF3" s="528"/>
      <c r="BG3" s="521" t="s">
        <v>867</v>
      </c>
      <c r="BH3" s="524" t="s">
        <v>867</v>
      </c>
      <c r="BI3" s="524" t="s">
        <v>867</v>
      </c>
      <c r="BJ3" s="524"/>
    </row>
    <row r="4" spans="1:63" ht="12.75" customHeight="1">
      <c r="A4" s="464" t="s">
        <v>868</v>
      </c>
      <c r="B4" s="465">
        <v>0</v>
      </c>
      <c r="C4" s="465">
        <v>0</v>
      </c>
      <c r="D4" s="465">
        <v>0</v>
      </c>
      <c r="E4" s="465">
        <v>0</v>
      </c>
      <c r="F4" s="465">
        <v>0</v>
      </c>
      <c r="G4" s="465">
        <v>0</v>
      </c>
      <c r="H4" s="465">
        <v>31152.390500000001</v>
      </c>
      <c r="I4" s="465">
        <v>31152.390500000001</v>
      </c>
      <c r="J4" s="465">
        <v>-327.96470000000005</v>
      </c>
      <c r="K4" s="465">
        <v>-327.10020000000003</v>
      </c>
      <c r="L4" s="465">
        <v>0</v>
      </c>
      <c r="M4" s="465">
        <v>-655.06490000000008</v>
      </c>
      <c r="N4" s="465">
        <v>155.72970000000001</v>
      </c>
      <c r="O4" s="465">
        <v>622.12080000000003</v>
      </c>
      <c r="P4" s="465">
        <v>107333.2078</v>
      </c>
      <c r="Q4" s="465">
        <v>108111.0583</v>
      </c>
      <c r="R4" s="465">
        <v>5316.3026</v>
      </c>
      <c r="S4" s="465">
        <v>5138.6412</v>
      </c>
      <c r="T4" s="465">
        <v>-3457.3882000000003</v>
      </c>
      <c r="U4" s="465">
        <v>6997.5556000000006</v>
      </c>
      <c r="V4" s="465">
        <v>36467.150300000001</v>
      </c>
      <c r="W4" s="465">
        <v>11389.601300000002</v>
      </c>
      <c r="X4" s="465">
        <v>16847.030200000001</v>
      </c>
      <c r="Y4" s="465">
        <v>64703.781800000004</v>
      </c>
      <c r="Z4" s="465">
        <v>4175.8275999999996</v>
      </c>
      <c r="AA4" s="465">
        <v>13339.0754</v>
      </c>
      <c r="AB4" s="465">
        <v>27405.421400000003</v>
      </c>
      <c r="AC4" s="465">
        <v>44920.324399999998</v>
      </c>
      <c r="AD4" s="465">
        <v>6645.9301999999998</v>
      </c>
      <c r="AE4" s="465">
        <v>4233.0708000000004</v>
      </c>
      <c r="AF4" s="465">
        <v>7798.9072000000006</v>
      </c>
      <c r="AG4" s="465">
        <v>18677.908200000002</v>
      </c>
      <c r="AH4" s="465">
        <v>11413.999999999998</v>
      </c>
      <c r="AI4" s="465">
        <v>0</v>
      </c>
      <c r="AJ4" s="465">
        <v>11413.999999999998</v>
      </c>
      <c r="AK4" s="529">
        <v>22827.999999999996</v>
      </c>
      <c r="AL4" s="529">
        <v>5309.39</v>
      </c>
      <c r="AM4" s="529">
        <v>0</v>
      </c>
      <c r="AN4" s="529">
        <v>0</v>
      </c>
      <c r="AO4" s="529">
        <v>5309.39</v>
      </c>
      <c r="AP4" s="529" t="e">
        <v>#REF!</v>
      </c>
      <c r="AQ4" s="529" t="e">
        <v>#REF!</v>
      </c>
      <c r="AR4" s="529" t="e">
        <v>#REF!</v>
      </c>
      <c r="AS4" s="529" t="e">
        <v>#REF!</v>
      </c>
      <c r="AT4" s="529" t="e">
        <v>#REF!</v>
      </c>
      <c r="AU4" s="529" t="e">
        <v>#REF!</v>
      </c>
      <c r="AV4" s="529" t="e">
        <v>#REF!</v>
      </c>
      <c r="AW4" s="529" t="e">
        <v>#REF!</v>
      </c>
      <c r="AX4" s="529">
        <v>10787.333710714289</v>
      </c>
      <c r="AY4" s="530"/>
      <c r="AZ4" s="531" t="s">
        <v>869</v>
      </c>
      <c r="BJ4" s="532"/>
      <c r="BK4" s="466"/>
    </row>
    <row r="5" spans="1:63" ht="12.75" customHeight="1">
      <c r="A5" s="467" t="s">
        <v>870</v>
      </c>
      <c r="B5" s="463"/>
      <c r="C5" s="463"/>
      <c r="D5" s="463"/>
      <c r="E5" s="463"/>
      <c r="F5" s="463"/>
      <c r="G5" s="463"/>
      <c r="H5" s="463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527"/>
      <c r="AL5" s="527"/>
      <c r="AM5" s="527"/>
      <c r="AN5" s="527"/>
      <c r="AO5" s="527"/>
      <c r="AP5" s="527" t="e">
        <v>#REF!</v>
      </c>
      <c r="AQ5" s="527" t="e">
        <v>#REF!</v>
      </c>
      <c r="AR5" s="527" t="e">
        <v>#REF!</v>
      </c>
      <c r="AS5" s="527" t="e">
        <v>#REF!</v>
      </c>
      <c r="AT5" s="527" t="e">
        <v>#REF!</v>
      </c>
      <c r="AU5" s="527" t="e">
        <v>#REF!</v>
      </c>
      <c r="AV5" s="527" t="e">
        <v>#REF!</v>
      </c>
      <c r="AW5" s="527" t="e">
        <v>#REF!</v>
      </c>
      <c r="AX5" s="527"/>
      <c r="AY5" s="527"/>
      <c r="AZ5" s="533" t="s">
        <v>871</v>
      </c>
      <c r="BA5" s="527">
        <v>89359.299591633637</v>
      </c>
      <c r="BB5" s="527"/>
      <c r="BC5" s="527">
        <v>40567.097850516293</v>
      </c>
      <c r="BE5" s="534">
        <v>45017</v>
      </c>
      <c r="BG5" s="532">
        <v>216924.7354435451</v>
      </c>
      <c r="BH5" s="532">
        <v>126263.21362884794</v>
      </c>
      <c r="BI5" s="532">
        <v>90661.52181469716</v>
      </c>
      <c r="BJ5" s="532"/>
      <c r="BK5" s="466"/>
    </row>
    <row r="6" spans="1:63" ht="12" customHeight="1">
      <c r="A6" s="467" t="s">
        <v>531</v>
      </c>
      <c r="B6" s="465">
        <v>0</v>
      </c>
      <c r="C6" s="465">
        <v>0</v>
      </c>
      <c r="D6" s="465">
        <v>0</v>
      </c>
      <c r="E6" s="465">
        <v>0</v>
      </c>
      <c r="F6" s="465">
        <v>0</v>
      </c>
      <c r="G6" s="465">
        <v>0</v>
      </c>
      <c r="H6" s="465">
        <v>31152.390500000001</v>
      </c>
      <c r="I6" s="465">
        <v>31152.390500000001</v>
      </c>
      <c r="J6" s="465">
        <v>-327.96470000000005</v>
      </c>
      <c r="K6" s="465">
        <v>-327.10020000000003</v>
      </c>
      <c r="L6" s="465">
        <v>0</v>
      </c>
      <c r="M6" s="465">
        <v>-655.06490000000008</v>
      </c>
      <c r="N6" s="465">
        <v>155.72970000000001</v>
      </c>
      <c r="O6" s="465">
        <v>622.12080000000003</v>
      </c>
      <c r="P6" s="465">
        <v>107333.2078</v>
      </c>
      <c r="Q6" s="465">
        <v>108111.0583</v>
      </c>
      <c r="R6" s="465">
        <v>5316.3026</v>
      </c>
      <c r="S6" s="465">
        <v>5138.6412</v>
      </c>
      <c r="T6" s="465">
        <v>-3457.3882000000003</v>
      </c>
      <c r="U6" s="465">
        <v>6997.5556000000006</v>
      </c>
      <c r="V6" s="465">
        <v>36467.150300000001</v>
      </c>
      <c r="W6" s="465">
        <v>11389.601300000002</v>
      </c>
      <c r="X6" s="465">
        <v>16847.030200000001</v>
      </c>
      <c r="Y6" s="465">
        <v>64703.781800000004</v>
      </c>
      <c r="Z6" s="465">
        <v>4175.8275999999996</v>
      </c>
      <c r="AA6" s="465">
        <v>13339.0754</v>
      </c>
      <c r="AB6" s="465">
        <v>27405.421400000003</v>
      </c>
      <c r="AC6" s="465">
        <v>44920.324399999998</v>
      </c>
      <c r="AD6" s="465">
        <v>6645.9301999999998</v>
      </c>
      <c r="AE6" s="465">
        <v>4233.0708000000004</v>
      </c>
      <c r="AF6" s="465">
        <v>7798.9072000000006</v>
      </c>
      <c r="AG6" s="465">
        <v>18677.908200000002</v>
      </c>
      <c r="AH6" s="465">
        <v>11413.999999999998</v>
      </c>
      <c r="AI6" s="465">
        <v>0</v>
      </c>
      <c r="AJ6" s="465">
        <v>11413.999999999998</v>
      </c>
      <c r="AK6" s="529">
        <v>22827.999999999996</v>
      </c>
      <c r="AL6" s="529">
        <v>5309.39</v>
      </c>
      <c r="AM6" s="529">
        <v>0</v>
      </c>
      <c r="AN6" s="529">
        <v>0</v>
      </c>
      <c r="AO6" s="529">
        <v>5309.39</v>
      </c>
      <c r="AP6" s="529" t="e">
        <v>#REF!</v>
      </c>
      <c r="AQ6" s="529" t="e">
        <v>#REF!</v>
      </c>
      <c r="AR6" s="529" t="e">
        <v>#REF!</v>
      </c>
      <c r="AS6" s="529" t="e">
        <v>#REF!</v>
      </c>
      <c r="AT6" s="529" t="e">
        <v>#REF!</v>
      </c>
      <c r="AU6" s="529" t="e">
        <v>#REF!</v>
      </c>
      <c r="AV6" s="529" t="e">
        <v>#REF!</v>
      </c>
      <c r="AW6" s="529" t="e">
        <v>#REF!</v>
      </c>
      <c r="AX6" s="529">
        <v>10787.333710714289</v>
      </c>
      <c r="AY6" s="530"/>
      <c r="AZ6" s="533" t="s">
        <v>872</v>
      </c>
      <c r="BA6" s="527">
        <v>6826.1815742057543</v>
      </c>
      <c r="BB6" s="527"/>
      <c r="BC6" s="527">
        <v>4304.0425807150841</v>
      </c>
      <c r="BE6" s="534">
        <v>45047</v>
      </c>
      <c r="BG6" s="532">
        <v>141579.20328948693</v>
      </c>
      <c r="BH6" s="532">
        <v>77204.735129098757</v>
      </c>
      <c r="BI6" s="532">
        <v>64374.468160388162</v>
      </c>
      <c r="BJ6" s="532"/>
      <c r="BK6" s="466"/>
    </row>
    <row r="7" spans="1:63" ht="12.75" customHeight="1">
      <c r="A7" s="469"/>
      <c r="B7" s="470"/>
      <c r="C7" s="470"/>
      <c r="D7" s="470"/>
      <c r="E7" s="470"/>
      <c r="F7" s="470"/>
      <c r="G7" s="470"/>
      <c r="H7" s="470"/>
      <c r="I7" s="470"/>
      <c r="J7" s="470"/>
      <c r="K7" s="470"/>
      <c r="L7" s="470"/>
      <c r="M7" s="470"/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470"/>
      <c r="AB7" s="470"/>
      <c r="AC7" s="470"/>
      <c r="AD7" s="470"/>
      <c r="AE7" s="470"/>
      <c r="AF7" s="470"/>
      <c r="AG7" s="470"/>
      <c r="AH7" s="470"/>
      <c r="AI7" s="470"/>
      <c r="AJ7" s="470"/>
      <c r="AK7" s="535"/>
      <c r="AL7" s="535"/>
      <c r="AM7" s="535"/>
      <c r="AN7" s="535"/>
      <c r="AO7" s="535"/>
      <c r="AP7" s="535" t="e">
        <v>#REF!</v>
      </c>
      <c r="AQ7" s="535" t="e">
        <v>#REF!</v>
      </c>
      <c r="AR7" s="535" t="e">
        <v>#REF!</v>
      </c>
      <c r="AS7" s="535" t="e">
        <v>#REF!</v>
      </c>
      <c r="AT7" s="535" t="e">
        <v>#REF!</v>
      </c>
      <c r="AU7" s="535" t="e">
        <v>#REF!</v>
      </c>
      <c r="AV7" s="535" t="e">
        <v>#REF!</v>
      </c>
      <c r="AW7" s="535" t="e">
        <v>#REF!</v>
      </c>
      <c r="AX7" s="535"/>
      <c r="AY7" s="535"/>
      <c r="AZ7" s="533" t="s">
        <v>547</v>
      </c>
      <c r="BA7" s="527">
        <v>6480.3435066859729</v>
      </c>
      <c r="BB7" s="527"/>
      <c r="BC7" s="527">
        <v>15162.579068321997</v>
      </c>
      <c r="BE7" s="534">
        <v>45078</v>
      </c>
      <c r="BF7" s="536"/>
      <c r="BG7" s="532">
        <v>283225.68009200355</v>
      </c>
      <c r="BH7" s="532">
        <v>131006.73278858286</v>
      </c>
      <c r="BI7" s="532">
        <v>152218.94730342072</v>
      </c>
      <c r="BJ7" s="532"/>
      <c r="BK7" s="466"/>
    </row>
    <row r="8" spans="1:63" ht="12.75" customHeight="1">
      <c r="A8" s="471"/>
      <c r="B8" s="461"/>
      <c r="C8" s="461"/>
      <c r="D8" s="461"/>
      <c r="E8" s="472"/>
      <c r="F8" s="461"/>
      <c r="G8" s="461"/>
      <c r="H8" s="461"/>
      <c r="I8" s="472"/>
      <c r="J8" s="461"/>
      <c r="K8" s="461"/>
      <c r="L8" s="461"/>
      <c r="M8" s="472"/>
      <c r="N8" s="461"/>
      <c r="O8" s="461"/>
      <c r="P8" s="461"/>
      <c r="Q8" s="472"/>
      <c r="R8" s="461"/>
      <c r="S8" s="461"/>
      <c r="T8" s="461"/>
      <c r="U8" s="472"/>
      <c r="V8" s="461"/>
      <c r="W8" s="461"/>
      <c r="X8" s="461"/>
      <c r="Y8" s="472"/>
      <c r="Z8" s="461"/>
      <c r="AA8" s="461"/>
      <c r="AB8" s="461"/>
      <c r="AC8" s="472"/>
      <c r="AD8" s="461"/>
      <c r="AE8" s="461"/>
      <c r="AF8" s="461"/>
      <c r="AG8" s="472"/>
      <c r="AH8" s="461"/>
      <c r="AI8" s="461"/>
      <c r="AJ8" s="461"/>
      <c r="AK8" s="537"/>
      <c r="AL8" s="525"/>
      <c r="AM8" s="525"/>
      <c r="AN8" s="525"/>
      <c r="AO8" s="537"/>
      <c r="AP8" s="525"/>
      <c r="AQ8" s="525"/>
      <c r="AR8" s="525"/>
      <c r="AS8" s="525"/>
      <c r="AT8" s="525"/>
      <c r="AU8" s="525"/>
      <c r="AV8" s="525"/>
      <c r="AW8" s="525"/>
      <c r="AX8" s="537"/>
      <c r="AY8" s="525"/>
      <c r="AZ8" s="533" t="s">
        <v>545</v>
      </c>
      <c r="BA8" s="527">
        <v>23597.388956322575</v>
      </c>
      <c r="BB8" s="527"/>
      <c r="BC8" s="527">
        <v>1652.6876248080487</v>
      </c>
      <c r="BE8" s="534">
        <v>45108</v>
      </c>
      <c r="BF8" s="536"/>
      <c r="BG8" s="532">
        <v>181328.99562248093</v>
      </c>
      <c r="BH8" s="532">
        <v>108092.74512248092</v>
      </c>
      <c r="BI8" s="532">
        <v>73236.250499999995</v>
      </c>
      <c r="BJ8" s="532"/>
      <c r="BK8" s="466"/>
    </row>
    <row r="9" spans="1:63" ht="12.75" customHeight="1">
      <c r="A9" s="468" t="s">
        <v>871</v>
      </c>
      <c r="B9" s="463">
        <v>89359.299591633637</v>
      </c>
      <c r="C9" s="463">
        <v>62181.396111282484</v>
      </c>
      <c r="D9" s="463">
        <v>71894.437221634827</v>
      </c>
      <c r="E9" s="463">
        <v>223435.13292455097</v>
      </c>
      <c r="F9" s="463">
        <v>78111.267831663776</v>
      </c>
      <c r="G9" s="463">
        <v>76985.07412721889</v>
      </c>
      <c r="H9" s="463">
        <v>66389.585468943886</v>
      </c>
      <c r="I9" s="463">
        <v>221485.92742782657</v>
      </c>
      <c r="J9" s="463">
        <v>65794.211666417308</v>
      </c>
      <c r="K9" s="463">
        <v>68828.306593414352</v>
      </c>
      <c r="L9" s="463">
        <v>69161.556998736327</v>
      </c>
      <c r="M9" s="463">
        <v>203784.07525856799</v>
      </c>
      <c r="N9" s="463">
        <v>69277.442496438933</v>
      </c>
      <c r="O9" s="463">
        <v>58558.805551433565</v>
      </c>
      <c r="P9" s="463">
        <v>57522.456651588727</v>
      </c>
      <c r="Q9" s="463">
        <v>185358.70469946123</v>
      </c>
      <c r="R9" s="463">
        <v>59212.786388152104</v>
      </c>
      <c r="S9" s="463">
        <v>56243.552401284367</v>
      </c>
      <c r="T9" s="463">
        <v>56520.894255102037</v>
      </c>
      <c r="U9" s="463">
        <v>171977.2330445385</v>
      </c>
      <c r="V9" s="463">
        <v>56049.502631962067</v>
      </c>
      <c r="W9" s="463">
        <v>54646.861498246275</v>
      </c>
      <c r="X9" s="463">
        <v>53067.905750870385</v>
      </c>
      <c r="Y9" s="463">
        <v>163764.26988107874</v>
      </c>
      <c r="Z9" s="463">
        <v>53011.11200878401</v>
      </c>
      <c r="AA9" s="463">
        <v>48018.150009513905</v>
      </c>
      <c r="AB9" s="463">
        <v>43105.39484181333</v>
      </c>
      <c r="AC9" s="463">
        <v>144134.65686011125</v>
      </c>
      <c r="AD9" s="463">
        <v>48039.210202965565</v>
      </c>
      <c r="AE9" s="463">
        <v>14750.591100000001</v>
      </c>
      <c r="AF9" s="463">
        <v>40567.097850516293</v>
      </c>
      <c r="AG9" s="463">
        <v>103356.89915348186</v>
      </c>
      <c r="AH9" s="463">
        <v>58127.104652390073</v>
      </c>
      <c r="AI9" s="463">
        <v>51703.740858694619</v>
      </c>
      <c r="AJ9" s="463">
        <v>51443.336759383448</v>
      </c>
      <c r="AK9" s="527">
        <v>161274.18227046813</v>
      </c>
      <c r="AL9" s="527">
        <v>52136.858950721449</v>
      </c>
      <c r="AM9" s="527">
        <v>0</v>
      </c>
      <c r="AN9" s="527">
        <v>0</v>
      </c>
      <c r="AO9" s="527">
        <v>52136.858950721449</v>
      </c>
      <c r="AP9" s="527" t="e">
        <v>#REF!</v>
      </c>
      <c r="AQ9" s="527" t="e">
        <v>#REF!</v>
      </c>
      <c r="AR9" s="527" t="e">
        <v>#REF!</v>
      </c>
      <c r="AS9" s="527" t="e">
        <v>#REF!</v>
      </c>
      <c r="AT9" s="527" t="e">
        <v>#REF!</v>
      </c>
      <c r="AU9" s="527" t="e">
        <v>#REF!</v>
      </c>
      <c r="AV9" s="527" t="e">
        <v>#REF!</v>
      </c>
      <c r="AW9" s="527" t="e">
        <v>#REF!</v>
      </c>
      <c r="AX9" s="527">
        <v>58239.569302528813</v>
      </c>
      <c r="AY9" s="527">
        <v>52793.179798578203</v>
      </c>
      <c r="AZ9" s="538" t="s">
        <v>873</v>
      </c>
      <c r="BA9" s="539">
        <v>126263.21362884794</v>
      </c>
      <c r="BC9" s="539">
        <v>61686.407124361423</v>
      </c>
      <c r="BD9" s="527"/>
      <c r="BE9" s="534">
        <v>45139</v>
      </c>
      <c r="BF9" s="536"/>
      <c r="BG9" s="532">
        <v>270201.88033537171</v>
      </c>
      <c r="BH9" s="532">
        <v>126034.56790006295</v>
      </c>
      <c r="BI9" s="532">
        <v>144167.31243530879</v>
      </c>
      <c r="BJ9" s="532"/>
      <c r="BK9" s="466"/>
    </row>
    <row r="10" spans="1:63" ht="12.75" customHeight="1">
      <c r="A10" s="468" t="s">
        <v>872</v>
      </c>
      <c r="B10" s="463">
        <v>6826.1815742057543</v>
      </c>
      <c r="C10" s="463">
        <v>-8892.4916444995124</v>
      </c>
      <c r="D10" s="463">
        <v>27417.974813149714</v>
      </c>
      <c r="E10" s="463">
        <v>25351.664742855955</v>
      </c>
      <c r="F10" s="463">
        <v>9254.4912908171336</v>
      </c>
      <c r="G10" s="463">
        <v>13508.624836577064</v>
      </c>
      <c r="H10" s="463">
        <v>18073.783924139298</v>
      </c>
      <c r="I10" s="463">
        <v>40836.900051533492</v>
      </c>
      <c r="J10" s="463">
        <v>28206.573634263328</v>
      </c>
      <c r="K10" s="463">
        <v>22596.205821479449</v>
      </c>
      <c r="L10" s="463">
        <v>12942.938950248094</v>
      </c>
      <c r="M10" s="463">
        <v>63745.718405990869</v>
      </c>
      <c r="N10" s="463">
        <v>17973.367539901079</v>
      </c>
      <c r="O10" s="463">
        <v>20866.679027428494</v>
      </c>
      <c r="P10" s="463">
        <v>25130.752875929957</v>
      </c>
      <c r="Q10" s="463">
        <v>63970.79944325953</v>
      </c>
      <c r="R10" s="463">
        <v>20388.452757759671</v>
      </c>
      <c r="S10" s="463">
        <v>28372.09129278313</v>
      </c>
      <c r="T10" s="463">
        <v>21719.651740816331</v>
      </c>
      <c r="U10" s="463">
        <v>70480.195791359132</v>
      </c>
      <c r="V10" s="463">
        <v>12892.665104940994</v>
      </c>
      <c r="W10" s="463">
        <v>10937.508894896147</v>
      </c>
      <c r="X10" s="463">
        <v>11472.558069176186</v>
      </c>
      <c r="Y10" s="463">
        <v>35302.732069013327</v>
      </c>
      <c r="Z10" s="463">
        <v>19721.947718916268</v>
      </c>
      <c r="AA10" s="463">
        <v>9411.0312085623336</v>
      </c>
      <c r="AB10" s="463">
        <v>4962.851692938294</v>
      </c>
      <c r="AC10" s="463">
        <v>34095.830620416898</v>
      </c>
      <c r="AD10" s="463">
        <v>6646.8542223718605</v>
      </c>
      <c r="AE10" s="463">
        <v>2734.8797639214458</v>
      </c>
      <c r="AF10" s="463">
        <v>4304.0425807150841</v>
      </c>
      <c r="AG10" s="463">
        <v>13685.77656700839</v>
      </c>
      <c r="AH10" s="463">
        <v>4365.7796079802083</v>
      </c>
      <c r="AI10" s="463">
        <v>8264.0509255333618</v>
      </c>
      <c r="AJ10" s="463">
        <v>4429.6341470523375</v>
      </c>
      <c r="AK10" s="527">
        <v>17059.464680565907</v>
      </c>
      <c r="AL10" s="527">
        <v>5592.7058831700624</v>
      </c>
      <c r="AM10" s="527">
        <v>0</v>
      </c>
      <c r="AN10" s="527">
        <v>0</v>
      </c>
      <c r="AO10" s="527">
        <v>5592.7058831700624</v>
      </c>
      <c r="AP10" s="527" t="e">
        <v>#REF!</v>
      </c>
      <c r="AQ10" s="527" t="e">
        <v>#REF!</v>
      </c>
      <c r="AR10" s="527" t="e">
        <v>#REF!</v>
      </c>
      <c r="AS10" s="527" t="e">
        <v>#REF!</v>
      </c>
      <c r="AT10" s="527" t="e">
        <v>#REF!</v>
      </c>
      <c r="AU10" s="527" t="e">
        <v>#REF!</v>
      </c>
      <c r="AV10" s="527" t="e">
        <v>#REF!</v>
      </c>
      <c r="AW10" s="527" t="e">
        <v>#REF!</v>
      </c>
      <c r="AX10" s="527">
        <v>13218.635294827631</v>
      </c>
      <c r="AY10" s="527">
        <v>6452.8909730583664</v>
      </c>
      <c r="AZ10" s="533" t="s">
        <v>537</v>
      </c>
      <c r="BA10" s="527">
        <v>180.7337</v>
      </c>
      <c r="BB10" s="527"/>
      <c r="BC10" s="527">
        <v>127.1879</v>
      </c>
      <c r="BD10" s="527"/>
      <c r="BE10" s="534">
        <v>45170</v>
      </c>
      <c r="BF10" s="536"/>
      <c r="BG10" s="532">
        <v>213658.19697829717</v>
      </c>
      <c r="BH10" s="532">
        <v>169896.74873907538</v>
      </c>
      <c r="BI10" s="532">
        <v>43761.448239221783</v>
      </c>
      <c r="BJ10" s="532"/>
      <c r="BK10" s="466"/>
    </row>
    <row r="11" spans="1:63" ht="12.75" customHeight="1">
      <c r="A11" s="468" t="s">
        <v>547</v>
      </c>
      <c r="B11" s="463">
        <v>6480.3435066859729</v>
      </c>
      <c r="C11" s="463">
        <v>6193.2805621619045</v>
      </c>
      <c r="D11" s="463">
        <v>6826.7784670812971</v>
      </c>
      <c r="E11" s="463">
        <v>19500.402535929174</v>
      </c>
      <c r="F11" s="463">
        <v>4295.1418999999996</v>
      </c>
      <c r="G11" s="463">
        <v>7633.7904066351157</v>
      </c>
      <c r="H11" s="463">
        <v>18838.74094359536</v>
      </c>
      <c r="I11" s="463">
        <v>30767.673250230473</v>
      </c>
      <c r="J11" s="463">
        <v>8526.8733535582433</v>
      </c>
      <c r="K11" s="463">
        <v>11786.73819509313</v>
      </c>
      <c r="L11" s="463">
        <v>12896.849236501233</v>
      </c>
      <c r="M11" s="463">
        <v>33210.460785152609</v>
      </c>
      <c r="N11" s="463">
        <v>10425.943157704683</v>
      </c>
      <c r="O11" s="463">
        <v>10511.833072681822</v>
      </c>
      <c r="P11" s="463">
        <v>13434.24533389118</v>
      </c>
      <c r="Q11" s="463">
        <v>34372.021564277689</v>
      </c>
      <c r="R11" s="463">
        <v>10600.616324510629</v>
      </c>
      <c r="S11" s="463">
        <v>14164.174876622925</v>
      </c>
      <c r="T11" s="463">
        <v>10535.616093877552</v>
      </c>
      <c r="U11" s="463">
        <v>35300.407295011108</v>
      </c>
      <c r="V11" s="463">
        <v>8850.7776000000013</v>
      </c>
      <c r="W11" s="463">
        <v>13069.290467270661</v>
      </c>
      <c r="X11" s="463">
        <v>11685.235679310346</v>
      </c>
      <c r="Y11" s="463">
        <v>33605.303746581005</v>
      </c>
      <c r="Z11" s="463">
        <v>10488.292607385574</v>
      </c>
      <c r="AA11" s="463">
        <v>10581.550471963697</v>
      </c>
      <c r="AB11" s="463">
        <v>7940.8581000000004</v>
      </c>
      <c r="AC11" s="463">
        <v>29010.701179349275</v>
      </c>
      <c r="AD11" s="463">
        <v>6460.6762627383741</v>
      </c>
      <c r="AE11" s="463">
        <v>2926</v>
      </c>
      <c r="AF11" s="463">
        <v>15162.579068321997</v>
      </c>
      <c r="AG11" s="463">
        <v>24549.255331060369</v>
      </c>
      <c r="AH11" s="463">
        <v>0</v>
      </c>
      <c r="AI11" s="463">
        <v>20487.235990556928</v>
      </c>
      <c r="AJ11" s="463">
        <v>7125.9937</v>
      </c>
      <c r="AK11" s="527">
        <v>27613.229690556927</v>
      </c>
      <c r="AL11" s="527">
        <v>8196.5401674152017</v>
      </c>
      <c r="AM11" s="527">
        <v>0</v>
      </c>
      <c r="AN11" s="527">
        <v>0</v>
      </c>
      <c r="AO11" s="527">
        <v>8196.5401674152017</v>
      </c>
      <c r="AP11" s="527" t="e">
        <v>#REF!</v>
      </c>
      <c r="AQ11" s="527" t="e">
        <v>#REF!</v>
      </c>
      <c r="AR11" s="527" t="e">
        <v>#REF!</v>
      </c>
      <c r="AS11" s="527" t="e">
        <v>#REF!</v>
      </c>
      <c r="AT11" s="527" t="e">
        <v>#REF!</v>
      </c>
      <c r="AU11" s="527" t="e">
        <v>#REF!</v>
      </c>
      <c r="AV11" s="527" t="e">
        <v>#REF!</v>
      </c>
      <c r="AW11" s="527" t="e">
        <v>#REF!</v>
      </c>
      <c r="AX11" s="527">
        <v>9861.6426980558517</v>
      </c>
      <c r="AY11" s="527">
        <v>7189.84375</v>
      </c>
      <c r="AZ11" s="540" t="s">
        <v>874</v>
      </c>
      <c r="BA11" s="527">
        <v>0</v>
      </c>
      <c r="BB11" s="527"/>
      <c r="BC11" s="527">
        <v>0</v>
      </c>
      <c r="BD11" s="527"/>
      <c r="BE11" s="534">
        <v>45200</v>
      </c>
      <c r="BF11" s="536"/>
      <c r="BG11" s="532">
        <v>186440.55784557803</v>
      </c>
      <c r="BH11" s="532">
        <v>137976.01330318872</v>
      </c>
      <c r="BI11" s="532">
        <v>48464.544542389311</v>
      </c>
      <c r="BJ11" s="532"/>
      <c r="BK11" s="466"/>
    </row>
    <row r="12" spans="1:63" ht="12" customHeight="1">
      <c r="A12" s="468" t="s">
        <v>545</v>
      </c>
      <c r="B12" s="463">
        <v>23597.388956322575</v>
      </c>
      <c r="C12" s="463">
        <v>17722.55010015388</v>
      </c>
      <c r="D12" s="463">
        <v>24867.542286717016</v>
      </c>
      <c r="E12" s="463">
        <v>66187.481343193474</v>
      </c>
      <c r="F12" s="463">
        <v>16431.844100000002</v>
      </c>
      <c r="G12" s="463">
        <v>27907.078529631883</v>
      </c>
      <c r="H12" s="463">
        <v>66594.638402396828</v>
      </c>
      <c r="I12" s="463">
        <v>110933.56103202871</v>
      </c>
      <c r="J12" s="463">
        <v>35448.35464894984</v>
      </c>
      <c r="K12" s="463">
        <v>30848.201869368862</v>
      </c>
      <c r="L12" s="463">
        <v>37761.533958574983</v>
      </c>
      <c r="M12" s="463">
        <v>104058.09047689367</v>
      </c>
      <c r="N12" s="463">
        <v>23658.233293976464</v>
      </c>
      <c r="O12" s="463">
        <v>41869.53090660509</v>
      </c>
      <c r="P12" s="463">
        <v>39110.217270213725</v>
      </c>
      <c r="Q12" s="463">
        <v>104637.98147079529</v>
      </c>
      <c r="R12" s="463">
        <v>39696.323800000006</v>
      </c>
      <c r="S12" s="463">
        <v>23343.578120332477</v>
      </c>
      <c r="T12" s="463">
        <v>58052.571500000005</v>
      </c>
      <c r="U12" s="463">
        <v>121092.47342033249</v>
      </c>
      <c r="V12" s="463">
        <v>31585.785363549137</v>
      </c>
      <c r="W12" s="463">
        <v>19689.233934544238</v>
      </c>
      <c r="X12" s="463">
        <v>-223.62463359574232</v>
      </c>
      <c r="Y12" s="463">
        <v>51051.394664497639</v>
      </c>
      <c r="Z12" s="463">
        <v>29729.128912925629</v>
      </c>
      <c r="AA12" s="463">
        <v>27418.594226591664</v>
      </c>
      <c r="AB12" s="463">
        <v>29264.831571062594</v>
      </c>
      <c r="AC12" s="463">
        <v>86412.554710579891</v>
      </c>
      <c r="AD12" s="463">
        <v>26325.767300000003</v>
      </c>
      <c r="AE12" s="463">
        <v>28567.934500000003</v>
      </c>
      <c r="AF12" s="463">
        <v>1652.6876248080487</v>
      </c>
      <c r="AG12" s="463">
        <v>56546.389424808061</v>
      </c>
      <c r="AH12" s="463">
        <v>18789.431897901206</v>
      </c>
      <c r="AI12" s="463">
        <v>30326.830422893468</v>
      </c>
      <c r="AJ12" s="463">
        <v>19618.578035068585</v>
      </c>
      <c r="AK12" s="527">
        <v>68734.840355863256</v>
      </c>
      <c r="AL12" s="527">
        <v>23319.465500463233</v>
      </c>
      <c r="AM12" s="527">
        <v>0</v>
      </c>
      <c r="AN12" s="527">
        <v>0</v>
      </c>
      <c r="AO12" s="527">
        <v>23319.465500463233</v>
      </c>
      <c r="AP12" s="527" t="e">
        <v>#REF!</v>
      </c>
      <c r="AQ12" s="527" t="e">
        <v>#REF!</v>
      </c>
      <c r="AR12" s="527" t="e">
        <v>#REF!</v>
      </c>
      <c r="AS12" s="527" t="e">
        <v>#REF!</v>
      </c>
      <c r="AT12" s="527" t="e">
        <v>#REF!</v>
      </c>
      <c r="AU12" s="527" t="e">
        <v>#REF!</v>
      </c>
      <c r="AV12" s="527" t="e">
        <v>#REF!</v>
      </c>
      <c r="AW12" s="527" t="e">
        <v>#REF!</v>
      </c>
      <c r="AX12" s="527">
        <v>28320.508299980564</v>
      </c>
      <c r="AY12" s="527">
        <v>15904.420712181378</v>
      </c>
      <c r="AZ12" s="533" t="s">
        <v>534</v>
      </c>
      <c r="BA12" s="527">
        <v>0</v>
      </c>
      <c r="BB12" s="527"/>
      <c r="BC12" s="527">
        <v>0</v>
      </c>
      <c r="BD12" s="527"/>
      <c r="BE12" s="534">
        <v>45231</v>
      </c>
      <c r="BF12" s="536"/>
      <c r="BG12" s="532">
        <v>198166.05780125555</v>
      </c>
      <c r="BH12" s="532">
        <v>134059.45247935579</v>
      </c>
      <c r="BI12" s="532">
        <v>64106.605321899748</v>
      </c>
      <c r="BJ12" s="532"/>
      <c r="BK12" s="466"/>
    </row>
    <row r="13" spans="1:63" ht="12.75" customHeight="1">
      <c r="A13" s="452" t="s">
        <v>873</v>
      </c>
      <c r="B13" s="475">
        <v>126263.21362884794</v>
      </c>
      <c r="C13" s="475">
        <v>77204.735129098757</v>
      </c>
      <c r="D13" s="475">
        <v>131006.73278858286</v>
      </c>
      <c r="E13" s="475">
        <v>334474.68154652964</v>
      </c>
      <c r="F13" s="475">
        <v>108092.74512248092</v>
      </c>
      <c r="G13" s="475">
        <v>126034.56790006295</v>
      </c>
      <c r="H13" s="475">
        <v>169896.74873907538</v>
      </c>
      <c r="I13" s="475">
        <v>404024.06176161923</v>
      </c>
      <c r="J13" s="475">
        <v>137976.01330318872</v>
      </c>
      <c r="K13" s="475">
        <v>134059.45247935579</v>
      </c>
      <c r="L13" s="475">
        <v>132762.87914406063</v>
      </c>
      <c r="M13" s="475">
        <v>404798.34492660512</v>
      </c>
      <c r="N13" s="475">
        <v>121334.98648802115</v>
      </c>
      <c r="O13" s="475">
        <v>131806.84855814898</v>
      </c>
      <c r="P13" s="475">
        <v>135197.67213162361</v>
      </c>
      <c r="Q13" s="475">
        <v>388339.50717779377</v>
      </c>
      <c r="R13" s="475">
        <v>129898.17927042241</v>
      </c>
      <c r="S13" s="475">
        <v>122123.39669102289</v>
      </c>
      <c r="T13" s="475">
        <v>146828.73358979594</v>
      </c>
      <c r="U13" s="475">
        <v>398850.30955124123</v>
      </c>
      <c r="V13" s="475">
        <v>109378.7307004522</v>
      </c>
      <c r="W13" s="475">
        <v>98342.894794957334</v>
      </c>
      <c r="X13" s="475">
        <v>76002.074865761169</v>
      </c>
      <c r="Y13" s="475">
        <v>283723.70036117069</v>
      </c>
      <c r="Z13" s="475">
        <v>112950.48124801149</v>
      </c>
      <c r="AA13" s="475">
        <v>95429.325916631598</v>
      </c>
      <c r="AB13" s="475">
        <v>85273.936205814214</v>
      </c>
      <c r="AC13" s="475">
        <v>293653.74337045732</v>
      </c>
      <c r="AD13" s="475">
        <v>87472.507988075798</v>
      </c>
      <c r="AE13" s="475">
        <v>48979.405363921454</v>
      </c>
      <c r="AF13" s="475">
        <v>61686.407124361423</v>
      </c>
      <c r="AG13" s="475">
        <v>198138.32047635867</v>
      </c>
      <c r="AH13" s="475">
        <v>81282.316158271482</v>
      </c>
      <c r="AI13" s="475">
        <v>110781.85819767838</v>
      </c>
      <c r="AJ13" s="475">
        <v>82617.542641504377</v>
      </c>
      <c r="AK13" s="541">
        <v>274681.71699745423</v>
      </c>
      <c r="AL13" s="541">
        <v>89245.570501769951</v>
      </c>
      <c r="AM13" s="541">
        <v>0</v>
      </c>
      <c r="AN13" s="541">
        <v>0</v>
      </c>
      <c r="AO13" s="541">
        <v>89245.570501769951</v>
      </c>
      <c r="AP13" s="541" t="e">
        <v>#REF!</v>
      </c>
      <c r="AQ13" s="541" t="e">
        <v>#REF!</v>
      </c>
      <c r="AR13" s="541" t="e">
        <v>#REF!</v>
      </c>
      <c r="AS13" s="541" t="e">
        <v>#REF!</v>
      </c>
      <c r="AT13" s="541" t="e">
        <v>#REF!</v>
      </c>
      <c r="AU13" s="541" t="e">
        <v>#REF!</v>
      </c>
      <c r="AV13" s="541" t="e">
        <v>#REF!</v>
      </c>
      <c r="AW13" s="541" t="e">
        <v>#REF!</v>
      </c>
      <c r="AX13" s="541">
        <v>109640.35559539284</v>
      </c>
      <c r="AY13" s="541">
        <v>82340.335233817954</v>
      </c>
      <c r="AZ13" s="533" t="s">
        <v>535</v>
      </c>
      <c r="BA13" s="527">
        <v>49259.887488999622</v>
      </c>
      <c r="BB13" s="527"/>
      <c r="BC13" s="527">
        <v>1204.3137580481402</v>
      </c>
      <c r="BD13" s="527"/>
      <c r="BE13" s="534">
        <v>45261</v>
      </c>
      <c r="BF13" s="536"/>
      <c r="BG13" s="532">
        <v>199494.84731181923</v>
      </c>
      <c r="BH13" s="532">
        <v>132762.87914406063</v>
      </c>
      <c r="BI13" s="532">
        <v>66731.968167758605</v>
      </c>
      <c r="BJ13" s="532"/>
      <c r="BK13" s="466"/>
    </row>
    <row r="14" spans="1:63" ht="12.75" customHeight="1">
      <c r="A14" s="468" t="s">
        <v>537</v>
      </c>
      <c r="B14" s="463">
        <v>180.7337</v>
      </c>
      <c r="C14" s="463">
        <v>148.8802</v>
      </c>
      <c r="D14" s="463">
        <v>5142.0859</v>
      </c>
      <c r="E14" s="463">
        <v>5471.6998000000003</v>
      </c>
      <c r="F14" s="463">
        <v>189.67130000000003</v>
      </c>
      <c r="G14" s="463">
        <v>5789.6598612757334</v>
      </c>
      <c r="H14" s="463">
        <v>3345.0563999999999</v>
      </c>
      <c r="I14" s="463">
        <v>9324.3875612757329</v>
      </c>
      <c r="J14" s="463">
        <v>1077.1138000000001</v>
      </c>
      <c r="K14" s="463">
        <v>618.41010000000006</v>
      </c>
      <c r="L14" s="463">
        <v>25189.237582526388</v>
      </c>
      <c r="M14" s="463">
        <v>26884.761482526388</v>
      </c>
      <c r="N14" s="463">
        <v>8288.6265000000003</v>
      </c>
      <c r="O14" s="463">
        <v>5239.6084316652386</v>
      </c>
      <c r="P14" s="463">
        <v>293.35809999999998</v>
      </c>
      <c r="Q14" s="463">
        <v>13821.593031665239</v>
      </c>
      <c r="R14" s="463">
        <v>12515.128005600825</v>
      </c>
      <c r="S14" s="463">
        <v>1037.7325000000001</v>
      </c>
      <c r="T14" s="463">
        <v>2468.0677000000001</v>
      </c>
      <c r="U14" s="463">
        <v>16020.928205600825</v>
      </c>
      <c r="V14" s="463">
        <v>643.02840000000003</v>
      </c>
      <c r="W14" s="463">
        <v>445.62980000000005</v>
      </c>
      <c r="X14" s="463">
        <v>390.6875</v>
      </c>
      <c r="Y14" s="463">
        <v>1479.3457000000001</v>
      </c>
      <c r="Z14" s="463">
        <v>271.0806</v>
      </c>
      <c r="AA14" s="463">
        <v>312.65640000000002</v>
      </c>
      <c r="AB14" s="463">
        <v>722.13680000000011</v>
      </c>
      <c r="AC14" s="463">
        <v>1305.8738000000003</v>
      </c>
      <c r="AD14" s="463">
        <v>151.84610000000001</v>
      </c>
      <c r="AE14" s="463">
        <v>214.10339999999999</v>
      </c>
      <c r="AF14" s="463">
        <v>127.1879</v>
      </c>
      <c r="AG14" s="463">
        <v>493.13740000000001</v>
      </c>
      <c r="AH14" s="463">
        <v>0</v>
      </c>
      <c r="AI14" s="463">
        <v>0</v>
      </c>
      <c r="AJ14" s="463">
        <v>0</v>
      </c>
      <c r="AK14" s="527">
        <v>0</v>
      </c>
      <c r="AL14" s="527">
        <v>0</v>
      </c>
      <c r="AM14" s="527">
        <v>0</v>
      </c>
      <c r="AN14" s="527">
        <v>0</v>
      </c>
      <c r="AO14" s="527">
        <v>0</v>
      </c>
      <c r="AP14" s="527" t="e">
        <v>#REF!</v>
      </c>
      <c r="AQ14" s="527" t="e">
        <v>#REF!</v>
      </c>
      <c r="AR14" s="527" t="e">
        <v>#REF!</v>
      </c>
      <c r="AS14" s="527" t="e">
        <v>#REF!</v>
      </c>
      <c r="AT14" s="527" t="e">
        <v>#REF!</v>
      </c>
      <c r="AU14" s="527" t="e">
        <v>#REF!</v>
      </c>
      <c r="AV14" s="527" t="e">
        <v>#REF!</v>
      </c>
      <c r="AW14" s="527" t="e">
        <v>#REF!</v>
      </c>
      <c r="AX14" s="527">
        <v>2671.4902493238637</v>
      </c>
      <c r="AY14" s="527"/>
      <c r="AZ14" s="533" t="s">
        <v>549</v>
      </c>
      <c r="BA14" s="527">
        <v>26675.743500000004</v>
      </c>
      <c r="BB14" s="527"/>
      <c r="BC14" s="527">
        <v>0</v>
      </c>
      <c r="BD14" s="527"/>
      <c r="BE14" s="534">
        <v>45292</v>
      </c>
      <c r="BF14" s="536"/>
      <c r="BG14" s="532">
        <v>216252.66116123402</v>
      </c>
      <c r="BH14" s="532">
        <v>121334.98648802115</v>
      </c>
      <c r="BI14" s="532">
        <v>94917.674673212867</v>
      </c>
      <c r="BJ14" s="532"/>
      <c r="BK14" s="466"/>
    </row>
    <row r="15" spans="1:63" ht="12.75" customHeight="1">
      <c r="A15" s="474" t="s">
        <v>874</v>
      </c>
      <c r="B15" s="463">
        <v>0</v>
      </c>
      <c r="C15" s="463">
        <v>0</v>
      </c>
      <c r="D15" s="463">
        <v>0</v>
      </c>
      <c r="E15" s="463">
        <v>0</v>
      </c>
      <c r="F15" s="463">
        <v>0</v>
      </c>
      <c r="G15" s="463">
        <v>0</v>
      </c>
      <c r="H15" s="463">
        <v>0</v>
      </c>
      <c r="I15" s="463">
        <v>0</v>
      </c>
      <c r="J15" s="463">
        <v>0</v>
      </c>
      <c r="K15" s="463">
        <v>0</v>
      </c>
      <c r="L15" s="463">
        <v>0</v>
      </c>
      <c r="M15" s="463">
        <v>0</v>
      </c>
      <c r="N15" s="463">
        <v>0</v>
      </c>
      <c r="O15" s="463">
        <v>0</v>
      </c>
      <c r="P15" s="463">
        <v>0</v>
      </c>
      <c r="Q15" s="463">
        <v>0</v>
      </c>
      <c r="R15" s="463">
        <v>0</v>
      </c>
      <c r="S15" s="463">
        <v>0</v>
      </c>
      <c r="T15" s="463">
        <v>0</v>
      </c>
      <c r="U15" s="463">
        <v>0</v>
      </c>
      <c r="V15" s="463">
        <v>0</v>
      </c>
      <c r="W15" s="463">
        <v>0</v>
      </c>
      <c r="X15" s="463">
        <v>0</v>
      </c>
      <c r="Y15" s="463">
        <v>0</v>
      </c>
      <c r="Z15" s="463">
        <v>0</v>
      </c>
      <c r="AA15" s="463">
        <v>0</v>
      </c>
      <c r="AB15" s="463">
        <v>0</v>
      </c>
      <c r="AC15" s="463">
        <v>0</v>
      </c>
      <c r="AD15" s="463">
        <v>0</v>
      </c>
      <c r="AE15" s="463">
        <v>0</v>
      </c>
      <c r="AF15" s="463">
        <v>0</v>
      </c>
      <c r="AG15" s="463">
        <v>0</v>
      </c>
      <c r="AH15" s="463">
        <v>0</v>
      </c>
      <c r="AI15" s="463">
        <v>0</v>
      </c>
      <c r="AJ15" s="463">
        <v>0</v>
      </c>
      <c r="AK15" s="527">
        <v>0</v>
      </c>
      <c r="AL15" s="527">
        <v>0</v>
      </c>
      <c r="AM15" s="527">
        <v>0</v>
      </c>
      <c r="AN15" s="527">
        <v>0</v>
      </c>
      <c r="AO15" s="527">
        <v>0</v>
      </c>
      <c r="AP15" s="527" t="e">
        <v>#REF!</v>
      </c>
      <c r="AQ15" s="527" t="e">
        <v>#REF!</v>
      </c>
      <c r="AR15" s="527" t="e">
        <v>#REF!</v>
      </c>
      <c r="AS15" s="527" t="e">
        <v>#REF!</v>
      </c>
      <c r="AT15" s="527" t="e">
        <v>#REF!</v>
      </c>
      <c r="AU15" s="527" t="e">
        <v>#REF!</v>
      </c>
      <c r="AV15" s="527" t="e">
        <v>#REF!</v>
      </c>
      <c r="AW15" s="527" t="e">
        <v>#REF!</v>
      </c>
      <c r="AX15" s="527">
        <v>0</v>
      </c>
      <c r="AY15" s="527"/>
      <c r="AZ15" s="533" t="s">
        <v>875</v>
      </c>
      <c r="BA15" s="527">
        <v>0</v>
      </c>
      <c r="BB15" s="527"/>
      <c r="BC15" s="527">
        <v>0</v>
      </c>
      <c r="BD15" s="527"/>
      <c r="BE15" s="534">
        <v>45323</v>
      </c>
      <c r="BF15" s="536"/>
      <c r="BG15" s="532">
        <v>206534.66146818805</v>
      </c>
      <c r="BH15" s="532">
        <v>131806.84855814898</v>
      </c>
      <c r="BI15" s="532">
        <v>74727.81291003908</v>
      </c>
      <c r="BJ15" s="532"/>
      <c r="BK15" s="466"/>
    </row>
    <row r="16" spans="1:63" ht="12.75" customHeight="1">
      <c r="A16" s="468" t="s">
        <v>534</v>
      </c>
      <c r="B16" s="463">
        <v>0</v>
      </c>
      <c r="C16" s="463">
        <v>0</v>
      </c>
      <c r="D16" s="463">
        <v>3828.7242000000001</v>
      </c>
      <c r="E16" s="463">
        <v>3828.7242000000001</v>
      </c>
      <c r="F16" s="463">
        <v>0</v>
      </c>
      <c r="G16" s="463">
        <v>3499.4162000000001</v>
      </c>
      <c r="H16" s="463">
        <v>0</v>
      </c>
      <c r="I16" s="463">
        <v>3499.4162000000001</v>
      </c>
      <c r="J16" s="463">
        <v>0</v>
      </c>
      <c r="K16" s="463">
        <v>0</v>
      </c>
      <c r="L16" s="463">
        <v>0</v>
      </c>
      <c r="M16" s="463">
        <v>0</v>
      </c>
      <c r="N16" s="463">
        <v>5218.8002999999999</v>
      </c>
      <c r="O16" s="463">
        <v>4337.7851584963682</v>
      </c>
      <c r="P16" s="463">
        <v>0</v>
      </c>
      <c r="Q16" s="463">
        <v>9556.5854584963672</v>
      </c>
      <c r="R16" s="463">
        <v>0</v>
      </c>
      <c r="S16" s="463">
        <v>638.53262737286013</v>
      </c>
      <c r="T16" s="463">
        <v>0</v>
      </c>
      <c r="U16" s="463">
        <v>638.53262737286013</v>
      </c>
      <c r="V16" s="463">
        <v>1492.3888827616631</v>
      </c>
      <c r="W16" s="463">
        <v>0</v>
      </c>
      <c r="X16" s="463">
        <v>4708.2</v>
      </c>
      <c r="Y16" s="463">
        <v>6200.5888827616627</v>
      </c>
      <c r="Z16" s="463">
        <v>0</v>
      </c>
      <c r="AA16" s="463">
        <v>0</v>
      </c>
      <c r="AB16" s="463">
        <v>0</v>
      </c>
      <c r="AC16" s="463">
        <v>0</v>
      </c>
      <c r="AD16" s="463">
        <v>0</v>
      </c>
      <c r="AE16" s="463">
        <v>418.55099999999999</v>
      </c>
      <c r="AF16" s="463">
        <v>0</v>
      </c>
      <c r="AG16" s="463">
        <v>418.55099999999999</v>
      </c>
      <c r="AH16" s="463">
        <v>0</v>
      </c>
      <c r="AI16" s="463">
        <v>0</v>
      </c>
      <c r="AJ16" s="463">
        <v>0</v>
      </c>
      <c r="AK16" s="527">
        <v>0</v>
      </c>
      <c r="AL16" s="527">
        <v>0</v>
      </c>
      <c r="AM16" s="527">
        <v>0</v>
      </c>
      <c r="AN16" s="527">
        <v>0</v>
      </c>
      <c r="AO16" s="527">
        <v>0</v>
      </c>
      <c r="AP16" s="527" t="e">
        <v>#REF!</v>
      </c>
      <c r="AQ16" s="527" t="e">
        <v>#REF!</v>
      </c>
      <c r="AR16" s="527" t="e">
        <v>#REF!</v>
      </c>
      <c r="AS16" s="527" t="e">
        <v>#REF!</v>
      </c>
      <c r="AT16" s="527" t="e">
        <v>#REF!</v>
      </c>
      <c r="AU16" s="527" t="e">
        <v>#REF!</v>
      </c>
      <c r="AV16" s="527" t="e">
        <v>#REF!</v>
      </c>
      <c r="AW16" s="527" t="e">
        <v>#REF!</v>
      </c>
      <c r="AX16" s="527">
        <v>862.22851316538902</v>
      </c>
      <c r="AY16" s="527"/>
      <c r="AZ16" s="533" t="s">
        <v>876</v>
      </c>
      <c r="BA16" s="527">
        <v>10914.257125697528</v>
      </c>
      <c r="BB16" s="527"/>
      <c r="BC16" s="527">
        <v>376.65061392179211</v>
      </c>
      <c r="BD16" s="527"/>
      <c r="BE16" s="534">
        <v>45352</v>
      </c>
      <c r="BF16" s="536"/>
      <c r="BG16" s="532">
        <v>173102.65351925898</v>
      </c>
      <c r="BH16" s="532">
        <v>135197.67213162361</v>
      </c>
      <c r="BI16" s="532">
        <v>37904.98138763538</v>
      </c>
      <c r="BJ16" s="532"/>
      <c r="BK16" s="466"/>
    </row>
    <row r="17" spans="1:63" ht="12.75" customHeight="1">
      <c r="A17" s="468" t="s">
        <v>535</v>
      </c>
      <c r="B17" s="463">
        <v>49259.887488999622</v>
      </c>
      <c r="C17" s="463">
        <v>53205.806893893263</v>
      </c>
      <c r="D17" s="463">
        <v>56969.478303420699</v>
      </c>
      <c r="E17" s="463">
        <v>159435.1726863136</v>
      </c>
      <c r="F17" s="463">
        <v>56219.658600000002</v>
      </c>
      <c r="G17" s="463">
        <v>75182.173500000004</v>
      </c>
      <c r="H17" s="463">
        <v>8913.6261392217821</v>
      </c>
      <c r="I17" s="463">
        <v>140315.45823922177</v>
      </c>
      <c r="J17" s="463">
        <v>5467.2139423893068</v>
      </c>
      <c r="K17" s="463">
        <v>38051.830998162222</v>
      </c>
      <c r="L17" s="463">
        <v>9946.7121934270199</v>
      </c>
      <c r="M17" s="463">
        <v>53465.75713397855</v>
      </c>
      <c r="N17" s="463">
        <v>5472.2931571059735</v>
      </c>
      <c r="O17" s="463">
        <v>1953.1939447158097</v>
      </c>
      <c r="P17" s="463">
        <v>3207.4014000000002</v>
      </c>
      <c r="Q17" s="463">
        <v>10632.888501821784</v>
      </c>
      <c r="R17" s="463">
        <v>16086.243600000002</v>
      </c>
      <c r="S17" s="463">
        <v>1587.5678000000003</v>
      </c>
      <c r="T17" s="463">
        <v>3450.4190000000003</v>
      </c>
      <c r="U17" s="463">
        <v>21124.230400000004</v>
      </c>
      <c r="V17" s="463">
        <v>14916.601700000001</v>
      </c>
      <c r="W17" s="463">
        <v>-3078.9234000000001</v>
      </c>
      <c r="X17" s="463">
        <v>211.82910000000001</v>
      </c>
      <c r="Y17" s="463">
        <v>12049.507400000002</v>
      </c>
      <c r="Z17" s="463">
        <v>6528.7705000000005</v>
      </c>
      <c r="AA17" s="463">
        <v>267.30340000000001</v>
      </c>
      <c r="AB17" s="463">
        <v>4341.3594000000003</v>
      </c>
      <c r="AC17" s="463">
        <v>11137.433300000001</v>
      </c>
      <c r="AD17" s="463">
        <v>500.14650000000006</v>
      </c>
      <c r="AE17" s="463">
        <v>269.45800000000003</v>
      </c>
      <c r="AF17" s="463">
        <v>1204.3137580481402</v>
      </c>
      <c r="AG17" s="463">
        <v>1973.9182580481404</v>
      </c>
      <c r="AH17" s="476">
        <v>31100.041700000005</v>
      </c>
      <c r="AI17" s="476">
        <v>8744.4376646667479</v>
      </c>
      <c r="AJ17" s="476">
        <v>4386.5528000000004</v>
      </c>
      <c r="AK17" s="527">
        <v>44231.032164666751</v>
      </c>
      <c r="AL17" s="527">
        <v>104063.01210191082</v>
      </c>
      <c r="AM17" s="527">
        <v>0</v>
      </c>
      <c r="AN17" s="527">
        <v>0</v>
      </c>
      <c r="AO17" s="527">
        <v>104063.01210191082</v>
      </c>
      <c r="AP17" s="527" t="e">
        <v>#REF!</v>
      </c>
      <c r="AQ17" s="527" t="e">
        <v>#REF!</v>
      </c>
      <c r="AR17" s="527" t="e">
        <v>#REF!</v>
      </c>
      <c r="AS17" s="527" t="e">
        <v>#REF!</v>
      </c>
      <c r="AT17" s="527" t="e">
        <v>#REF!</v>
      </c>
      <c r="AU17" s="527" t="e">
        <v>#REF!</v>
      </c>
      <c r="AV17" s="527" t="e">
        <v>#REF!</v>
      </c>
      <c r="AW17" s="527" t="e">
        <v>#REF!</v>
      </c>
      <c r="AX17" s="527">
        <v>19943.87179235576</v>
      </c>
      <c r="AY17" s="527"/>
      <c r="AZ17" s="533" t="s">
        <v>877</v>
      </c>
      <c r="BA17" s="527">
        <v>0</v>
      </c>
      <c r="BB17" s="527"/>
      <c r="BC17" s="527">
        <v>0</v>
      </c>
      <c r="BD17" s="527"/>
      <c r="BE17" s="534">
        <v>45383</v>
      </c>
      <c r="BF17" s="536"/>
      <c r="BG17" s="532">
        <v>203077.59981588461</v>
      </c>
      <c r="BH17" s="532">
        <v>129898.17927042241</v>
      </c>
      <c r="BI17" s="532">
        <v>73179.420545462213</v>
      </c>
      <c r="BJ17" s="532"/>
      <c r="BK17" s="466"/>
    </row>
    <row r="18" spans="1:63" ht="12.75" customHeight="1">
      <c r="A18" s="468" t="s">
        <v>549</v>
      </c>
      <c r="B18" s="463">
        <v>26675.743500000004</v>
      </c>
      <c r="C18" s="463">
        <v>6633.7474000000002</v>
      </c>
      <c r="D18" s="463">
        <v>48166.309099999999</v>
      </c>
      <c r="E18" s="463">
        <v>81475.8</v>
      </c>
      <c r="F18" s="463">
        <v>13708.017400000002</v>
      </c>
      <c r="G18" s="463">
        <v>6650</v>
      </c>
      <c r="H18" s="463">
        <v>10640</v>
      </c>
      <c r="I18" s="463">
        <v>30998.017400000004</v>
      </c>
      <c r="J18" s="463">
        <v>8742.8480999999992</v>
      </c>
      <c r="K18" s="463">
        <v>9071.3847000000005</v>
      </c>
      <c r="L18" s="463">
        <v>15734.817700000001</v>
      </c>
      <c r="M18" s="463">
        <v>33549.050499999998</v>
      </c>
      <c r="N18" s="463">
        <v>13461.7147</v>
      </c>
      <c r="O18" s="463">
        <v>8866.6046000000006</v>
      </c>
      <c r="P18" s="463">
        <v>13522.761700000001</v>
      </c>
      <c r="Q18" s="463">
        <v>35851.081000000006</v>
      </c>
      <c r="R18" s="463">
        <v>12463.017700000002</v>
      </c>
      <c r="S18" s="463">
        <v>0</v>
      </c>
      <c r="T18" s="463">
        <v>16192.816499999999</v>
      </c>
      <c r="U18" s="463">
        <v>28655.834200000001</v>
      </c>
      <c r="V18" s="463">
        <v>798</v>
      </c>
      <c r="W18" s="463">
        <v>273.95339999999999</v>
      </c>
      <c r="X18" s="463">
        <v>0</v>
      </c>
      <c r="Y18" s="463">
        <v>1071.9533999999999</v>
      </c>
      <c r="Z18" s="463">
        <v>884.23720000000014</v>
      </c>
      <c r="AA18" s="463">
        <v>0</v>
      </c>
      <c r="AB18" s="463">
        <v>23496.990300000001</v>
      </c>
      <c r="AC18" s="463">
        <v>24381.227500000001</v>
      </c>
      <c r="AD18" s="463">
        <v>798</v>
      </c>
      <c r="AE18" s="463">
        <v>322.56490000000002</v>
      </c>
      <c r="AF18" s="463">
        <v>0</v>
      </c>
      <c r="AG18" s="463">
        <v>1120.5649000000001</v>
      </c>
      <c r="AH18" s="463">
        <v>9522.8000000000011</v>
      </c>
      <c r="AI18" s="463">
        <v>10161.200000000001</v>
      </c>
      <c r="AJ18" s="463">
        <v>27001.061500000007</v>
      </c>
      <c r="AK18" s="527">
        <v>46685.061500000011</v>
      </c>
      <c r="AL18" s="527">
        <v>6650</v>
      </c>
      <c r="AM18" s="527">
        <v>0</v>
      </c>
      <c r="AN18" s="527">
        <v>0</v>
      </c>
      <c r="AO18" s="527">
        <v>6650</v>
      </c>
      <c r="AP18" s="527" t="e">
        <v>#REF!</v>
      </c>
      <c r="AQ18" s="527" t="e">
        <v>#REF!</v>
      </c>
      <c r="AR18" s="527" t="e">
        <v>#REF!</v>
      </c>
      <c r="AS18" s="527" t="e">
        <v>#REF!</v>
      </c>
      <c r="AT18" s="527" t="e">
        <v>#REF!</v>
      </c>
      <c r="AU18" s="527" t="e">
        <v>#REF!</v>
      </c>
      <c r="AV18" s="527" t="e">
        <v>#REF!</v>
      </c>
      <c r="AW18" s="527" t="e">
        <v>#REF!</v>
      </c>
      <c r="AX18" s="527">
        <v>10372.8068</v>
      </c>
      <c r="AY18" s="527">
        <v>7260.9647599999998</v>
      </c>
      <c r="AZ18" s="533" t="s">
        <v>546</v>
      </c>
      <c r="BA18" s="527">
        <v>3630.9</v>
      </c>
      <c r="BB18" s="527"/>
      <c r="BC18" s="527">
        <v>3592.2502000000004</v>
      </c>
      <c r="BD18" s="527"/>
      <c r="BE18" s="534">
        <v>45413</v>
      </c>
      <c r="BF18" s="536"/>
      <c r="BG18" s="532">
        <v>141382.08382641876</v>
      </c>
      <c r="BH18" s="532">
        <v>122123.39669102289</v>
      </c>
      <c r="BI18" s="532">
        <v>19258.687135395881</v>
      </c>
      <c r="BJ18" s="532"/>
      <c r="BK18" s="466"/>
    </row>
    <row r="19" spans="1:63" ht="12.75" customHeight="1">
      <c r="A19" s="468" t="s">
        <v>875</v>
      </c>
      <c r="B19" s="463">
        <v>0</v>
      </c>
      <c r="C19" s="463">
        <v>0</v>
      </c>
      <c r="D19" s="463">
        <v>0</v>
      </c>
      <c r="E19" s="463">
        <v>0</v>
      </c>
      <c r="F19" s="463">
        <v>0</v>
      </c>
      <c r="G19" s="463">
        <v>0</v>
      </c>
      <c r="H19" s="463">
        <v>0</v>
      </c>
      <c r="I19" s="463">
        <v>0</v>
      </c>
      <c r="J19" s="463">
        <v>0</v>
      </c>
      <c r="K19" s="463">
        <v>169.50850000000003</v>
      </c>
      <c r="L19" s="463">
        <v>0</v>
      </c>
      <c r="M19" s="463">
        <v>169.50850000000003</v>
      </c>
      <c r="N19" s="463">
        <v>0</v>
      </c>
      <c r="O19" s="463">
        <v>0</v>
      </c>
      <c r="P19" s="463">
        <v>0</v>
      </c>
      <c r="Q19" s="463">
        <v>0</v>
      </c>
      <c r="R19" s="463">
        <v>0</v>
      </c>
      <c r="S19" s="463">
        <v>140.9667</v>
      </c>
      <c r="T19" s="463">
        <v>207.63960000000003</v>
      </c>
      <c r="U19" s="463">
        <v>348.60630000000003</v>
      </c>
      <c r="V19" s="463">
        <v>0</v>
      </c>
      <c r="W19" s="463">
        <v>0</v>
      </c>
      <c r="X19" s="463">
        <v>0</v>
      </c>
      <c r="Y19" s="463">
        <v>0</v>
      </c>
      <c r="Z19" s="463">
        <v>0</v>
      </c>
      <c r="AA19" s="463">
        <v>0</v>
      </c>
      <c r="AB19" s="463">
        <v>0</v>
      </c>
      <c r="AC19" s="463">
        <v>0</v>
      </c>
      <c r="AD19" s="463">
        <v>0</v>
      </c>
      <c r="AE19" s="463">
        <v>0</v>
      </c>
      <c r="AF19" s="463">
        <v>0</v>
      </c>
      <c r="AG19" s="463">
        <v>0</v>
      </c>
      <c r="AH19" s="463">
        <v>0</v>
      </c>
      <c r="AI19" s="463">
        <v>0</v>
      </c>
      <c r="AJ19" s="463">
        <v>0</v>
      </c>
      <c r="AK19" s="527">
        <v>0</v>
      </c>
      <c r="AL19" s="527">
        <v>0</v>
      </c>
      <c r="AM19" s="527">
        <v>0</v>
      </c>
      <c r="AN19" s="527">
        <v>0</v>
      </c>
      <c r="AO19" s="527">
        <v>0</v>
      </c>
      <c r="AP19" s="527" t="e">
        <v>#REF!</v>
      </c>
      <c r="AQ19" s="527" t="e">
        <v>#REF!</v>
      </c>
      <c r="AR19" s="527" t="e">
        <v>#REF!</v>
      </c>
      <c r="AS19" s="527" t="e">
        <v>#REF!</v>
      </c>
      <c r="AT19" s="527" t="e">
        <v>#REF!</v>
      </c>
      <c r="AU19" s="527" t="e">
        <v>#REF!</v>
      </c>
      <c r="AV19" s="527" t="e">
        <v>#REF!</v>
      </c>
      <c r="AW19" s="527" t="e">
        <v>#REF!</v>
      </c>
      <c r="AX19" s="527">
        <v>18.504100000000001</v>
      </c>
      <c r="AY19" s="527"/>
      <c r="AZ19" s="533" t="s">
        <v>550</v>
      </c>
      <c r="BA19" s="527">
        <v>0</v>
      </c>
      <c r="BB19" s="527"/>
      <c r="BC19" s="527">
        <v>0</v>
      </c>
      <c r="BD19" s="527"/>
      <c r="BE19" s="534">
        <v>45444</v>
      </c>
      <c r="BF19" s="536"/>
      <c r="BG19" s="532">
        <v>185858.48798979595</v>
      </c>
      <c r="BH19" s="532">
        <v>146828.73358979594</v>
      </c>
      <c r="BI19" s="532">
        <v>39029.754399999998</v>
      </c>
      <c r="BJ19" s="532"/>
      <c r="BK19" s="466"/>
    </row>
    <row r="20" spans="1:63" ht="12.75" customHeight="1">
      <c r="A20" s="468" t="s">
        <v>876</v>
      </c>
      <c r="B20" s="463">
        <v>10914.257125697528</v>
      </c>
      <c r="C20" s="463">
        <v>4386.0336664948982</v>
      </c>
      <c r="D20" s="463">
        <v>8610.4998000000014</v>
      </c>
      <c r="E20" s="463">
        <v>23910.790592192428</v>
      </c>
      <c r="F20" s="463">
        <v>2379.9153000000001</v>
      </c>
      <c r="G20" s="463">
        <v>16066.446374033059</v>
      </c>
      <c r="H20" s="463">
        <v>19892.065200000001</v>
      </c>
      <c r="I20" s="463">
        <v>38338.426874033059</v>
      </c>
      <c r="J20" s="463">
        <v>26157.761700000003</v>
      </c>
      <c r="K20" s="463">
        <v>8024.895323737519</v>
      </c>
      <c r="L20" s="463">
        <v>15861.200691805192</v>
      </c>
      <c r="M20" s="463">
        <v>50043.857715542712</v>
      </c>
      <c r="N20" s="463">
        <v>36831.995900000002</v>
      </c>
      <c r="O20" s="463">
        <v>28472.502968495548</v>
      </c>
      <c r="P20" s="463">
        <v>19070.205000000002</v>
      </c>
      <c r="Q20" s="463">
        <v>84374.703868495548</v>
      </c>
      <c r="R20" s="463">
        <v>30059.67861271893</v>
      </c>
      <c r="S20" s="463">
        <v>13824.192900000002</v>
      </c>
      <c r="T20" s="463">
        <v>9382.8706999999995</v>
      </c>
      <c r="U20" s="463">
        <v>53266.742212718935</v>
      </c>
      <c r="V20" s="463">
        <v>6473.5032565567453</v>
      </c>
      <c r="W20" s="463">
        <v>2462.1226000000001</v>
      </c>
      <c r="X20" s="463">
        <v>4161.0246999999999</v>
      </c>
      <c r="Y20" s="463">
        <v>13096.650556556746</v>
      </c>
      <c r="Z20" s="463">
        <v>4412.2617000000009</v>
      </c>
      <c r="AA20" s="463">
        <v>6805.4903000000004</v>
      </c>
      <c r="AB20" s="463">
        <v>4589.5108</v>
      </c>
      <c r="AC20" s="463">
        <v>15807.2628</v>
      </c>
      <c r="AD20" s="463">
        <v>770.82520832038404</v>
      </c>
      <c r="AE20" s="463">
        <v>258.8845</v>
      </c>
      <c r="AF20" s="463">
        <v>376.65061392179211</v>
      </c>
      <c r="AG20" s="463">
        <v>1406.3603222421762</v>
      </c>
      <c r="AH20" s="463">
        <v>0</v>
      </c>
      <c r="AI20" s="463">
        <v>12.400075968162433</v>
      </c>
      <c r="AJ20" s="463">
        <v>0</v>
      </c>
      <c r="AK20" s="527">
        <v>12.400075968162433</v>
      </c>
      <c r="AL20" s="527">
        <v>0</v>
      </c>
      <c r="AM20" s="527">
        <v>0</v>
      </c>
      <c r="AN20" s="527">
        <v>0</v>
      </c>
      <c r="AO20" s="527">
        <v>0</v>
      </c>
      <c r="AP20" s="527" t="e">
        <v>#REF!</v>
      </c>
      <c r="AQ20" s="527" t="e">
        <v>#REF!</v>
      </c>
      <c r="AR20" s="527" t="e">
        <v>#REF!</v>
      </c>
      <c r="AS20" s="527" t="e">
        <v>#REF!</v>
      </c>
      <c r="AT20" s="527" t="e">
        <v>#REF!</v>
      </c>
      <c r="AU20" s="527" t="e">
        <v>#REF!</v>
      </c>
      <c r="AV20" s="527" t="e">
        <v>#REF!</v>
      </c>
      <c r="AW20" s="527" t="e">
        <v>#REF!</v>
      </c>
      <c r="AX20" s="527">
        <v>10009.185536348206</v>
      </c>
      <c r="AY20" s="527"/>
      <c r="AZ20" s="538" t="s">
        <v>878</v>
      </c>
      <c r="BA20" s="539">
        <v>90661.52181469716</v>
      </c>
      <c r="BC20" s="539">
        <v>5300.4024719699328</v>
      </c>
      <c r="BD20" s="527"/>
      <c r="BE20" s="534">
        <v>45474</v>
      </c>
      <c r="BF20" s="536"/>
      <c r="BG20" s="532">
        <v>133702.25293977061</v>
      </c>
      <c r="BH20" s="532">
        <v>109378.7307004522</v>
      </c>
      <c r="BI20" s="532">
        <v>24323.522239318409</v>
      </c>
      <c r="BJ20" s="532"/>
      <c r="BK20" s="466"/>
    </row>
    <row r="21" spans="1:63" ht="12.75" customHeight="1">
      <c r="A21" s="468" t="s">
        <v>877</v>
      </c>
      <c r="B21" s="463">
        <v>0</v>
      </c>
      <c r="C21" s="463">
        <v>0</v>
      </c>
      <c r="D21" s="463">
        <v>26250</v>
      </c>
      <c r="E21" s="463">
        <v>26250</v>
      </c>
      <c r="F21" s="463">
        <v>0</v>
      </c>
      <c r="G21" s="463">
        <v>25593.340199999995</v>
      </c>
      <c r="H21" s="463">
        <v>595.1617</v>
      </c>
      <c r="I21" s="463">
        <v>26188.501899999996</v>
      </c>
      <c r="J21" s="463">
        <v>0</v>
      </c>
      <c r="K21" s="463">
        <v>0</v>
      </c>
      <c r="L21" s="463">
        <v>0</v>
      </c>
      <c r="M21" s="463">
        <v>0</v>
      </c>
      <c r="N21" s="463">
        <v>21501.826116106873</v>
      </c>
      <c r="O21" s="463">
        <v>23329.176006666119</v>
      </c>
      <c r="P21" s="463">
        <v>1811.2551876353778</v>
      </c>
      <c r="Q21" s="463">
        <v>46642.257310408364</v>
      </c>
      <c r="R21" s="463">
        <v>2055.3526271424557</v>
      </c>
      <c r="S21" s="463">
        <v>2029.6946080230196</v>
      </c>
      <c r="T21" s="463">
        <v>0</v>
      </c>
      <c r="U21" s="463">
        <v>4085.0472351654753</v>
      </c>
      <c r="V21" s="463">
        <v>0</v>
      </c>
      <c r="W21" s="463">
        <v>0</v>
      </c>
      <c r="X21" s="463">
        <v>29627.3194</v>
      </c>
      <c r="Y21" s="463">
        <v>29627.3194</v>
      </c>
      <c r="Z21" s="463">
        <v>0</v>
      </c>
      <c r="AA21" s="463">
        <v>0</v>
      </c>
      <c r="AB21" s="463">
        <v>0</v>
      </c>
      <c r="AC21" s="463">
        <v>0</v>
      </c>
      <c r="AD21" s="463">
        <v>0</v>
      </c>
      <c r="AE21" s="463">
        <v>0</v>
      </c>
      <c r="AF21" s="463">
        <v>0</v>
      </c>
      <c r="AG21" s="463">
        <v>0</v>
      </c>
      <c r="AH21" s="463">
        <v>0</v>
      </c>
      <c r="AI21" s="463">
        <v>0</v>
      </c>
      <c r="AJ21" s="463">
        <v>0</v>
      </c>
      <c r="AK21" s="527">
        <v>0</v>
      </c>
      <c r="AL21" s="527">
        <v>0</v>
      </c>
      <c r="AM21" s="527">
        <v>0</v>
      </c>
      <c r="AN21" s="527">
        <v>0</v>
      </c>
      <c r="AO21" s="527">
        <v>0</v>
      </c>
      <c r="AP21" s="527" t="e">
        <v>#REF!</v>
      </c>
      <c r="AQ21" s="527" t="e">
        <v>#REF!</v>
      </c>
      <c r="AR21" s="527" t="e">
        <v>#REF!</v>
      </c>
      <c r="AS21" s="527" t="e">
        <v>#REF!</v>
      </c>
      <c r="AT21" s="527" t="e">
        <v>#REF!</v>
      </c>
      <c r="AU21" s="527" t="e">
        <v>#REF!</v>
      </c>
      <c r="AV21" s="527" t="e">
        <v>#REF!</v>
      </c>
      <c r="AW21" s="527" t="e">
        <v>#REF!</v>
      </c>
      <c r="AX21" s="527">
        <v>4742.6116373419227</v>
      </c>
      <c r="AY21" s="527"/>
      <c r="AZ21" s="538" t="s">
        <v>551</v>
      </c>
      <c r="BA21" s="529">
        <v>216924.7354435451</v>
      </c>
      <c r="BB21" s="542"/>
      <c r="BC21" s="529">
        <v>66986.809596331354</v>
      </c>
      <c r="BD21" s="527"/>
      <c r="BE21" s="534">
        <v>45505</v>
      </c>
      <c r="BF21" s="536"/>
      <c r="BG21" s="532">
        <v>98445.67719495733</v>
      </c>
      <c r="BH21" s="532">
        <v>98342.894794957334</v>
      </c>
      <c r="BI21" s="532">
        <v>102.78240000000005</v>
      </c>
      <c r="BJ21" s="532"/>
      <c r="BK21" s="466"/>
    </row>
    <row r="22" spans="1:63" ht="12.75" customHeight="1">
      <c r="A22" s="468" t="s">
        <v>546</v>
      </c>
      <c r="B22" s="463">
        <v>3630.9</v>
      </c>
      <c r="C22" s="463">
        <v>0</v>
      </c>
      <c r="D22" s="463">
        <v>3251.8500000000004</v>
      </c>
      <c r="E22" s="463">
        <v>6882.75</v>
      </c>
      <c r="F22" s="463">
        <v>738.98790000000008</v>
      </c>
      <c r="G22" s="463">
        <v>0</v>
      </c>
      <c r="H22" s="463">
        <v>375.53880000000004</v>
      </c>
      <c r="I22" s="463">
        <v>1114.5267000000001</v>
      </c>
      <c r="J22" s="463">
        <v>0</v>
      </c>
      <c r="K22" s="463">
        <v>0</v>
      </c>
      <c r="L22" s="463">
        <v>0</v>
      </c>
      <c r="M22" s="463">
        <v>0</v>
      </c>
      <c r="N22" s="463">
        <v>4142.4179999999997</v>
      </c>
      <c r="O22" s="463">
        <v>2528.9418000000001</v>
      </c>
      <c r="P22" s="463">
        <v>0</v>
      </c>
      <c r="Q22" s="463">
        <v>6671.3598000000002</v>
      </c>
      <c r="R22" s="463">
        <v>0</v>
      </c>
      <c r="S22" s="463">
        <v>0</v>
      </c>
      <c r="T22" s="463">
        <v>7327.9408999999996</v>
      </c>
      <c r="U22" s="463">
        <v>7327.9408999999996</v>
      </c>
      <c r="V22" s="463">
        <v>0</v>
      </c>
      <c r="W22" s="463">
        <v>0</v>
      </c>
      <c r="X22" s="463">
        <v>260.24110000000002</v>
      </c>
      <c r="Y22" s="463">
        <v>260.24110000000002</v>
      </c>
      <c r="Z22" s="463">
        <v>1469.8096</v>
      </c>
      <c r="AA22" s="463">
        <v>2146.6997999999999</v>
      </c>
      <c r="AB22" s="463">
        <v>2627.7874000000002</v>
      </c>
      <c r="AC22" s="463">
        <v>6244.2968000000001</v>
      </c>
      <c r="AD22" s="463">
        <v>3.0855999999999999</v>
      </c>
      <c r="AE22" s="463">
        <v>95.121600000000001</v>
      </c>
      <c r="AF22" s="463">
        <v>3592.2502000000004</v>
      </c>
      <c r="AG22" s="463">
        <v>3690.4574000000002</v>
      </c>
      <c r="AH22" s="463">
        <v>0</v>
      </c>
      <c r="AI22" s="463">
        <v>352.90219999999999</v>
      </c>
      <c r="AJ22" s="463">
        <v>0</v>
      </c>
      <c r="AK22" s="527">
        <v>352.90219999999999</v>
      </c>
      <c r="AL22" s="527">
        <v>0</v>
      </c>
      <c r="AM22" s="527">
        <v>0</v>
      </c>
      <c r="AN22" s="527">
        <v>0</v>
      </c>
      <c r="AO22" s="527">
        <v>0</v>
      </c>
      <c r="AP22" s="527" t="e">
        <v>#REF!</v>
      </c>
      <c r="AQ22" s="527" t="e">
        <v>#REF!</v>
      </c>
      <c r="AR22" s="527" t="e">
        <v>#REF!</v>
      </c>
      <c r="AS22" s="527" t="e">
        <v>#REF!</v>
      </c>
      <c r="AT22" s="527" t="e">
        <v>#REF!</v>
      </c>
      <c r="AU22" s="527" t="e">
        <v>#REF!</v>
      </c>
      <c r="AV22" s="527" t="e">
        <v>#REF!</v>
      </c>
      <c r="AW22" s="527" t="e">
        <v>#REF!</v>
      </c>
      <c r="AX22" s="527">
        <v>1162.3026749999999</v>
      </c>
      <c r="AY22" s="527"/>
      <c r="BD22" s="527"/>
      <c r="BE22" s="534">
        <v>45536</v>
      </c>
      <c r="BF22" s="536"/>
      <c r="BG22" s="532">
        <v>115361.37666576117</v>
      </c>
      <c r="BH22" s="532">
        <v>76002.074865761169</v>
      </c>
      <c r="BI22" s="532">
        <v>39359.301800000001</v>
      </c>
      <c r="BJ22" s="532"/>
      <c r="BK22" s="466"/>
    </row>
    <row r="23" spans="1:63" ht="12.75" customHeight="1">
      <c r="A23" s="468" t="s">
        <v>550</v>
      </c>
      <c r="B23" s="463">
        <v>0</v>
      </c>
      <c r="C23" s="463">
        <v>0</v>
      </c>
      <c r="D23" s="463">
        <v>0</v>
      </c>
      <c r="E23" s="463">
        <v>0</v>
      </c>
      <c r="F23" s="463">
        <v>0</v>
      </c>
      <c r="G23" s="463">
        <v>11386.276300000001</v>
      </c>
      <c r="H23" s="463">
        <v>0</v>
      </c>
      <c r="I23" s="463">
        <v>11386.276300000001</v>
      </c>
      <c r="J23" s="463">
        <v>7019.607</v>
      </c>
      <c r="K23" s="463">
        <v>8170.5757000000003</v>
      </c>
      <c r="L23" s="463">
        <v>0</v>
      </c>
      <c r="M23" s="463">
        <v>15190.182700000001</v>
      </c>
      <c r="N23" s="463">
        <v>0</v>
      </c>
      <c r="O23" s="463">
        <v>0</v>
      </c>
      <c r="P23" s="463">
        <v>0</v>
      </c>
      <c r="Q23" s="463">
        <v>0</v>
      </c>
      <c r="R23" s="463">
        <v>0</v>
      </c>
      <c r="S23" s="463">
        <v>0</v>
      </c>
      <c r="T23" s="463">
        <v>0</v>
      </c>
      <c r="U23" s="463">
        <v>0</v>
      </c>
      <c r="V23" s="463">
        <v>0</v>
      </c>
      <c r="W23" s="463">
        <v>0</v>
      </c>
      <c r="X23" s="463">
        <v>0</v>
      </c>
      <c r="Y23" s="463">
        <v>0</v>
      </c>
      <c r="Z23" s="463">
        <v>0</v>
      </c>
      <c r="AA23" s="463">
        <v>0</v>
      </c>
      <c r="AB23" s="463">
        <v>-6700.0080000000007</v>
      </c>
      <c r="AC23" s="463">
        <v>-6700.0080000000007</v>
      </c>
      <c r="AD23" s="463">
        <v>0</v>
      </c>
      <c r="AE23" s="463">
        <v>0</v>
      </c>
      <c r="AF23" s="463">
        <v>0</v>
      </c>
      <c r="AG23" s="463">
        <v>0</v>
      </c>
      <c r="AH23" s="463">
        <v>0</v>
      </c>
      <c r="AI23" s="463">
        <v>350.49489999999997</v>
      </c>
      <c r="AJ23" s="463">
        <v>0</v>
      </c>
      <c r="AK23" s="527">
        <v>350.49489999999997</v>
      </c>
      <c r="AL23" s="527">
        <v>0</v>
      </c>
      <c r="AM23" s="527">
        <v>0</v>
      </c>
      <c r="AN23" s="527">
        <v>0</v>
      </c>
      <c r="AO23" s="527">
        <v>0</v>
      </c>
      <c r="AP23" s="527" t="e">
        <v>#REF!</v>
      </c>
      <c r="AQ23" s="527" t="e">
        <v>#REF!</v>
      </c>
      <c r="AR23" s="527" t="e">
        <v>#REF!</v>
      </c>
      <c r="AS23" s="527" t="e">
        <v>#REF!</v>
      </c>
      <c r="AT23" s="527" t="e">
        <v>#REF!</v>
      </c>
      <c r="AU23" s="527" t="e">
        <v>#REF!</v>
      </c>
      <c r="AV23" s="527" t="e">
        <v>#REF!</v>
      </c>
      <c r="AW23" s="527" t="e">
        <v>#REF!</v>
      </c>
      <c r="AX23" s="527">
        <v>722.39092500000004</v>
      </c>
      <c r="AY23" s="527"/>
      <c r="BD23" s="527"/>
      <c r="BE23" s="534">
        <v>45566</v>
      </c>
      <c r="BF23" s="536"/>
      <c r="BG23" s="532">
        <v>126516.64084801149</v>
      </c>
      <c r="BH23" s="532">
        <v>112950.48124801149</v>
      </c>
      <c r="BI23" s="532">
        <v>13566.159600000003</v>
      </c>
    </row>
    <row r="24" spans="1:63" ht="12.75" customHeight="1">
      <c r="A24" s="452" t="s">
        <v>878</v>
      </c>
      <c r="B24" s="475">
        <v>90661.52181469716</v>
      </c>
      <c r="C24" s="475">
        <v>64374.468160388162</v>
      </c>
      <c r="D24" s="475">
        <v>152218.94730342072</v>
      </c>
      <c r="E24" s="475">
        <v>307254.93727850606</v>
      </c>
      <c r="F24" s="475">
        <v>73236.250499999995</v>
      </c>
      <c r="G24" s="475">
        <v>144167.31243530879</v>
      </c>
      <c r="H24" s="475">
        <v>43761.448239221783</v>
      </c>
      <c r="I24" s="475">
        <v>261165.01117453055</v>
      </c>
      <c r="J24" s="475">
        <v>48464.544542389311</v>
      </c>
      <c r="K24" s="475">
        <v>64106.605321899748</v>
      </c>
      <c r="L24" s="475">
        <v>66731.968167758605</v>
      </c>
      <c r="M24" s="475">
        <v>179303.11803204764</v>
      </c>
      <c r="N24" s="475">
        <v>94917.674673212867</v>
      </c>
      <c r="O24" s="475">
        <v>74727.81291003908</v>
      </c>
      <c r="P24" s="475">
        <v>37904.98138763538</v>
      </c>
      <c r="Q24" s="475">
        <v>207550.4689708873</v>
      </c>
      <c r="R24" s="475">
        <v>73179.420545462213</v>
      </c>
      <c r="S24" s="475">
        <v>19258.687135395881</v>
      </c>
      <c r="T24" s="475">
        <v>39029.754399999998</v>
      </c>
      <c r="U24" s="475">
        <v>131467.86208085809</v>
      </c>
      <c r="V24" s="475">
        <v>24323.522239318409</v>
      </c>
      <c r="W24" s="475">
        <v>102.78240000000005</v>
      </c>
      <c r="X24" s="475">
        <v>39359.301800000001</v>
      </c>
      <c r="Y24" s="475">
        <v>63785.606439318413</v>
      </c>
      <c r="Z24" s="475">
        <v>13566.159600000003</v>
      </c>
      <c r="AA24" s="475">
        <v>9532.1499000000003</v>
      </c>
      <c r="AB24" s="475">
        <v>29077.776700000002</v>
      </c>
      <c r="AC24" s="475">
        <v>52176.086199999991</v>
      </c>
      <c r="AD24" s="475">
        <v>2223.9034083203837</v>
      </c>
      <c r="AE24" s="475">
        <v>1578.6833999999999</v>
      </c>
      <c r="AF24" s="475">
        <v>5300.4024719699328</v>
      </c>
      <c r="AG24" s="475">
        <v>9102.9892802903159</v>
      </c>
      <c r="AH24" s="475">
        <v>40622.841700000004</v>
      </c>
      <c r="AI24" s="475">
        <v>19621.434840634913</v>
      </c>
      <c r="AJ24" s="475">
        <v>31387.614300000008</v>
      </c>
      <c r="AK24" s="541">
        <v>91631.890840634922</v>
      </c>
      <c r="AL24" s="541">
        <v>110713.01210191082</v>
      </c>
      <c r="AM24" s="541">
        <v>0</v>
      </c>
      <c r="AN24" s="541">
        <v>0</v>
      </c>
      <c r="AO24" s="541">
        <v>110713.01210191082</v>
      </c>
      <c r="AP24" s="541" t="e">
        <v>#REF!</v>
      </c>
      <c r="AQ24" s="541" t="e">
        <v>#REF!</v>
      </c>
      <c r="AR24" s="541" t="e">
        <v>#REF!</v>
      </c>
      <c r="AS24" s="541" t="e">
        <v>#REF!</v>
      </c>
      <c r="AT24" s="541" t="e">
        <v>#REF!</v>
      </c>
      <c r="AU24" s="541" t="e">
        <v>#REF!</v>
      </c>
      <c r="AV24" s="541" t="e">
        <v>#REF!</v>
      </c>
      <c r="AW24" s="541" t="e">
        <v>#REF!</v>
      </c>
      <c r="AX24" s="541">
        <v>50505.392228535144</v>
      </c>
      <c r="AY24" s="527"/>
      <c r="AZ24" s="543" t="s">
        <v>879</v>
      </c>
      <c r="BA24" s="544">
        <v>20</v>
      </c>
      <c r="BB24" s="545"/>
      <c r="BC24" s="544">
        <v>18</v>
      </c>
      <c r="BD24" s="527"/>
      <c r="BE24" s="534">
        <v>45597</v>
      </c>
      <c r="BF24" s="536"/>
      <c r="BG24" s="532">
        <v>104961.4758166316</v>
      </c>
      <c r="BH24" s="532">
        <v>95429.325916631598</v>
      </c>
      <c r="BI24" s="532">
        <v>9532.1499000000003</v>
      </c>
    </row>
    <row r="25" spans="1:63" ht="12.75" customHeight="1">
      <c r="A25" s="452" t="s">
        <v>551</v>
      </c>
      <c r="B25" s="477">
        <v>216924.7354435451</v>
      </c>
      <c r="C25" s="477">
        <v>141579.20328948693</v>
      </c>
      <c r="D25" s="477">
        <v>283225.68009200355</v>
      </c>
      <c r="E25" s="477">
        <v>641729.61882503564</v>
      </c>
      <c r="F25" s="477">
        <v>181328.99562248093</v>
      </c>
      <c r="G25" s="477">
        <v>270201.88033537171</v>
      </c>
      <c r="H25" s="477">
        <v>213658.19697829717</v>
      </c>
      <c r="I25" s="477">
        <v>665189.07293614978</v>
      </c>
      <c r="J25" s="477">
        <v>186440.55784557803</v>
      </c>
      <c r="K25" s="477">
        <v>198166.05780125555</v>
      </c>
      <c r="L25" s="477">
        <v>199494.84731181923</v>
      </c>
      <c r="M25" s="477">
        <v>584101.46295865276</v>
      </c>
      <c r="N25" s="477">
        <v>216252.66116123402</v>
      </c>
      <c r="O25" s="477">
        <v>206534.66146818805</v>
      </c>
      <c r="P25" s="477">
        <v>173102.65351925898</v>
      </c>
      <c r="Q25" s="477">
        <v>595889.97614868102</v>
      </c>
      <c r="R25" s="477">
        <v>203077.59981588461</v>
      </c>
      <c r="S25" s="477">
        <v>141382.08382641876</v>
      </c>
      <c r="T25" s="477">
        <v>185858.48798979595</v>
      </c>
      <c r="U25" s="477">
        <v>530318.17163209931</v>
      </c>
      <c r="V25" s="477">
        <v>133702.25293977061</v>
      </c>
      <c r="W25" s="477">
        <v>98445.67719495733</v>
      </c>
      <c r="X25" s="477">
        <v>115361.37666576117</v>
      </c>
      <c r="Y25" s="477">
        <v>347509.30680048908</v>
      </c>
      <c r="Z25" s="477">
        <v>126516.64084801149</v>
      </c>
      <c r="AA25" s="477">
        <v>104961.4758166316</v>
      </c>
      <c r="AB25" s="477">
        <v>114351.71290581422</v>
      </c>
      <c r="AC25" s="477">
        <v>345829.82957045734</v>
      </c>
      <c r="AD25" s="477">
        <v>89696.411396396186</v>
      </c>
      <c r="AE25" s="477">
        <v>50558.088763921456</v>
      </c>
      <c r="AF25" s="477">
        <v>66986.809596331354</v>
      </c>
      <c r="AG25" s="477">
        <v>207241.30975664899</v>
      </c>
      <c r="AH25" s="477">
        <v>121905.15785827149</v>
      </c>
      <c r="AI25" s="477">
        <v>130403.29303831329</v>
      </c>
      <c r="AJ25" s="477">
        <v>114005.15694150439</v>
      </c>
      <c r="AK25" s="546">
        <v>366313.60783808917</v>
      </c>
      <c r="AL25" s="546">
        <v>199958.58260368078</v>
      </c>
      <c r="AM25" s="546">
        <v>0</v>
      </c>
      <c r="AN25" s="546">
        <v>0</v>
      </c>
      <c r="AO25" s="546">
        <v>199958.58260368078</v>
      </c>
      <c r="AP25" s="546" t="e">
        <v>#REF!</v>
      </c>
      <c r="AQ25" s="546" t="e">
        <v>#REF!</v>
      </c>
      <c r="AR25" s="546" t="e">
        <v>#REF!</v>
      </c>
      <c r="AS25" s="546" t="e">
        <v>#REF!</v>
      </c>
      <c r="AT25" s="546" t="e">
        <v>#REF!</v>
      </c>
      <c r="AU25" s="546" t="e">
        <v>#REF!</v>
      </c>
      <c r="AV25" s="546" t="e">
        <v>#REF!</v>
      </c>
      <c r="AW25" s="546" t="e">
        <v>#REF!</v>
      </c>
      <c r="AX25" s="546">
        <v>160145.74782392802</v>
      </c>
      <c r="AY25" s="547"/>
      <c r="AZ25" s="522" t="s">
        <v>880</v>
      </c>
      <c r="BA25" s="545">
        <v>13</v>
      </c>
      <c r="BB25" s="545"/>
      <c r="BC25" s="545">
        <v>9</v>
      </c>
      <c r="BD25" s="530"/>
      <c r="BE25" s="534">
        <v>45627</v>
      </c>
      <c r="BF25" s="536"/>
      <c r="BG25" s="532">
        <v>114351.71290581422</v>
      </c>
      <c r="BH25" s="532">
        <v>85273.936205814214</v>
      </c>
      <c r="BI25" s="532">
        <v>29077.776700000002</v>
      </c>
    </row>
    <row r="26" spans="1:63" ht="12.75" customHeight="1">
      <c r="A26" s="464" t="s">
        <v>881</v>
      </c>
      <c r="B26" s="465">
        <v>-216924.7354435451</v>
      </c>
      <c r="C26" s="465">
        <v>-141579.20328948693</v>
      </c>
      <c r="D26" s="465">
        <v>-283225.68009200355</v>
      </c>
      <c r="E26" s="465">
        <v>-641729.61882503564</v>
      </c>
      <c r="F26" s="465">
        <v>-181328.99562248093</v>
      </c>
      <c r="G26" s="465">
        <v>-270201.88033537171</v>
      </c>
      <c r="H26" s="465">
        <v>-182505.80647829716</v>
      </c>
      <c r="I26" s="465">
        <v>-634036.6824361498</v>
      </c>
      <c r="J26" s="465">
        <v>-186768.52254557805</v>
      </c>
      <c r="K26" s="465">
        <v>-198493.15800125554</v>
      </c>
      <c r="L26" s="465">
        <v>-199494.84731181923</v>
      </c>
      <c r="M26" s="465">
        <v>-584756.52785865276</v>
      </c>
      <c r="N26" s="465">
        <v>-216096.93146123402</v>
      </c>
      <c r="O26" s="465">
        <v>-205912.54066818804</v>
      </c>
      <c r="P26" s="465">
        <v>-65769.445719258976</v>
      </c>
      <c r="Q26" s="465">
        <v>-487778.91784868098</v>
      </c>
      <c r="R26" s="465">
        <v>-197761.29721588461</v>
      </c>
      <c r="S26" s="465">
        <v>-136243.44262641875</v>
      </c>
      <c r="T26" s="465">
        <v>-189315.87618979593</v>
      </c>
      <c r="U26" s="465">
        <v>-523320.61603209929</v>
      </c>
      <c r="V26" s="465">
        <v>-97235.102639770601</v>
      </c>
      <c r="W26" s="465">
        <v>-87056.075894957321</v>
      </c>
      <c r="X26" s="465">
        <v>-98514.346465761162</v>
      </c>
      <c r="Y26" s="465">
        <v>-282805.52500048908</v>
      </c>
      <c r="Z26" s="465">
        <v>-122340.81324801149</v>
      </c>
      <c r="AA26" s="465">
        <v>-91622.400416631601</v>
      </c>
      <c r="AB26" s="465">
        <v>-86946.29150581421</v>
      </c>
      <c r="AC26" s="465">
        <v>-300909.50517045736</v>
      </c>
      <c r="AD26" s="465">
        <v>-83050.481196396184</v>
      </c>
      <c r="AE26" s="465">
        <v>-46325.017963921455</v>
      </c>
      <c r="AF26" s="465">
        <v>-59187.902396331352</v>
      </c>
      <c r="AG26" s="465">
        <v>-188563.40155664898</v>
      </c>
      <c r="AH26" s="465">
        <v>-110491.15785827149</v>
      </c>
      <c r="AI26" s="465">
        <v>-130403.29303831329</v>
      </c>
      <c r="AJ26" s="465">
        <v>-102591.15694150439</v>
      </c>
      <c r="AK26" s="529">
        <v>-343485.60783808917</v>
      </c>
      <c r="AL26" s="529">
        <v>-194649.19260368077</v>
      </c>
      <c r="AM26" s="529">
        <v>0</v>
      </c>
      <c r="AN26" s="529">
        <v>0</v>
      </c>
      <c r="AO26" s="529">
        <v>-194649.19260368077</v>
      </c>
      <c r="AP26" s="542" t="e">
        <v>#REF!</v>
      </c>
      <c r="AQ26" s="542" t="e">
        <v>#REF!</v>
      </c>
      <c r="AR26" s="542" t="e">
        <v>#REF!</v>
      </c>
      <c r="AS26" s="542" t="e">
        <v>#REF!</v>
      </c>
      <c r="AT26" s="542" t="e">
        <v>#REF!</v>
      </c>
      <c r="AU26" s="542" t="e">
        <v>#REF!</v>
      </c>
      <c r="AV26" s="542" t="e">
        <v>#REF!</v>
      </c>
      <c r="AW26" s="542" t="e">
        <v>#REF!</v>
      </c>
      <c r="AX26" s="529">
        <v>-149358.41411321369</v>
      </c>
      <c r="AY26" s="548"/>
      <c r="AZ26" s="522" t="s">
        <v>666</v>
      </c>
      <c r="BA26" s="545">
        <v>7</v>
      </c>
      <c r="BB26" s="545"/>
      <c r="BC26" s="545">
        <v>9</v>
      </c>
      <c r="BE26" s="534">
        <v>45658</v>
      </c>
      <c r="BF26" s="536"/>
      <c r="BG26" s="532">
        <v>89696.411396396186</v>
      </c>
      <c r="BH26" s="532">
        <v>87472.507988075798</v>
      </c>
      <c r="BI26" s="532">
        <v>2223.9034083203837</v>
      </c>
    </row>
    <row r="27" spans="1:63" ht="12.75" customHeight="1">
      <c r="A27" s="478"/>
      <c r="B27" s="479"/>
      <c r="C27" s="479"/>
      <c r="D27" s="479"/>
      <c r="E27" s="479"/>
      <c r="F27" s="479"/>
      <c r="G27" s="479"/>
      <c r="H27" s="479"/>
      <c r="I27" s="479"/>
      <c r="J27" s="479"/>
      <c r="K27" s="479"/>
      <c r="L27" s="479"/>
      <c r="M27" s="479"/>
      <c r="N27" s="479"/>
      <c r="O27" s="479"/>
      <c r="P27" s="479"/>
      <c r="Q27" s="479"/>
      <c r="R27" s="479"/>
      <c r="S27" s="479"/>
      <c r="T27" s="479"/>
      <c r="U27" s="479"/>
      <c r="V27" s="479"/>
      <c r="W27" s="479"/>
      <c r="X27" s="479"/>
      <c r="Y27" s="479"/>
      <c r="Z27" s="479"/>
      <c r="AA27" s="479"/>
      <c r="AB27" s="479"/>
      <c r="AC27" s="479"/>
      <c r="AD27" s="479"/>
      <c r="AE27" s="479"/>
      <c r="AF27" s="479"/>
      <c r="AG27" s="479"/>
      <c r="AH27" s="479"/>
      <c r="AI27" s="479"/>
      <c r="AJ27" s="479"/>
      <c r="AK27" s="549"/>
      <c r="AL27" s="549"/>
      <c r="AM27" s="549"/>
      <c r="AN27" s="549"/>
      <c r="AO27" s="549"/>
      <c r="AP27" s="549"/>
      <c r="AQ27" s="549"/>
      <c r="AR27" s="549"/>
      <c r="AS27" s="549"/>
      <c r="AT27" s="549"/>
      <c r="AU27" s="549"/>
      <c r="AV27" s="549"/>
      <c r="AW27" s="549"/>
      <c r="AX27" s="549"/>
      <c r="AY27" s="549"/>
      <c r="BE27" s="534">
        <v>45689</v>
      </c>
      <c r="BF27" s="536"/>
      <c r="BG27" s="532">
        <v>50558.088763921456</v>
      </c>
      <c r="BH27" s="532">
        <v>48979.405363921454</v>
      </c>
      <c r="BI27" s="532">
        <v>1578.6833999999999</v>
      </c>
    </row>
    <row r="28" spans="1:63" ht="12.75" customHeight="1">
      <c r="A28" s="468" t="s">
        <v>882</v>
      </c>
      <c r="B28" s="480">
        <v>0</v>
      </c>
      <c r="C28" s="480">
        <v>8271.6291000000019</v>
      </c>
      <c r="D28" s="480">
        <v>0</v>
      </c>
      <c r="E28" s="463">
        <v>8271.6291000000019</v>
      </c>
      <c r="F28" s="480">
        <v>0</v>
      </c>
      <c r="G28" s="480">
        <v>13843.278400000001</v>
      </c>
      <c r="H28" s="480">
        <v>0</v>
      </c>
      <c r="I28" s="463">
        <v>13843.278400000001</v>
      </c>
      <c r="J28" s="480">
        <v>-2108.0864097143167</v>
      </c>
      <c r="K28" s="480">
        <v>8164.5281082129914</v>
      </c>
      <c r="L28" s="480">
        <v>-2153.3668685522543</v>
      </c>
      <c r="M28" s="463">
        <v>3903.0748299464203</v>
      </c>
      <c r="N28" s="480">
        <v>2629.3298947851304</v>
      </c>
      <c r="O28" s="480">
        <v>599.45949337730463</v>
      </c>
      <c r="P28" s="480">
        <v>-521.55561556026464</v>
      </c>
      <c r="Q28" s="463">
        <v>2707.2337726021706</v>
      </c>
      <c r="R28" s="480">
        <v>3350.5673410133932</v>
      </c>
      <c r="S28" s="480">
        <v>4741.6344254891346</v>
      </c>
      <c r="T28" s="480">
        <v>-224.30857142857144</v>
      </c>
      <c r="U28" s="463">
        <v>7867.8931950739561</v>
      </c>
      <c r="V28" s="480">
        <v>1163.4189919488254</v>
      </c>
      <c r="W28" s="480">
        <v>10270.817748384654</v>
      </c>
      <c r="X28" s="480">
        <v>-2804.4472779687326</v>
      </c>
      <c r="Y28" s="463">
        <v>8629.7894623647462</v>
      </c>
      <c r="Z28" s="480">
        <v>538.62461624662956</v>
      </c>
      <c r="AA28" s="480">
        <v>13690.338834465674</v>
      </c>
      <c r="AB28" s="480">
        <v>0</v>
      </c>
      <c r="AC28" s="463">
        <v>14228.963450712305</v>
      </c>
      <c r="AD28" s="480">
        <v>426.17393323450091</v>
      </c>
      <c r="AE28" s="480">
        <v>8115.8262370422253</v>
      </c>
      <c r="AF28" s="480">
        <v>81.089719238871481</v>
      </c>
      <c r="AG28" s="463">
        <v>8623.089889515597</v>
      </c>
      <c r="AH28" s="480">
        <v>0</v>
      </c>
      <c r="AI28" s="480">
        <v>13956.650746327919</v>
      </c>
      <c r="AJ28" s="480">
        <v>0</v>
      </c>
      <c r="AK28" s="527">
        <v>13956.650746327919</v>
      </c>
      <c r="AL28" s="550">
        <v>-788.46751597551099</v>
      </c>
      <c r="AM28" s="550">
        <v>0</v>
      </c>
      <c r="AN28" s="550">
        <v>0</v>
      </c>
      <c r="AO28" s="527">
        <v>-788.46751597551099</v>
      </c>
      <c r="AP28" s="550" t="e">
        <v>#REF!</v>
      </c>
      <c r="AQ28" s="550" t="e">
        <v>#REF!</v>
      </c>
      <c r="AR28" s="550" t="e">
        <v>#REF!</v>
      </c>
      <c r="AS28" s="550" t="e">
        <v>#REF!</v>
      </c>
      <c r="AT28" s="550" t="e">
        <v>#REF!</v>
      </c>
      <c r="AU28" s="550" t="e">
        <v>#REF!</v>
      </c>
      <c r="AV28" s="550" t="e">
        <v>#REF!</v>
      </c>
      <c r="AW28" s="550" t="e">
        <v>#REF!</v>
      </c>
      <c r="AX28" s="527">
        <v>2901.540547520271</v>
      </c>
      <c r="AY28" s="550"/>
      <c r="BE28" s="534">
        <v>45717</v>
      </c>
      <c r="BF28" s="536"/>
      <c r="BG28" s="532">
        <v>66986.809596331354</v>
      </c>
      <c r="BH28" s="532">
        <v>61686.407124361423</v>
      </c>
      <c r="BI28" s="532">
        <v>5300.4024719699328</v>
      </c>
    </row>
    <row r="29" spans="1:63" ht="12.75" customHeight="1">
      <c r="A29" s="474" t="s">
        <v>883</v>
      </c>
      <c r="B29" s="480">
        <v>0</v>
      </c>
      <c r="C29" s="480">
        <v>0</v>
      </c>
      <c r="D29" s="480">
        <v>2332.2967569968905</v>
      </c>
      <c r="E29" s="463">
        <v>2332.2967569968905</v>
      </c>
      <c r="F29" s="480">
        <v>0</v>
      </c>
      <c r="G29" s="480">
        <v>0</v>
      </c>
      <c r="H29" s="480">
        <v>74.578394954301871</v>
      </c>
      <c r="I29" s="463">
        <v>74.578394954301871</v>
      </c>
      <c r="J29" s="480">
        <v>0</v>
      </c>
      <c r="K29" s="480">
        <v>0</v>
      </c>
      <c r="L29" s="480">
        <v>0</v>
      </c>
      <c r="M29" s="463">
        <v>0</v>
      </c>
      <c r="N29" s="480">
        <v>207929.8193</v>
      </c>
      <c r="O29" s="480">
        <v>105487.93920000001</v>
      </c>
      <c r="P29" s="480">
        <v>5031.7840182675209</v>
      </c>
      <c r="Q29" s="463">
        <v>318449.54251826752</v>
      </c>
      <c r="R29" s="480">
        <v>0</v>
      </c>
      <c r="S29" s="480">
        <v>2921.9080736948181</v>
      </c>
      <c r="T29" s="480">
        <v>0</v>
      </c>
      <c r="U29" s="463">
        <v>2921.9080736948181</v>
      </c>
      <c r="V29" s="480">
        <v>5690.3893239219142</v>
      </c>
      <c r="W29" s="480">
        <v>1549.8004486264456</v>
      </c>
      <c r="X29" s="480">
        <v>246.92870606497394</v>
      </c>
      <c r="Y29" s="463">
        <v>7487.1184786133335</v>
      </c>
      <c r="Z29" s="480">
        <v>0</v>
      </c>
      <c r="AA29" s="480">
        <v>0</v>
      </c>
      <c r="AB29" s="480">
        <v>0</v>
      </c>
      <c r="AC29" s="463">
        <v>0</v>
      </c>
      <c r="AD29" s="480">
        <v>0</v>
      </c>
      <c r="AE29" s="480">
        <v>0</v>
      </c>
      <c r="AF29" s="480">
        <v>278.83442115320423</v>
      </c>
      <c r="AG29" s="463">
        <v>278.83442115320423</v>
      </c>
      <c r="AH29" s="480">
        <v>0</v>
      </c>
      <c r="AI29" s="480">
        <v>12277.606082057126</v>
      </c>
      <c r="AJ29" s="480">
        <v>0</v>
      </c>
      <c r="AK29" s="527">
        <v>12277.606082057126</v>
      </c>
      <c r="AL29" s="550">
        <v>0</v>
      </c>
      <c r="AM29" s="550">
        <v>0</v>
      </c>
      <c r="AN29" s="550">
        <v>0</v>
      </c>
      <c r="AO29" s="527">
        <v>0</v>
      </c>
      <c r="AP29" s="550" t="e">
        <v>#REF!</v>
      </c>
      <c r="AQ29" s="550" t="e">
        <v>#REF!</v>
      </c>
      <c r="AR29" s="550" t="e">
        <v>#REF!</v>
      </c>
      <c r="AS29" s="550" t="e">
        <v>#REF!</v>
      </c>
      <c r="AT29" s="550" t="e">
        <v>#REF!</v>
      </c>
      <c r="AU29" s="550" t="e">
        <v>#REF!</v>
      </c>
      <c r="AV29" s="550" t="e">
        <v>#REF!</v>
      </c>
      <c r="AW29" s="550" t="e">
        <v>#REF!</v>
      </c>
      <c r="AX29" s="527">
        <v>12279.353025919187</v>
      </c>
      <c r="AY29" s="550"/>
      <c r="BE29" s="534">
        <v>45748</v>
      </c>
      <c r="BF29" s="536"/>
      <c r="BG29" s="532">
        <v>121905.15785827149</v>
      </c>
      <c r="BH29" s="532">
        <v>81282.316158271482</v>
      </c>
      <c r="BI29" s="532">
        <v>40622.841700000004</v>
      </c>
    </row>
    <row r="30" spans="1:63" ht="12.75" customHeight="1">
      <c r="A30" s="474" t="s">
        <v>982</v>
      </c>
      <c r="B30" s="480">
        <v>-3142.0675893576467</v>
      </c>
      <c r="C30" s="480">
        <v>-1555.3020000000001</v>
      </c>
      <c r="D30" s="480">
        <v>-1193.3558</v>
      </c>
      <c r="E30" s="463">
        <v>-5890.7253893576471</v>
      </c>
      <c r="F30" s="480">
        <v>-1546.1649000000002</v>
      </c>
      <c r="G30" s="480">
        <v>-5077.2688056536035</v>
      </c>
      <c r="H30" s="480">
        <v>-1188.8205</v>
      </c>
      <c r="I30" s="463">
        <v>-7812.254205653604</v>
      </c>
      <c r="J30" s="480">
        <v>-4888.7549190901264</v>
      </c>
      <c r="K30" s="480">
        <v>0</v>
      </c>
      <c r="L30" s="480">
        <v>-15163.749354106925</v>
      </c>
      <c r="M30" s="463">
        <v>-20052.504273197053</v>
      </c>
      <c r="N30" s="480">
        <v>-2155.7041666523555</v>
      </c>
      <c r="O30" s="480">
        <v>-24634.866246301361</v>
      </c>
      <c r="P30" s="480">
        <v>3047.4024000000009</v>
      </c>
      <c r="Q30" s="463">
        <v>-23743.168012953713</v>
      </c>
      <c r="R30" s="480">
        <v>-12231.136138803035</v>
      </c>
      <c r="S30" s="480">
        <v>-12691.637787495414</v>
      </c>
      <c r="T30" s="480">
        <v>0</v>
      </c>
      <c r="U30" s="463">
        <v>-24922.773926298447</v>
      </c>
      <c r="V30" s="480">
        <v>-36811.105520370584</v>
      </c>
      <c r="W30" s="480">
        <v>31032.012200000001</v>
      </c>
      <c r="X30" s="480">
        <v>141761.59930440184</v>
      </c>
      <c r="Y30" s="463">
        <v>135982.50598403125</v>
      </c>
      <c r="Z30" s="480">
        <v>-1928.7065709666501</v>
      </c>
      <c r="AA30" s="480">
        <v>-1154.7326</v>
      </c>
      <c r="AB30" s="480">
        <v>70783.570900000006</v>
      </c>
      <c r="AC30" s="463">
        <v>67700.131729033354</v>
      </c>
      <c r="AD30" s="480">
        <v>77439.755399999995</v>
      </c>
      <c r="AE30" s="480">
        <v>92760.803462957789</v>
      </c>
      <c r="AF30" s="480">
        <v>2639.1722000000059</v>
      </c>
      <c r="AG30" s="463">
        <v>172839.73106295778</v>
      </c>
      <c r="AH30" s="480">
        <v>110499.07824250142</v>
      </c>
      <c r="AI30" s="480">
        <v>108724.9704895652</v>
      </c>
      <c r="AJ30" s="480">
        <v>103875.3857152908</v>
      </c>
      <c r="AK30" s="527">
        <v>323099.43444735743</v>
      </c>
      <c r="AL30" s="550">
        <v>217800.15327498553</v>
      </c>
      <c r="AM30" s="550">
        <v>0</v>
      </c>
      <c r="AN30" s="550">
        <v>0</v>
      </c>
      <c r="AO30" s="527">
        <v>217800.15327498553</v>
      </c>
      <c r="AP30" s="550" t="e">
        <v>#REF!</v>
      </c>
      <c r="AQ30" s="550" t="e">
        <v>#REF!</v>
      </c>
      <c r="AR30" s="550" t="e">
        <v>#REF!</v>
      </c>
      <c r="AS30" s="550" t="e">
        <v>#REF!</v>
      </c>
      <c r="AT30" s="550" t="e">
        <v>#REF!</v>
      </c>
      <c r="AU30" s="550" t="e">
        <v>#REF!</v>
      </c>
      <c r="AV30" s="550" t="e">
        <v>#REF!</v>
      </c>
      <c r="AW30" s="550" t="e">
        <v>#REF!</v>
      </c>
      <c r="AX30" s="527">
        <v>29821.447524675172</v>
      </c>
      <c r="AY30" s="550"/>
      <c r="BE30" s="534">
        <v>45778</v>
      </c>
      <c r="BF30" s="536"/>
      <c r="BG30" s="532">
        <v>130403.29303831329</v>
      </c>
      <c r="BH30" s="532">
        <v>110781.85819767838</v>
      </c>
      <c r="BI30" s="532">
        <v>19621.434840634913</v>
      </c>
    </row>
    <row r="31" spans="1:63" ht="12.75" customHeight="1">
      <c r="A31" s="474" t="s">
        <v>884</v>
      </c>
      <c r="B31" s="480">
        <v>0</v>
      </c>
      <c r="C31" s="480">
        <v>1663783.7027</v>
      </c>
      <c r="D31" s="480">
        <v>0</v>
      </c>
      <c r="E31" s="463">
        <v>1663783.7027</v>
      </c>
      <c r="F31" s="480">
        <v>0</v>
      </c>
      <c r="G31" s="480">
        <v>0</v>
      </c>
      <c r="H31" s="480">
        <v>0</v>
      </c>
      <c r="I31" s="463">
        <v>0</v>
      </c>
      <c r="J31" s="480">
        <v>0</v>
      </c>
      <c r="K31" s="480">
        <v>0</v>
      </c>
      <c r="L31" s="480">
        <v>0</v>
      </c>
      <c r="M31" s="463">
        <v>0</v>
      </c>
      <c r="N31" s="480">
        <v>996500.97050000005</v>
      </c>
      <c r="O31" s="480">
        <v>0</v>
      </c>
      <c r="P31" s="480">
        <v>0</v>
      </c>
      <c r="Q31" s="463">
        <v>996500.97050000005</v>
      </c>
      <c r="R31" s="480">
        <v>0</v>
      </c>
      <c r="S31" s="480">
        <v>0</v>
      </c>
      <c r="T31" s="480">
        <v>0</v>
      </c>
      <c r="U31" s="463">
        <v>0</v>
      </c>
      <c r="V31" s="480">
        <v>0</v>
      </c>
      <c r="W31" s="480">
        <v>0</v>
      </c>
      <c r="X31" s="480">
        <v>0</v>
      </c>
      <c r="Y31" s="463">
        <v>0</v>
      </c>
      <c r="Z31" s="480">
        <v>0</v>
      </c>
      <c r="AA31" s="480">
        <v>0</v>
      </c>
      <c r="AB31" s="480">
        <v>0</v>
      </c>
      <c r="AC31" s="463">
        <v>0</v>
      </c>
      <c r="AD31" s="480">
        <v>0</v>
      </c>
      <c r="AE31" s="480">
        <v>0</v>
      </c>
      <c r="AF31" s="480">
        <v>0</v>
      </c>
      <c r="AG31" s="463">
        <v>0</v>
      </c>
      <c r="AH31" s="480">
        <v>0</v>
      </c>
      <c r="AI31" s="480">
        <v>0</v>
      </c>
      <c r="AJ31" s="480">
        <v>0</v>
      </c>
      <c r="AK31" s="527">
        <v>0</v>
      </c>
      <c r="AL31" s="550">
        <v>0</v>
      </c>
      <c r="AM31" s="550">
        <v>0</v>
      </c>
      <c r="AN31" s="550">
        <v>0</v>
      </c>
      <c r="AO31" s="527">
        <v>0</v>
      </c>
      <c r="AP31" s="550" t="e">
        <v>#REF!</v>
      </c>
      <c r="AQ31" s="550" t="e">
        <v>#REF!</v>
      </c>
      <c r="AR31" s="550" t="e">
        <v>#REF!</v>
      </c>
      <c r="AS31" s="550" t="e">
        <v>#REF!</v>
      </c>
      <c r="AT31" s="550" t="e">
        <v>#REF!</v>
      </c>
      <c r="AU31" s="550" t="e">
        <v>#REF!</v>
      </c>
      <c r="AV31" s="550" t="e">
        <v>#REF!</v>
      </c>
      <c r="AW31" s="550" t="e">
        <v>#REF!</v>
      </c>
      <c r="AX31" s="527">
        <v>95010.166899999997</v>
      </c>
      <c r="AY31" s="550"/>
      <c r="BE31" s="534">
        <v>45809</v>
      </c>
      <c r="BF31" s="536"/>
      <c r="BG31" s="532">
        <v>114005.15694150439</v>
      </c>
      <c r="BH31" s="532">
        <v>82617.542641504377</v>
      </c>
      <c r="BI31" s="532">
        <v>31387.614300000008</v>
      </c>
    </row>
    <row r="32" spans="1:63" ht="12.75" customHeight="1">
      <c r="A32" s="474" t="s">
        <v>885</v>
      </c>
      <c r="B32" s="480">
        <v>-3919.7494000000006</v>
      </c>
      <c r="C32" s="480">
        <v>-6698.6513999999997</v>
      </c>
      <c r="D32" s="480">
        <v>-27684.641599999999</v>
      </c>
      <c r="E32" s="463">
        <v>-38303.042399999998</v>
      </c>
      <c r="F32" s="480">
        <v>-16185.341900000003</v>
      </c>
      <c r="G32" s="480">
        <v>12067.3959</v>
      </c>
      <c r="H32" s="480">
        <v>29430.998100000004</v>
      </c>
      <c r="I32" s="463">
        <v>25313.052100000001</v>
      </c>
      <c r="J32" s="480">
        <v>2252.3150999999998</v>
      </c>
      <c r="K32" s="480">
        <v>-15885.892400000001</v>
      </c>
      <c r="L32" s="480">
        <v>-1125.8582999999999</v>
      </c>
      <c r="M32" s="463">
        <v>-14759.435600000001</v>
      </c>
      <c r="N32" s="480">
        <v>-111.05500000000001</v>
      </c>
      <c r="O32" s="480">
        <v>4972.1939926567075</v>
      </c>
      <c r="P32" s="480">
        <v>-1104.2981074883919</v>
      </c>
      <c r="Q32" s="463">
        <v>3756.8408851683153</v>
      </c>
      <c r="R32" s="480">
        <v>4713.3133697948861</v>
      </c>
      <c r="S32" s="480">
        <v>-6580.5415877138412</v>
      </c>
      <c r="T32" s="480">
        <v>-686.96202244897972</v>
      </c>
      <c r="U32" s="463">
        <v>-2554.1902403679351</v>
      </c>
      <c r="V32" s="480">
        <v>-5445.0815461122756</v>
      </c>
      <c r="W32" s="480">
        <v>-2399.137370740234</v>
      </c>
      <c r="X32" s="480">
        <v>-1629.8415462579001</v>
      </c>
      <c r="Y32" s="463">
        <v>-9474.0604631104088</v>
      </c>
      <c r="Z32" s="480">
        <v>-4981.7292621662955</v>
      </c>
      <c r="AA32" s="480">
        <v>137.64421221615729</v>
      </c>
      <c r="AB32" s="480">
        <v>6055.3579901982621</v>
      </c>
      <c r="AC32" s="463">
        <v>1211.2729402481236</v>
      </c>
      <c r="AD32" s="480">
        <v>325.50850465762886</v>
      </c>
      <c r="AE32" s="480">
        <v>-73.331987118460475</v>
      </c>
      <c r="AF32" s="480">
        <v>-436.41961652219959</v>
      </c>
      <c r="AG32" s="463">
        <v>-184.24309898303119</v>
      </c>
      <c r="AH32" s="480">
        <v>-3.1082914372356552</v>
      </c>
      <c r="AI32" s="480">
        <v>-1.163463918000426</v>
      </c>
      <c r="AJ32" s="480">
        <v>-1.4360963681964385</v>
      </c>
      <c r="AK32" s="527">
        <v>-5.7078517234325199</v>
      </c>
      <c r="AL32" s="550">
        <v>1.9446143450477371</v>
      </c>
      <c r="AM32" s="550">
        <v>0</v>
      </c>
      <c r="AN32" s="550">
        <v>0</v>
      </c>
      <c r="AO32" s="527">
        <v>1.9446143450477371</v>
      </c>
      <c r="AP32" s="550" t="e">
        <v>#REF!</v>
      </c>
      <c r="AQ32" s="550" t="e">
        <v>#REF!</v>
      </c>
      <c r="AR32" s="550" t="e">
        <v>#REF!</v>
      </c>
      <c r="AS32" s="550" t="e">
        <v>#REF!</v>
      </c>
      <c r="AT32" s="550" t="e">
        <v>#REF!</v>
      </c>
      <c r="AU32" s="550" t="e">
        <v>#REF!</v>
      </c>
      <c r="AV32" s="550" t="e">
        <v>#REF!</v>
      </c>
      <c r="AW32" s="550" t="e">
        <v>#REF!</v>
      </c>
      <c r="AX32" s="527">
        <v>-1249.9131826579755</v>
      </c>
      <c r="AY32" s="550"/>
      <c r="BE32" s="534">
        <v>45839</v>
      </c>
      <c r="BF32" s="536"/>
      <c r="BG32" s="532">
        <v>199958.58260368078</v>
      </c>
      <c r="BH32" s="532">
        <v>89245.570501769951</v>
      </c>
      <c r="BI32" s="532">
        <v>110713.01210191082</v>
      </c>
    </row>
    <row r="33" spans="1:51" ht="12.75" customHeight="1" thickBot="1">
      <c r="A33" s="464" t="s">
        <v>886</v>
      </c>
      <c r="B33" s="481">
        <v>-223986.55243290274</v>
      </c>
      <c r="C33" s="481">
        <v>1522222.1751105131</v>
      </c>
      <c r="D33" s="481">
        <v>-309771.38073500665</v>
      </c>
      <c r="E33" s="481">
        <v>988464.24194260361</v>
      </c>
      <c r="F33" s="481">
        <v>-199060.50242248093</v>
      </c>
      <c r="G33" s="481">
        <v>-249368.47484102531</v>
      </c>
      <c r="H33" s="481">
        <v>-154189.05048334287</v>
      </c>
      <c r="I33" s="481">
        <v>-602618.02774684911</v>
      </c>
      <c r="J33" s="481">
        <v>-191513.04877438248</v>
      </c>
      <c r="K33" s="481">
        <v>-206214.52229304257</v>
      </c>
      <c r="L33" s="481">
        <v>-217937.82183447841</v>
      </c>
      <c r="M33" s="481">
        <v>-615665.39290190337</v>
      </c>
      <c r="N33" s="481">
        <v>988696.42906689877</v>
      </c>
      <c r="O33" s="481">
        <v>-119487.81422845538</v>
      </c>
      <c r="P33" s="481">
        <v>-59316.113024040118</v>
      </c>
      <c r="Q33" s="481">
        <v>809892.50181440334</v>
      </c>
      <c r="R33" s="481">
        <v>-201928.55264387935</v>
      </c>
      <c r="S33" s="481">
        <v>-147852.07950244404</v>
      </c>
      <c r="T33" s="481">
        <v>-190227.1467836735</v>
      </c>
      <c r="U33" s="481">
        <v>-540007.77892999689</v>
      </c>
      <c r="V33" s="481">
        <v>-132637.48139038272</v>
      </c>
      <c r="W33" s="481">
        <v>-46602.582868686462</v>
      </c>
      <c r="X33" s="481">
        <v>39059.892720479023</v>
      </c>
      <c r="Y33" s="481">
        <v>-140180.17153859019</v>
      </c>
      <c r="Z33" s="481">
        <v>-128712.6244648978</v>
      </c>
      <c r="AA33" s="481">
        <v>-78949.14996994978</v>
      </c>
      <c r="AB33" s="481">
        <v>-10107.362615615941</v>
      </c>
      <c r="AC33" s="481">
        <v>-217769.13705046353</v>
      </c>
      <c r="AD33" s="481">
        <v>-4859.0433585040582</v>
      </c>
      <c r="AE33" s="481">
        <v>54478.2797489601</v>
      </c>
      <c r="AF33" s="481">
        <v>-56625.225672461471</v>
      </c>
      <c r="AG33" s="481">
        <v>-7005.989282005422</v>
      </c>
      <c r="AH33" s="481">
        <v>4.8120927926964416</v>
      </c>
      <c r="AI33" s="481">
        <v>4554.77081571896</v>
      </c>
      <c r="AJ33" s="481">
        <v>1282.7926774182135</v>
      </c>
      <c r="AK33" s="551">
        <v>5842.3755859298844</v>
      </c>
      <c r="AL33" s="551">
        <v>22364.437769674303</v>
      </c>
      <c r="AM33" s="551">
        <v>0</v>
      </c>
      <c r="AN33" s="551">
        <v>0</v>
      </c>
      <c r="AO33" s="551">
        <v>22364.437769674303</v>
      </c>
      <c r="AP33" s="551" t="e">
        <v>#REF!</v>
      </c>
      <c r="AQ33" s="551" t="e">
        <v>#REF!</v>
      </c>
      <c r="AR33" s="551" t="e">
        <v>#REF!</v>
      </c>
      <c r="AS33" s="551" t="e">
        <v>#REF!</v>
      </c>
      <c r="AT33" s="551" t="e">
        <v>#REF!</v>
      </c>
      <c r="AU33" s="551" t="e">
        <v>#REF!</v>
      </c>
      <c r="AV33" s="551" t="e">
        <v>#REF!</v>
      </c>
      <c r="AW33" s="551" t="e">
        <v>#REF!</v>
      </c>
      <c r="AX33" s="551">
        <v>-10595.819297757058</v>
      </c>
      <c r="AY33" s="552"/>
    </row>
    <row r="34" spans="1:51" ht="15.75" customHeight="1" thickTop="1">
      <c r="A34" s="464"/>
      <c r="B34" s="482"/>
      <c r="C34" s="482"/>
      <c r="D34" s="482"/>
      <c r="E34" s="482"/>
      <c r="F34" s="482"/>
      <c r="G34" s="482"/>
      <c r="H34" s="482"/>
      <c r="I34" s="482"/>
      <c r="J34" s="482"/>
      <c r="K34" s="482"/>
      <c r="L34" s="482"/>
      <c r="M34" s="482"/>
      <c r="N34" s="482"/>
      <c r="O34" s="482"/>
      <c r="P34" s="482"/>
      <c r="Q34" s="482"/>
      <c r="R34" s="482"/>
      <c r="S34" s="482"/>
      <c r="T34" s="482"/>
      <c r="U34" s="482"/>
      <c r="V34" s="482"/>
      <c r="W34" s="482"/>
      <c r="X34" s="482"/>
      <c r="Y34" s="482"/>
      <c r="Z34" s="482"/>
      <c r="AA34" s="482"/>
      <c r="AB34" s="482"/>
      <c r="AC34" s="482"/>
      <c r="AD34" s="482"/>
      <c r="AE34" s="482"/>
      <c r="AF34" s="482"/>
      <c r="AG34" s="482"/>
      <c r="AH34" s="482"/>
      <c r="AI34" s="482"/>
      <c r="AJ34" s="482"/>
      <c r="AK34" s="552"/>
      <c r="AL34" s="552"/>
      <c r="AM34" s="552"/>
      <c r="AN34" s="552"/>
      <c r="AO34" s="552"/>
      <c r="AP34" s="552"/>
      <c r="AQ34" s="552"/>
      <c r="AR34" s="552"/>
      <c r="AS34" s="552"/>
      <c r="AT34" s="552"/>
      <c r="AU34" s="552"/>
      <c r="AV34" s="552"/>
      <c r="AW34" s="552"/>
      <c r="AX34" s="552"/>
      <c r="AY34" s="552"/>
    </row>
    <row r="35" spans="1:51" ht="15.75" customHeight="1">
      <c r="A35" s="483"/>
      <c r="B35" s="479"/>
      <c r="C35" s="479"/>
      <c r="D35" s="479"/>
      <c r="E35" s="479"/>
      <c r="F35" s="479"/>
      <c r="G35" s="479"/>
      <c r="H35" s="479"/>
      <c r="I35" s="479"/>
      <c r="J35" s="479"/>
      <c r="K35" s="479"/>
      <c r="L35" s="479"/>
      <c r="M35" s="479"/>
      <c r="N35" s="479"/>
      <c r="O35" s="479"/>
      <c r="P35" s="479"/>
      <c r="Q35" s="479"/>
      <c r="R35" s="479"/>
      <c r="S35" s="479"/>
      <c r="T35" s="479"/>
      <c r="U35" s="479"/>
      <c r="V35" s="479"/>
      <c r="W35" s="479"/>
      <c r="X35" s="479"/>
      <c r="Y35" s="479"/>
      <c r="Z35" s="479"/>
      <c r="AA35" s="479"/>
      <c r="AB35" s="479"/>
      <c r="AC35" s="479"/>
      <c r="AD35" s="479"/>
      <c r="AE35" s="479"/>
      <c r="AF35" s="479"/>
      <c r="AG35" s="479"/>
      <c r="AH35" s="479"/>
      <c r="AI35" s="479"/>
      <c r="AJ35" s="479"/>
      <c r="AK35" s="549"/>
      <c r="AL35" s="549"/>
      <c r="AM35" s="549"/>
      <c r="AN35" s="549"/>
      <c r="AO35" s="549"/>
      <c r="AP35" s="549"/>
      <c r="AQ35" s="549"/>
      <c r="AR35" s="549"/>
      <c r="AS35" s="549"/>
      <c r="AT35" s="549"/>
      <c r="AU35" s="549"/>
      <c r="AV35" s="549"/>
      <c r="AW35" s="549"/>
      <c r="AX35" s="549"/>
      <c r="AY35" s="549"/>
    </row>
    <row r="36" spans="1:51" ht="15.75" customHeight="1">
      <c r="A36" s="468" t="s">
        <v>887</v>
      </c>
      <c r="B36" s="465">
        <v>329671.4114833565</v>
      </c>
      <c r="C36" s="465">
        <v>105684.85905045376</v>
      </c>
      <c r="D36" s="465">
        <v>1627907.034160967</v>
      </c>
      <c r="E36" s="465">
        <v>329671.4114833565</v>
      </c>
      <c r="F36" s="465">
        <v>1318135.6534259601</v>
      </c>
      <c r="G36" s="465">
        <v>1119075.1510034793</v>
      </c>
      <c r="H36" s="465">
        <v>869706.67616245395</v>
      </c>
      <c r="I36" s="465">
        <v>1318135.6534259601</v>
      </c>
      <c r="J36" s="465">
        <v>715517.62567911099</v>
      </c>
      <c r="K36" s="465">
        <v>524004.57690472854</v>
      </c>
      <c r="L36" s="465">
        <v>317790.05461168598</v>
      </c>
      <c r="M36" s="465">
        <v>715517.62567911099</v>
      </c>
      <c r="N36" s="465">
        <v>99852.232777207624</v>
      </c>
      <c r="O36" s="465">
        <v>1088548.6618441064</v>
      </c>
      <c r="P36" s="465">
        <v>969060.84761565097</v>
      </c>
      <c r="Q36" s="465">
        <v>99852.232777207624</v>
      </c>
      <c r="R36" s="465">
        <v>909744.73459161096</v>
      </c>
      <c r="S36" s="465">
        <v>707816.18194773165</v>
      </c>
      <c r="T36" s="465">
        <v>559964.10244528763</v>
      </c>
      <c r="U36" s="465">
        <v>909744.73459161096</v>
      </c>
      <c r="V36" s="465">
        <v>369736.95566161408</v>
      </c>
      <c r="W36" s="465">
        <v>237099.47427123136</v>
      </c>
      <c r="X36" s="465">
        <v>190496.89140254489</v>
      </c>
      <c r="Y36" s="465">
        <v>369736.95566161408</v>
      </c>
      <c r="Z36" s="465">
        <v>229556.78412302388</v>
      </c>
      <c r="AA36" s="465">
        <v>100844.15965812608</v>
      </c>
      <c r="AB36" s="465">
        <v>21895.009688176302</v>
      </c>
      <c r="AC36" s="465">
        <v>229556.78412302388</v>
      </c>
      <c r="AD36" s="465">
        <v>11787.647072560358</v>
      </c>
      <c r="AE36" s="465">
        <v>6928.6037140562994</v>
      </c>
      <c r="AF36" s="465">
        <v>61406.883463016398</v>
      </c>
      <c r="AG36" s="465">
        <v>11787.647072560358</v>
      </c>
      <c r="AH36" s="465">
        <v>4781.6577905549357</v>
      </c>
      <c r="AI36" s="465">
        <v>4786.4698833476323</v>
      </c>
      <c r="AJ36" s="465">
        <v>9341.2406990665913</v>
      </c>
      <c r="AK36" s="529">
        <v>4781.6577905549357</v>
      </c>
      <c r="AL36" s="529">
        <v>10624.03337648482</v>
      </c>
      <c r="AM36" s="529">
        <v>32988.471146159121</v>
      </c>
      <c r="AN36" s="529">
        <v>32988.471146159121</v>
      </c>
      <c r="AO36" s="529">
        <v>10624.03337648482</v>
      </c>
      <c r="AP36" s="529" t="e">
        <v>#REF!</v>
      </c>
      <c r="AQ36" s="529" t="e">
        <v>#REF!</v>
      </c>
      <c r="AR36" s="529" t="e">
        <v>#REF!</v>
      </c>
      <c r="AS36" s="529" t="e">
        <v>#REF!</v>
      </c>
      <c r="AT36" s="529" t="e">
        <v>#REF!</v>
      </c>
      <c r="AU36" s="529" t="e">
        <v>#REF!</v>
      </c>
      <c r="AV36" s="529" t="e">
        <v>#REF!</v>
      </c>
      <c r="AW36" s="529" t="e">
        <v>#REF!</v>
      </c>
      <c r="AX36" s="529">
        <v>447205.91480384266</v>
      </c>
      <c r="AY36" s="530"/>
    </row>
    <row r="37" spans="1:51" ht="15.75" customHeight="1">
      <c r="A37" s="468" t="s">
        <v>888</v>
      </c>
      <c r="B37" s="484">
        <v>-223986.55243290274</v>
      </c>
      <c r="C37" s="484">
        <v>1522222.1751105131</v>
      </c>
      <c r="D37" s="484">
        <v>-309771.38073500665</v>
      </c>
      <c r="E37" s="484">
        <v>988464.24194260361</v>
      </c>
      <c r="F37" s="484">
        <v>-199060.50242248093</v>
      </c>
      <c r="G37" s="484">
        <v>-249368.47484102531</v>
      </c>
      <c r="H37" s="484">
        <v>-154189.05048334287</v>
      </c>
      <c r="I37" s="484">
        <v>-602618.02774684911</v>
      </c>
      <c r="J37" s="484">
        <v>-191513.04877438248</v>
      </c>
      <c r="K37" s="484">
        <v>-206214.52229304257</v>
      </c>
      <c r="L37" s="484">
        <v>-217937.82183447841</v>
      </c>
      <c r="M37" s="484">
        <v>-615665.39290190337</v>
      </c>
      <c r="N37" s="484">
        <v>988696.42906689877</v>
      </c>
      <c r="O37" s="484">
        <v>-119487.81422845538</v>
      </c>
      <c r="P37" s="484">
        <v>-59316.113024040118</v>
      </c>
      <c r="Q37" s="484">
        <v>809892.50181440334</v>
      </c>
      <c r="R37" s="484">
        <v>-201928.55264387935</v>
      </c>
      <c r="S37" s="484">
        <v>-147852.07950244404</v>
      </c>
      <c r="T37" s="484">
        <v>-190227.1467836735</v>
      </c>
      <c r="U37" s="484">
        <v>-540007.77892999689</v>
      </c>
      <c r="V37" s="484">
        <v>-132637.48139038272</v>
      </c>
      <c r="W37" s="484">
        <v>-46602.582868686462</v>
      </c>
      <c r="X37" s="484">
        <v>39059.892720479023</v>
      </c>
      <c r="Y37" s="484">
        <v>-140180.17153859019</v>
      </c>
      <c r="Z37" s="484">
        <v>-128712.6244648978</v>
      </c>
      <c r="AA37" s="484">
        <v>-78949.14996994978</v>
      </c>
      <c r="AB37" s="484">
        <v>-10107.362615615941</v>
      </c>
      <c r="AC37" s="484">
        <v>-217769.13705046353</v>
      </c>
      <c r="AD37" s="484">
        <v>-4859.0433585040582</v>
      </c>
      <c r="AE37" s="484">
        <v>54478.2797489601</v>
      </c>
      <c r="AF37" s="484">
        <v>-56625.225672461471</v>
      </c>
      <c r="AG37" s="484">
        <v>-7005.989282005422</v>
      </c>
      <c r="AH37" s="484">
        <v>4.8120927926964416</v>
      </c>
      <c r="AI37" s="484">
        <v>4554.77081571896</v>
      </c>
      <c r="AJ37" s="484">
        <v>1282.7926774182135</v>
      </c>
      <c r="AK37" s="553">
        <v>5842.3755859298844</v>
      </c>
      <c r="AL37" s="553">
        <v>22364.437769674303</v>
      </c>
      <c r="AM37" s="553">
        <v>0</v>
      </c>
      <c r="AN37" s="553">
        <v>0</v>
      </c>
      <c r="AO37" s="553">
        <v>22364.437769674303</v>
      </c>
      <c r="AP37" s="553" t="e">
        <v>#REF!</v>
      </c>
      <c r="AQ37" s="553" t="e">
        <v>#REF!</v>
      </c>
      <c r="AR37" s="553" t="e">
        <v>#REF!</v>
      </c>
      <c r="AS37" s="553" t="e">
        <v>#REF!</v>
      </c>
      <c r="AT37" s="553" t="e">
        <v>#REF!</v>
      </c>
      <c r="AU37" s="553" t="e">
        <v>#REF!</v>
      </c>
      <c r="AV37" s="553" t="e">
        <v>#REF!</v>
      </c>
      <c r="AW37" s="553" t="e">
        <v>#REF!</v>
      </c>
      <c r="AX37" s="553">
        <v>-10595.819297757058</v>
      </c>
      <c r="AY37" s="550"/>
    </row>
    <row r="38" spans="1:51" ht="15.75" customHeight="1">
      <c r="A38" s="452" t="s">
        <v>889</v>
      </c>
      <c r="B38" s="465">
        <v>105684.85905045376</v>
      </c>
      <c r="C38" s="465">
        <v>1627907.034160967</v>
      </c>
      <c r="D38" s="465">
        <v>1318135.6534259603</v>
      </c>
      <c r="E38" s="465">
        <v>1318135.6534259601</v>
      </c>
      <c r="F38" s="465">
        <v>1119075.1510034793</v>
      </c>
      <c r="G38" s="465">
        <v>869706.67616245395</v>
      </c>
      <c r="H38" s="465">
        <v>715517.62567911111</v>
      </c>
      <c r="I38" s="465">
        <v>715517.62567911099</v>
      </c>
      <c r="J38" s="465">
        <v>524004.57690472854</v>
      </c>
      <c r="K38" s="465">
        <v>317790.05461168598</v>
      </c>
      <c r="L38" s="465">
        <v>99852.232777207566</v>
      </c>
      <c r="M38" s="465">
        <v>99852.232777207624</v>
      </c>
      <c r="N38" s="465">
        <v>1088548.6618441064</v>
      </c>
      <c r="O38" s="465">
        <v>969060.84761565097</v>
      </c>
      <c r="P38" s="465">
        <v>909744.73459161085</v>
      </c>
      <c r="Q38" s="465">
        <v>909744.73459161096</v>
      </c>
      <c r="R38" s="465">
        <v>707816.18194773165</v>
      </c>
      <c r="S38" s="465">
        <v>559964.10244528763</v>
      </c>
      <c r="T38" s="465">
        <v>369736.95566161413</v>
      </c>
      <c r="U38" s="465">
        <v>369736.95566161408</v>
      </c>
      <c r="V38" s="465">
        <v>237099.47427123136</v>
      </c>
      <c r="W38" s="465">
        <v>190496.89140254489</v>
      </c>
      <c r="X38" s="465">
        <v>229556.78412302391</v>
      </c>
      <c r="Y38" s="465">
        <v>229556.78412302388</v>
      </c>
      <c r="Z38" s="465">
        <v>100844.15965812608</v>
      </c>
      <c r="AA38" s="465">
        <v>21895.009688176302</v>
      </c>
      <c r="AB38" s="465">
        <v>11787.647072560361</v>
      </c>
      <c r="AC38" s="465">
        <v>11787.647072560358</v>
      </c>
      <c r="AD38" s="465">
        <v>6928.6037140562994</v>
      </c>
      <c r="AE38" s="465">
        <v>61406.883463016398</v>
      </c>
      <c r="AF38" s="465">
        <v>4781.6577905549275</v>
      </c>
      <c r="AG38" s="465">
        <v>4781.6577905549357</v>
      </c>
      <c r="AH38" s="465">
        <v>4786.4698833476323</v>
      </c>
      <c r="AI38" s="465">
        <v>9341.2406990665913</v>
      </c>
      <c r="AJ38" s="465">
        <v>10624.033376484806</v>
      </c>
      <c r="AK38" s="529">
        <v>10624.03337648482</v>
      </c>
      <c r="AL38" s="529">
        <v>32988.471146159121</v>
      </c>
      <c r="AM38" s="529">
        <v>32988.471146159121</v>
      </c>
      <c r="AN38" s="529">
        <v>32988.471146159121</v>
      </c>
      <c r="AO38" s="529">
        <v>32988.471146159121</v>
      </c>
      <c r="AP38" s="529" t="e">
        <v>#REF!</v>
      </c>
      <c r="AQ38" s="529" t="e">
        <v>#REF!</v>
      </c>
      <c r="AR38" s="529" t="e">
        <v>#REF!</v>
      </c>
      <c r="AS38" s="529" t="e">
        <v>#REF!</v>
      </c>
      <c r="AT38" s="529" t="e">
        <v>#REF!</v>
      </c>
      <c r="AU38" s="529" t="e">
        <v>#REF!</v>
      </c>
      <c r="AV38" s="529" t="e">
        <v>#REF!</v>
      </c>
      <c r="AW38" s="529" t="e">
        <v>#REF!</v>
      </c>
      <c r="AX38" s="529">
        <v>436610.09550608561</v>
      </c>
      <c r="AY38" s="530"/>
    </row>
    <row r="39" spans="1:51" ht="15.75" customHeight="1">
      <c r="A39" s="469"/>
      <c r="B39" s="482"/>
      <c r="C39" s="482"/>
      <c r="D39" s="482"/>
      <c r="E39" s="482"/>
      <c r="F39" s="482"/>
      <c r="G39" s="482"/>
      <c r="H39" s="482"/>
      <c r="I39" s="482"/>
      <c r="J39" s="482"/>
      <c r="K39" s="482"/>
      <c r="L39" s="482"/>
      <c r="M39" s="482"/>
      <c r="N39" s="482"/>
      <c r="O39" s="482"/>
      <c r="P39" s="482"/>
      <c r="Q39" s="482"/>
      <c r="R39" s="482"/>
      <c r="S39" s="482"/>
      <c r="T39" s="482"/>
      <c r="U39" s="482"/>
      <c r="V39" s="482"/>
      <c r="W39" s="482"/>
      <c r="X39" s="482"/>
      <c r="Y39" s="482"/>
      <c r="Z39" s="482"/>
      <c r="AA39" s="482"/>
      <c r="AB39" s="482"/>
      <c r="AC39" s="482"/>
      <c r="AD39" s="482"/>
      <c r="AE39" s="482"/>
      <c r="AF39" s="482"/>
      <c r="AG39" s="482"/>
      <c r="AH39" s="470"/>
      <c r="AI39" s="470"/>
      <c r="AJ39" s="470"/>
      <c r="AK39" s="535"/>
      <c r="AL39" s="535"/>
      <c r="AM39" s="535"/>
      <c r="AN39" s="535"/>
      <c r="AO39" s="535"/>
      <c r="AP39" s="535"/>
      <c r="AQ39" s="535"/>
      <c r="AR39" s="535" t="e">
        <v>#REF!</v>
      </c>
      <c r="AS39" s="535" t="e">
        <v>#REF!</v>
      </c>
      <c r="AT39" s="535" t="e">
        <v>#REF!</v>
      </c>
      <c r="AU39" s="535" t="e">
        <v>#REF!</v>
      </c>
      <c r="AV39" s="535" t="e">
        <v>#REF!</v>
      </c>
      <c r="AW39" s="535" t="e">
        <v>#REF!</v>
      </c>
      <c r="AX39" s="535"/>
      <c r="AY39" s="535"/>
    </row>
    <row r="40" spans="1:51" ht="12.75" customHeight="1">
      <c r="A40" s="479" t="s">
        <v>937</v>
      </c>
      <c r="B40" s="479"/>
      <c r="C40" s="479"/>
      <c r="D40" s="479"/>
      <c r="E40" s="479"/>
      <c r="F40" s="479"/>
      <c r="G40" s="479"/>
      <c r="H40" s="479"/>
      <c r="I40" s="479"/>
      <c r="J40" s="479"/>
      <c r="K40" s="479"/>
      <c r="L40" s="479"/>
      <c r="M40" s="479"/>
      <c r="N40" s="479"/>
      <c r="O40" s="479"/>
      <c r="P40" s="479"/>
      <c r="Q40" s="479"/>
      <c r="R40" s="479"/>
      <c r="S40" s="479"/>
      <c r="T40" s="479"/>
      <c r="U40" s="479"/>
      <c r="V40" s="479"/>
      <c r="W40" s="479"/>
      <c r="X40" s="479"/>
      <c r="Y40" s="479"/>
      <c r="Z40" s="479"/>
      <c r="AA40" s="479"/>
      <c r="AB40" s="479"/>
      <c r="AC40" s="479"/>
      <c r="AD40" s="479"/>
      <c r="AE40" s="479"/>
      <c r="AF40" s="479"/>
      <c r="AG40" s="479"/>
      <c r="AH40" s="479"/>
      <c r="AI40" s="479"/>
      <c r="AJ40" s="479"/>
      <c r="AK40" s="549"/>
      <c r="AL40" s="549"/>
      <c r="AM40" s="549"/>
      <c r="AN40" s="549"/>
      <c r="AO40" s="549"/>
      <c r="AP40" s="549"/>
      <c r="AQ40" s="549"/>
      <c r="AR40" s="549"/>
      <c r="AS40" s="549"/>
      <c r="AT40" s="549"/>
      <c r="AU40" s="549"/>
      <c r="AV40" s="549"/>
      <c r="AW40" s="549"/>
      <c r="AX40" s="549"/>
      <c r="AY40" s="549"/>
    </row>
    <row r="41" spans="1:51" ht="15" customHeight="1">
      <c r="AE41" s="455" t="s">
        <v>890</v>
      </c>
    </row>
    <row r="42" spans="1:51" ht="15" customHeight="1">
      <c r="AF42" s="455" t="s">
        <v>891</v>
      </c>
    </row>
  </sheetData>
  <mergeCells count="2">
    <mergeCell ref="BA1:BC1"/>
    <mergeCell ref="BE1:BI1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39"/>
  <sheetViews>
    <sheetView zoomScale="120" zoomScaleNormal="120" workbookViewId="0">
      <selection activeCell="F16" sqref="F16"/>
    </sheetView>
  </sheetViews>
  <sheetFormatPr baseColWidth="10" defaultColWidth="12.6640625" defaultRowHeight="15.75" customHeight="1"/>
  <cols>
    <col min="2" max="3" width="23.5" customWidth="1"/>
  </cols>
  <sheetData>
    <row r="1" spans="1:6" ht="15.75" customHeight="1">
      <c r="A1" s="389" t="s">
        <v>161</v>
      </c>
      <c r="C1" s="2"/>
    </row>
    <row r="2" spans="1:6" ht="15.75" customHeight="1">
      <c r="A2" s="2"/>
      <c r="C2" s="2"/>
    </row>
    <row r="3" spans="1:6" ht="15.75" customHeight="1">
      <c r="A3" s="2" t="s">
        <v>162</v>
      </c>
      <c r="C3" s="2" t="s">
        <v>163</v>
      </c>
    </row>
    <row r="5" spans="1:6" ht="15.75" customHeight="1">
      <c r="A5" s="2" t="s">
        <v>164</v>
      </c>
      <c r="B5" s="433" t="s">
        <v>165</v>
      </c>
      <c r="C5" s="433" t="s">
        <v>166</v>
      </c>
      <c r="E5" s="2" t="s">
        <v>169</v>
      </c>
    </row>
    <row r="6" spans="1:6" ht="15.75" customHeight="1">
      <c r="A6" s="2" t="s">
        <v>170</v>
      </c>
      <c r="B6" s="3">
        <v>2000</v>
      </c>
      <c r="C6" s="4">
        <f>B6*$E$6</f>
        <v>4600000</v>
      </c>
      <c r="E6" s="4">
        <v>2300</v>
      </c>
    </row>
    <row r="7" spans="1:6" ht="15.75" customHeight="1">
      <c r="A7" s="2" t="s">
        <v>171</v>
      </c>
      <c r="B7" s="3">
        <v>2000</v>
      </c>
      <c r="C7" s="4">
        <f>B7*$E$6</f>
        <v>4600000</v>
      </c>
    </row>
    <row r="8" spans="1:6" ht="15.75" customHeight="1">
      <c r="A8" s="2" t="s">
        <v>172</v>
      </c>
      <c r="B8" s="3">
        <v>3000</v>
      </c>
      <c r="C8" s="4">
        <f>B8*$E$6</f>
        <v>6900000</v>
      </c>
    </row>
    <row r="9" spans="1:6" ht="15.75" customHeight="1">
      <c r="A9" s="5" t="s">
        <v>173</v>
      </c>
      <c r="B9" s="6">
        <f t="shared" ref="B9:C9" si="0">SUM(B6:B8)</f>
        <v>7000</v>
      </c>
      <c r="C9" s="7">
        <f t="shared" si="0"/>
        <v>16100000</v>
      </c>
    </row>
    <row r="12" spans="1:6" ht="15.75" customHeight="1">
      <c r="A12" s="2" t="s">
        <v>174</v>
      </c>
      <c r="C12" s="2" t="s">
        <v>175</v>
      </c>
    </row>
    <row r="14" spans="1:6" ht="15.75" customHeight="1">
      <c r="A14" s="2" t="s">
        <v>164</v>
      </c>
      <c r="B14" s="433" t="s">
        <v>165</v>
      </c>
      <c r="C14" s="433" t="s">
        <v>166</v>
      </c>
      <c r="E14" s="2" t="s">
        <v>169</v>
      </c>
    </row>
    <row r="15" spans="1:6" ht="15.75" customHeight="1">
      <c r="A15" s="2" t="s">
        <v>170</v>
      </c>
      <c r="B15" s="3">
        <v>800</v>
      </c>
      <c r="C15" s="4">
        <f>B15*$E$15</f>
        <v>4840000</v>
      </c>
      <c r="E15" s="4">
        <v>6050</v>
      </c>
      <c r="F15" s="34" t="s">
        <v>827</v>
      </c>
    </row>
    <row r="16" spans="1:6" ht="15.75" customHeight="1">
      <c r="A16" s="2" t="s">
        <v>171</v>
      </c>
      <c r="B16" s="3">
        <v>1200</v>
      </c>
      <c r="C16" s="4">
        <f>B16*$E$15</f>
        <v>7260000</v>
      </c>
    </row>
    <row r="17" spans="1:5" ht="15.75" customHeight="1">
      <c r="A17" s="2" t="s">
        <v>172</v>
      </c>
      <c r="B17" s="3">
        <v>2000</v>
      </c>
      <c r="C17" s="4">
        <f>B17*$E$15</f>
        <v>12100000</v>
      </c>
    </row>
    <row r="18" spans="1:5" ht="15.75" customHeight="1">
      <c r="A18" s="5" t="s">
        <v>173</v>
      </c>
      <c r="B18" s="6">
        <f t="shared" ref="B18:C18" si="1">SUM(B15:B17)</f>
        <v>4000</v>
      </c>
      <c r="C18" s="7">
        <f t="shared" si="1"/>
        <v>24200000</v>
      </c>
    </row>
    <row r="21" spans="1:5" ht="15.75" customHeight="1">
      <c r="A21" s="2" t="s">
        <v>176</v>
      </c>
      <c r="C21" s="2" t="s">
        <v>177</v>
      </c>
    </row>
    <row r="23" spans="1:5" ht="15.75" customHeight="1">
      <c r="A23" s="2" t="s">
        <v>164</v>
      </c>
      <c r="B23" s="433" t="s">
        <v>165</v>
      </c>
      <c r="C23" s="433" t="s">
        <v>166</v>
      </c>
      <c r="E23" s="2" t="s">
        <v>169</v>
      </c>
    </row>
    <row r="24" spans="1:5" ht="15.75" customHeight="1">
      <c r="A24" s="2" t="s">
        <v>170</v>
      </c>
      <c r="B24" s="3">
        <v>500</v>
      </c>
      <c r="C24" s="4">
        <f>B24*$E$24</f>
        <v>2949500</v>
      </c>
      <c r="E24" s="4">
        <v>5899</v>
      </c>
    </row>
    <row r="25" spans="1:5" ht="15.75" customHeight="1">
      <c r="A25" s="2" t="s">
        <v>171</v>
      </c>
      <c r="B25" s="3">
        <v>800</v>
      </c>
      <c r="C25" s="4">
        <f>B25*$E$24</f>
        <v>4719200</v>
      </c>
    </row>
    <row r="26" spans="1:5" ht="15.75" customHeight="1">
      <c r="A26" s="2" t="s">
        <v>172</v>
      </c>
      <c r="B26" s="3">
        <v>2000</v>
      </c>
      <c r="C26" s="4">
        <f>B26*$E$24</f>
        <v>11798000</v>
      </c>
    </row>
    <row r="27" spans="1:5" ht="15.75" customHeight="1">
      <c r="A27" s="5" t="s">
        <v>173</v>
      </c>
      <c r="B27" s="6">
        <f t="shared" ref="B27:C27" si="2">SUM(B24:B26)</f>
        <v>3300</v>
      </c>
      <c r="C27" s="7">
        <f t="shared" si="2"/>
        <v>19466700</v>
      </c>
    </row>
    <row r="30" spans="1:5" ht="15.75" customHeight="1">
      <c r="A30" s="2" t="s">
        <v>178</v>
      </c>
    </row>
    <row r="32" spans="1:5" ht="15.75" customHeight="1">
      <c r="A32" s="2" t="s">
        <v>164</v>
      </c>
      <c r="B32" s="433" t="s">
        <v>165</v>
      </c>
      <c r="C32" s="433" t="s">
        <v>166</v>
      </c>
      <c r="E32" s="2" t="s">
        <v>179</v>
      </c>
    </row>
    <row r="33" spans="1:5" ht="15.75" customHeight="1">
      <c r="A33" s="2" t="s">
        <v>170</v>
      </c>
      <c r="B33" s="3">
        <f t="shared" ref="B33:C33" si="3">SUM(B6,B15,B24)</f>
        <v>3300</v>
      </c>
      <c r="C33" s="271">
        <f t="shared" si="3"/>
        <v>12389500</v>
      </c>
      <c r="E33" s="1" t="s">
        <v>180</v>
      </c>
    </row>
    <row r="34" spans="1:5" ht="15.75" customHeight="1">
      <c r="A34" s="2" t="s">
        <v>171</v>
      </c>
      <c r="B34" s="3">
        <f t="shared" ref="B34:C34" si="4">SUM(B7,B16,B25)</f>
        <v>4000</v>
      </c>
      <c r="C34" s="271">
        <f t="shared" si="4"/>
        <v>16579200</v>
      </c>
      <c r="E34" s="1" t="s">
        <v>181</v>
      </c>
    </row>
    <row r="35" spans="1:5" ht="15.75" customHeight="1">
      <c r="A35" s="2" t="s">
        <v>172</v>
      </c>
      <c r="B35" s="3">
        <f t="shared" ref="B35:C35" si="5">SUM(B8,B17,B26)</f>
        <v>7000</v>
      </c>
      <c r="C35" s="271">
        <f t="shared" si="5"/>
        <v>30798000</v>
      </c>
      <c r="E35" s="1" t="s">
        <v>182</v>
      </c>
    </row>
    <row r="36" spans="1:5" ht="15.75" customHeight="1">
      <c r="A36" s="5" t="s">
        <v>173</v>
      </c>
      <c r="B36" s="6">
        <f t="shared" ref="B36:C36" si="6">SUM(B33:B35)</f>
        <v>14300</v>
      </c>
      <c r="C36" s="7">
        <f t="shared" si="6"/>
        <v>59766700</v>
      </c>
      <c r="E36" s="1" t="s">
        <v>183</v>
      </c>
    </row>
    <row r="37" spans="1:5" ht="15.75" customHeight="1">
      <c r="E37" s="1" t="s">
        <v>184</v>
      </c>
    </row>
    <row r="38" spans="1:5" ht="15.75" customHeight="1">
      <c r="E38" s="1" t="s">
        <v>185</v>
      </c>
    </row>
    <row r="39" spans="1:5" ht="15.75" customHeight="1">
      <c r="E39" s="1" t="s">
        <v>187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106"/>
  <sheetViews>
    <sheetView topLeftCell="A26" zoomScale="139" zoomScaleNormal="139" workbookViewId="0">
      <selection activeCell="G47" sqref="G47"/>
    </sheetView>
  </sheetViews>
  <sheetFormatPr baseColWidth="10" defaultColWidth="12.6640625" defaultRowHeight="15.75" customHeight="1"/>
  <cols>
    <col min="1" max="1" width="23" customWidth="1"/>
    <col min="2" max="2" width="15.1640625" customWidth="1"/>
    <col min="7" max="7" width="40.1640625" customWidth="1"/>
    <col min="12" max="12" width="19.6640625" customWidth="1"/>
  </cols>
  <sheetData>
    <row r="1" spans="1:10" ht="13">
      <c r="A1" s="2" t="s">
        <v>191</v>
      </c>
    </row>
    <row r="2" spans="1:10" ht="13">
      <c r="A2" s="2" t="s">
        <v>3</v>
      </c>
      <c r="H2" s="2"/>
      <c r="J2" s="2"/>
    </row>
    <row r="3" spans="1:10" ht="13">
      <c r="A3" s="2" t="s">
        <v>7</v>
      </c>
      <c r="H3" s="2"/>
      <c r="J3" s="2"/>
    </row>
    <row r="4" spans="1:10" ht="13">
      <c r="A4" s="13" t="s">
        <v>10</v>
      </c>
      <c r="H4" s="2"/>
      <c r="J4" s="2"/>
    </row>
    <row r="5" spans="1:10" ht="13">
      <c r="A5" s="1" t="s">
        <v>192</v>
      </c>
      <c r="H5" s="2"/>
      <c r="J5" s="2"/>
    </row>
    <row r="6" spans="1:10" ht="13">
      <c r="A6" s="2"/>
      <c r="H6" s="2"/>
      <c r="J6" s="2"/>
    </row>
    <row r="7" spans="1:10" ht="13">
      <c r="A7" s="2"/>
      <c r="E7" s="1"/>
      <c r="F7" s="1"/>
    </row>
    <row r="8" spans="1:10" ht="13">
      <c r="A8" s="2" t="s">
        <v>193</v>
      </c>
      <c r="E8" s="1" t="s">
        <v>4</v>
      </c>
      <c r="F8" s="1">
        <v>1.28</v>
      </c>
    </row>
    <row r="9" spans="1:10" ht="13">
      <c r="A9" s="1" t="s">
        <v>194</v>
      </c>
      <c r="C9" s="2"/>
      <c r="E9" s="2"/>
    </row>
    <row r="10" spans="1:10" ht="13">
      <c r="C10" s="2"/>
      <c r="E10" s="2"/>
    </row>
    <row r="11" spans="1:10" ht="13">
      <c r="C11" s="2" t="s">
        <v>8</v>
      </c>
      <c r="E11" s="2" t="s">
        <v>195</v>
      </c>
    </row>
    <row r="12" spans="1:10" ht="13">
      <c r="A12" s="1" t="s">
        <v>11</v>
      </c>
      <c r="B12" s="14">
        <f>-('OPEX Rough Workings'!C8)</f>
        <v>-80191.16</v>
      </c>
      <c r="C12" s="1">
        <v>12</v>
      </c>
      <c r="D12" s="14">
        <f t="shared" ref="D12:D13" si="0">B12*C12</f>
        <v>-962293.92</v>
      </c>
      <c r="E12" s="1" t="s">
        <v>196</v>
      </c>
    </row>
    <row r="13" spans="1:10" ht="13">
      <c r="A13" s="1" t="s">
        <v>197</v>
      </c>
      <c r="B13" s="14">
        <f>-('04 MFG Batch 0001 Cost (330pc)'!E17)</f>
        <v>-368874.77524878469</v>
      </c>
      <c r="C13" s="1">
        <v>1</v>
      </c>
      <c r="D13" s="14">
        <f t="shared" si="0"/>
        <v>-368874.77524878469</v>
      </c>
      <c r="E13" s="1" t="s">
        <v>198</v>
      </c>
    </row>
    <row r="14" spans="1:10" ht="13">
      <c r="D14" s="15">
        <f>SUM(D12:D13)</f>
        <v>-1331168.6952487847</v>
      </c>
    </row>
    <row r="17" spans="1:12" ht="13">
      <c r="A17" s="1" t="s">
        <v>199</v>
      </c>
      <c r="B17" s="14">
        <f>D42</f>
        <v>1258500</v>
      </c>
      <c r="C17" s="16">
        <v>1</v>
      </c>
      <c r="D17" s="14">
        <f t="shared" ref="D17:D19" si="1">B17*C17</f>
        <v>1258500</v>
      </c>
      <c r="E17" s="1" t="s">
        <v>200</v>
      </c>
    </row>
    <row r="18" spans="1:12" ht="13">
      <c r="A18" s="1" t="s">
        <v>201</v>
      </c>
      <c r="B18" s="14">
        <f>'04 MFG Batch 0001 Cost (330pc)'!E17</f>
        <v>368874.77524878469</v>
      </c>
      <c r="C18" s="16">
        <v>1</v>
      </c>
      <c r="D18" s="14">
        <f t="shared" si="1"/>
        <v>368874.77524878469</v>
      </c>
    </row>
    <row r="19" spans="1:12" ht="13">
      <c r="A19" s="1" t="s">
        <v>24</v>
      </c>
      <c r="B19" s="14">
        <f>'07 SG MRA Grant'!E9/F8</f>
        <v>119885.375</v>
      </c>
      <c r="C19" s="16">
        <v>1</v>
      </c>
      <c r="D19" s="14">
        <f t="shared" si="1"/>
        <v>119885.375</v>
      </c>
      <c r="L19" s="2"/>
    </row>
    <row r="20" spans="1:12" ht="13">
      <c r="B20" s="14"/>
      <c r="C20" s="14"/>
      <c r="D20" s="15">
        <f>SUM(D17:D19)</f>
        <v>1747260.1502487846</v>
      </c>
    </row>
    <row r="22" spans="1:12" ht="13">
      <c r="A22" s="2" t="s">
        <v>28</v>
      </c>
      <c r="B22" s="2"/>
      <c r="C22" s="2"/>
      <c r="D22" s="17">
        <f>D14+D20</f>
        <v>416091.45499999984</v>
      </c>
    </row>
    <row r="23" spans="1:12" ht="13">
      <c r="D23" s="18"/>
    </row>
    <row r="24" spans="1:12" ht="13">
      <c r="C24" s="19"/>
      <c r="D24" s="2"/>
      <c r="L24" s="2"/>
    </row>
    <row r="25" spans="1:12" ht="13">
      <c r="A25" s="2" t="s">
        <v>48</v>
      </c>
    </row>
    <row r="27" spans="1:12" ht="13">
      <c r="A27" s="2"/>
      <c r="B27" s="2" t="s">
        <v>42</v>
      </c>
      <c r="C27" s="2" t="s">
        <v>43</v>
      </c>
      <c r="D27" s="2" t="s">
        <v>44</v>
      </c>
    </row>
    <row r="28" spans="1:12" ht="13">
      <c r="A28" s="2" t="s">
        <v>48</v>
      </c>
      <c r="B28" s="1">
        <v>200</v>
      </c>
      <c r="C28" s="14">
        <f>'02 Rev Forecasts; Internal KPIs'!$E$15*0.85</f>
        <v>5142.5</v>
      </c>
      <c r="D28" s="14">
        <f t="shared" ref="D28:D29" si="2">B28*C28</f>
        <v>1028500</v>
      </c>
      <c r="E28" s="1" t="s">
        <v>51</v>
      </c>
    </row>
    <row r="29" spans="1:12" ht="13">
      <c r="B29" s="1">
        <v>100</v>
      </c>
      <c r="C29" s="14">
        <f>'02 Rev Forecasts; Internal KPIs'!$E$6</f>
        <v>2300</v>
      </c>
      <c r="D29" s="14">
        <f t="shared" si="2"/>
        <v>230000</v>
      </c>
    </row>
    <row r="30" spans="1:12" ht="13">
      <c r="B30" s="20">
        <f>SUM(B28:B29)</f>
        <v>300</v>
      </c>
      <c r="C30" s="21"/>
      <c r="D30" s="21">
        <f>SUM(D28:D29)</f>
        <v>1258500</v>
      </c>
    </row>
    <row r="32" spans="1:12" ht="13">
      <c r="A32" s="1" t="s">
        <v>202</v>
      </c>
      <c r="D32" s="14">
        <f>B13</f>
        <v>-368874.77524878469</v>
      </c>
    </row>
    <row r="34" spans="1:5" ht="13">
      <c r="A34" s="2" t="s">
        <v>28</v>
      </c>
      <c r="D34" s="17">
        <f>D30+D32</f>
        <v>889625.22475121531</v>
      </c>
    </row>
    <row r="35" spans="1:5" ht="13">
      <c r="D35" s="18"/>
    </row>
    <row r="36" spans="1:5" ht="13">
      <c r="D36" s="18"/>
    </row>
    <row r="37" spans="1:5" ht="13">
      <c r="A37" s="2" t="s">
        <v>203</v>
      </c>
      <c r="D37" s="18"/>
    </row>
    <row r="38" spans="1:5" ht="13">
      <c r="D38" s="18"/>
    </row>
    <row r="39" spans="1:5" ht="13">
      <c r="A39" s="2"/>
      <c r="B39" s="2" t="s">
        <v>42</v>
      </c>
      <c r="C39" s="2" t="s">
        <v>43</v>
      </c>
      <c r="D39" s="2" t="s">
        <v>44</v>
      </c>
    </row>
    <row r="40" spans="1:5" ht="13">
      <c r="A40" s="2" t="s">
        <v>48</v>
      </c>
      <c r="B40" s="1">
        <v>200</v>
      </c>
      <c r="C40" s="14">
        <f>'02 Rev Forecasts; Internal KPIs'!$E$15*0.85</f>
        <v>5142.5</v>
      </c>
      <c r="D40" s="14">
        <f t="shared" ref="D40:D41" si="3">B40*C40</f>
        <v>1028500</v>
      </c>
      <c r="E40" s="1" t="s">
        <v>51</v>
      </c>
    </row>
    <row r="41" spans="1:5" ht="13">
      <c r="B41" s="1">
        <v>100</v>
      </c>
      <c r="C41" s="14">
        <f>'02 Rev Forecasts; Internal KPIs'!$E$6</f>
        <v>2300</v>
      </c>
      <c r="D41" s="14">
        <f t="shared" si="3"/>
        <v>230000</v>
      </c>
    </row>
    <row r="42" spans="1:5" ht="13">
      <c r="B42" s="20">
        <f>SUM(B40:B41)</f>
        <v>300</v>
      </c>
      <c r="C42" s="21"/>
      <c r="D42" s="21">
        <f>SUM(D40:D41)</f>
        <v>1258500</v>
      </c>
    </row>
    <row r="43" spans="1:5" ht="13">
      <c r="C43" s="14"/>
      <c r="D43" s="14"/>
    </row>
    <row r="44" spans="1:5" ht="13">
      <c r="A44" s="2" t="s">
        <v>60</v>
      </c>
      <c r="B44" s="1">
        <v>250</v>
      </c>
      <c r="C44" s="14">
        <f>'02 Rev Forecasts; Internal KPIs'!$E$15*0.85</f>
        <v>5142.5</v>
      </c>
      <c r="D44" s="14">
        <f t="shared" ref="D44:D45" si="4">B44*C44</f>
        <v>1285625</v>
      </c>
      <c r="E44" s="1" t="s">
        <v>51</v>
      </c>
    </row>
    <row r="45" spans="1:5" ht="13">
      <c r="B45" s="1">
        <v>300</v>
      </c>
      <c r="C45" s="14">
        <f>'02 Rev Forecasts; Internal KPIs'!$E$6</f>
        <v>2300</v>
      </c>
      <c r="D45" s="14">
        <f t="shared" si="4"/>
        <v>690000</v>
      </c>
    </row>
    <row r="46" spans="1:5" ht="13">
      <c r="B46" s="20">
        <f>SUM(B44:B45)</f>
        <v>550</v>
      </c>
      <c r="C46" s="21"/>
      <c r="D46" s="21">
        <f>SUM(D44:D45)</f>
        <v>1975625</v>
      </c>
    </row>
    <row r="47" spans="1:5" ht="13">
      <c r="C47" s="14"/>
      <c r="D47" s="14"/>
    </row>
    <row r="48" spans="1:5" ht="13">
      <c r="C48" s="14"/>
      <c r="D48" s="14"/>
    </row>
    <row r="49" spans="1:5" ht="13">
      <c r="A49" s="22" t="s">
        <v>204</v>
      </c>
      <c r="B49" s="22">
        <f>SUM(B46+B42)</f>
        <v>850</v>
      </c>
      <c r="C49" s="23"/>
      <c r="D49" s="23">
        <f>D42+D46</f>
        <v>3234125</v>
      </c>
      <c r="E49" s="1" t="s">
        <v>70</v>
      </c>
    </row>
    <row r="50" spans="1:5" ht="13">
      <c r="E50" s="1" t="s">
        <v>205</v>
      </c>
    </row>
    <row r="51" spans="1:5" ht="13">
      <c r="A51" s="2"/>
      <c r="B51" s="2"/>
      <c r="C51" s="2"/>
      <c r="D51" s="2"/>
    </row>
    <row r="54" spans="1:5" ht="15" customHeight="1"/>
    <row r="73" spans="1:6" ht="13">
      <c r="A73" s="2" t="s">
        <v>100</v>
      </c>
    </row>
    <row r="74" spans="1:6" ht="13">
      <c r="B74" s="2" t="s">
        <v>101</v>
      </c>
      <c r="C74" s="2" t="s">
        <v>102</v>
      </c>
      <c r="D74" s="18"/>
      <c r="F74" s="2" t="s">
        <v>103</v>
      </c>
    </row>
    <row r="75" spans="1:6" ht="13">
      <c r="A75" s="2" t="s">
        <v>104</v>
      </c>
      <c r="B75" s="2"/>
      <c r="D75" s="18"/>
      <c r="F75" s="1" t="s">
        <v>206</v>
      </c>
    </row>
    <row r="76" spans="1:6" ht="13">
      <c r="A76" s="1" t="s">
        <v>105</v>
      </c>
      <c r="B76" s="1" t="s">
        <v>106</v>
      </c>
      <c r="C76" s="1">
        <v>100</v>
      </c>
      <c r="D76" s="18">
        <f>C76*'02 Rev Forecasts; Internal KPIs'!$E$6</f>
        <v>230000</v>
      </c>
    </row>
    <row r="77" spans="1:6" ht="13">
      <c r="A77" s="1" t="s">
        <v>108</v>
      </c>
      <c r="B77" s="1" t="s">
        <v>109</v>
      </c>
      <c r="C77" s="1">
        <v>300</v>
      </c>
      <c r="D77" s="18">
        <f>C77*'02 Rev Forecasts; Internal KPIs'!$E$6</f>
        <v>690000</v>
      </c>
    </row>
    <row r="78" spans="1:6" ht="13">
      <c r="C78" s="24">
        <f>SUM(C76:C77)</f>
        <v>400</v>
      </c>
      <c r="D78" s="25">
        <f>SUM(D76:D77)</f>
        <v>920000</v>
      </c>
    </row>
    <row r="80" spans="1:6" ht="13">
      <c r="D80" s="18"/>
    </row>
    <row r="81" spans="1:8" ht="13">
      <c r="A81" s="2" t="s">
        <v>112</v>
      </c>
      <c r="B81" s="2"/>
      <c r="D81" s="18"/>
      <c r="F81" s="1" t="s">
        <v>207</v>
      </c>
    </row>
    <row r="82" spans="1:8" ht="13">
      <c r="A82" s="1" t="s">
        <v>113</v>
      </c>
      <c r="B82" s="1" t="s">
        <v>114</v>
      </c>
      <c r="C82" s="1">
        <v>50</v>
      </c>
      <c r="D82" s="18">
        <f>C82*'02 Rev Forecasts; Internal KPIs'!E15*0.85</f>
        <v>257125</v>
      </c>
      <c r="E82" s="1" t="s">
        <v>116</v>
      </c>
    </row>
    <row r="83" spans="1:8" ht="13">
      <c r="A83" s="1"/>
      <c r="B83" s="1"/>
      <c r="C83" s="24">
        <f>SUM(C82)</f>
        <v>50</v>
      </c>
      <c r="D83" s="25">
        <f>SUM(D82)</f>
        <v>257125</v>
      </c>
      <c r="E83" s="1"/>
    </row>
    <row r="84" spans="1:8" ht="13">
      <c r="D84" s="18"/>
    </row>
    <row r="85" spans="1:8" ht="13">
      <c r="A85" s="2" t="s">
        <v>117</v>
      </c>
      <c r="D85" s="18"/>
    </row>
    <row r="86" spans="1:8" ht="13">
      <c r="A86" s="1" t="s">
        <v>117</v>
      </c>
      <c r="B86" s="1" t="s">
        <v>114</v>
      </c>
      <c r="C86" s="1">
        <v>50</v>
      </c>
      <c r="D86" s="18">
        <f>C86*'02 Rev Forecasts; Internal KPIs'!$E$24</f>
        <v>294950</v>
      </c>
    </row>
    <row r="87" spans="1:8" ht="13">
      <c r="B87" s="1" t="s">
        <v>109</v>
      </c>
      <c r="C87" s="1">
        <v>50</v>
      </c>
      <c r="D87" s="18">
        <f>C87*'02 Rev Forecasts; Internal KPIs'!$E$24</f>
        <v>294950</v>
      </c>
    </row>
    <row r="88" spans="1:8" ht="13">
      <c r="C88" s="24">
        <f>SUM(C86:C87)</f>
        <v>100</v>
      </c>
      <c r="D88" s="25">
        <f>SUM(D86:D87)</f>
        <v>589900</v>
      </c>
      <c r="G88" s="2" t="s">
        <v>120</v>
      </c>
    </row>
    <row r="89" spans="1:8" ht="13">
      <c r="G89" s="1" t="s">
        <v>114</v>
      </c>
      <c r="H89" s="18">
        <f>D76+D82+D86</f>
        <v>782075</v>
      </c>
    </row>
    <row r="90" spans="1:8" ht="13">
      <c r="C90" s="26" t="s">
        <v>68</v>
      </c>
      <c r="D90" s="27">
        <f>SUM(D78+D83+D88)</f>
        <v>1767025</v>
      </c>
      <c r="G90" s="1" t="s">
        <v>123</v>
      </c>
      <c r="H90" s="18">
        <f>D77+D87</f>
        <v>984950</v>
      </c>
    </row>
    <row r="92" spans="1:8" ht="13">
      <c r="G92" s="1" t="s">
        <v>68</v>
      </c>
      <c r="H92" s="28">
        <f>SUM(H89:H90)</f>
        <v>1767025</v>
      </c>
    </row>
    <row r="97" spans="1:4" ht="13">
      <c r="A97" s="2" t="s">
        <v>125</v>
      </c>
    </row>
    <row r="98" spans="1:4" ht="13">
      <c r="A98" s="1" t="s">
        <v>126</v>
      </c>
      <c r="B98" s="1" t="s">
        <v>127</v>
      </c>
      <c r="D98" s="4">
        <v>500000</v>
      </c>
    </row>
    <row r="99" spans="1:4" ht="13">
      <c r="A99" s="1" t="s">
        <v>129</v>
      </c>
      <c r="B99" s="1" t="s">
        <v>109</v>
      </c>
      <c r="C99" s="1">
        <v>100</v>
      </c>
      <c r="D99" s="4">
        <f>C99*'02 Rev Forecasts; Internal KPIs'!E6</f>
        <v>230000</v>
      </c>
    </row>
    <row r="100" spans="1:4" ht="13">
      <c r="C100" s="2" t="s">
        <v>130</v>
      </c>
      <c r="D100" s="29">
        <f>SUM(D98:D99)</f>
        <v>730000</v>
      </c>
    </row>
    <row r="101" spans="1:4" ht="13">
      <c r="D101" s="4"/>
    </row>
    <row r="106" spans="1:4" ht="13">
      <c r="C106" s="2" t="s">
        <v>68</v>
      </c>
      <c r="D106" s="28">
        <f>D90+D100</f>
        <v>2497025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45"/>
  <sheetViews>
    <sheetView zoomScale="90" zoomScaleNormal="90" workbookViewId="0">
      <selection activeCell="C35" sqref="C35"/>
    </sheetView>
  </sheetViews>
  <sheetFormatPr baseColWidth="10" defaultColWidth="12.6640625" defaultRowHeight="15.75" customHeight="1"/>
  <cols>
    <col min="1" max="1" width="11.6640625" customWidth="1"/>
    <col min="2" max="2" width="20.5" customWidth="1"/>
    <col min="4" max="4" width="19.1640625" customWidth="1"/>
    <col min="6" max="6" width="16.1640625" customWidth="1"/>
    <col min="11" max="11" width="27" customWidth="1"/>
    <col min="12" max="12" width="25.6640625" customWidth="1"/>
    <col min="13" max="13" width="22.6640625" customWidth="1"/>
  </cols>
  <sheetData>
    <row r="1" spans="1:16" ht="15.75" customHeight="1">
      <c r="A1" s="604" t="s">
        <v>208</v>
      </c>
      <c r="B1" s="598"/>
      <c r="C1" s="392"/>
      <c r="D1" s="392"/>
      <c r="E1" s="392"/>
      <c r="F1" s="392"/>
      <c r="G1" s="392"/>
      <c r="H1" s="392"/>
      <c r="I1" s="392"/>
      <c r="J1" s="392"/>
      <c r="K1" s="392"/>
      <c r="L1" s="392"/>
    </row>
    <row r="2" spans="1:16" ht="15.75" customHeight="1">
      <c r="A2" s="389" t="s">
        <v>209</v>
      </c>
      <c r="B2" s="389"/>
      <c r="C2" s="389"/>
      <c r="D2" s="30" t="s">
        <v>102</v>
      </c>
      <c r="E2" s="31">
        <v>330</v>
      </c>
      <c r="F2" s="605" t="s">
        <v>210</v>
      </c>
      <c r="G2" s="598"/>
      <c r="H2" s="598"/>
      <c r="I2" s="598"/>
      <c r="J2" s="598"/>
      <c r="K2" s="392"/>
      <c r="L2" s="392"/>
      <c r="N2" s="2" t="s">
        <v>211</v>
      </c>
    </row>
    <row r="3" spans="1:16" ht="15.75" customHeight="1">
      <c r="A3" s="392"/>
      <c r="B3" s="392"/>
      <c r="C3" s="392"/>
      <c r="D3" s="32" t="s">
        <v>212</v>
      </c>
      <c r="E3" s="32">
        <v>1.1399999999999999</v>
      </c>
      <c r="F3" s="389" t="s">
        <v>213</v>
      </c>
      <c r="G3" s="389" t="s">
        <v>214</v>
      </c>
      <c r="H3" s="389" t="s">
        <v>215</v>
      </c>
      <c r="I3" s="389"/>
      <c r="J3" s="389" t="s">
        <v>216</v>
      </c>
      <c r="K3" s="392"/>
      <c r="L3" s="392"/>
      <c r="N3" s="33" t="s">
        <v>6</v>
      </c>
      <c r="P3" s="34"/>
    </row>
    <row r="4" spans="1:16" ht="15.75" customHeight="1">
      <c r="A4" s="35" t="s">
        <v>217</v>
      </c>
      <c r="B4" s="36" t="s">
        <v>218</v>
      </c>
      <c r="C4" s="36" t="s">
        <v>219</v>
      </c>
      <c r="D4" s="36" t="s">
        <v>220</v>
      </c>
      <c r="E4" s="36" t="s">
        <v>221</v>
      </c>
      <c r="F4" s="37">
        <v>0.4</v>
      </c>
      <c r="G4" s="37">
        <v>0.2</v>
      </c>
      <c r="H4" s="37">
        <v>0.4</v>
      </c>
      <c r="I4" s="36" t="s">
        <v>222</v>
      </c>
      <c r="J4" s="38" t="s">
        <v>223</v>
      </c>
      <c r="K4" s="35" t="s">
        <v>224</v>
      </c>
      <c r="L4" s="36" t="s">
        <v>225</v>
      </c>
      <c r="N4" s="1" t="s">
        <v>226</v>
      </c>
      <c r="O4" s="34"/>
      <c r="P4" s="34"/>
    </row>
    <row r="5" spans="1:16" ht="15.75" customHeight="1">
      <c r="A5" s="39">
        <v>1</v>
      </c>
      <c r="B5" s="40">
        <v>131</v>
      </c>
      <c r="C5" s="41" t="s">
        <v>227</v>
      </c>
      <c r="D5" s="41" t="s">
        <v>228</v>
      </c>
      <c r="E5" s="296">
        <f>'[4]Foxconn (2)'!H30</f>
        <v>57956.114915422542</v>
      </c>
      <c r="F5" s="42">
        <v>23182.45</v>
      </c>
      <c r="G5" s="42">
        <v>11591.22</v>
      </c>
      <c r="H5" s="42">
        <v>23182.45</v>
      </c>
      <c r="I5" s="41"/>
      <c r="J5" s="43"/>
      <c r="K5" s="606" t="s">
        <v>229</v>
      </c>
      <c r="L5" s="41" t="s">
        <v>230</v>
      </c>
      <c r="N5" s="1" t="s">
        <v>231</v>
      </c>
      <c r="O5" s="34"/>
      <c r="P5" s="44">
        <f>25000</f>
        <v>25000</v>
      </c>
    </row>
    <row r="6" spans="1:16" ht="15.75" customHeight="1">
      <c r="A6" s="39">
        <v>2</v>
      </c>
      <c r="B6" s="40">
        <v>132</v>
      </c>
      <c r="C6" s="41" t="s">
        <v>227</v>
      </c>
      <c r="D6" s="41" t="s">
        <v>232</v>
      </c>
      <c r="E6" s="296">
        <f>'[4]Foxconn (3)'!H41</f>
        <v>51808.135999999999</v>
      </c>
      <c r="F6" s="42">
        <v>20723.25</v>
      </c>
      <c r="G6" s="42">
        <v>10361.629999999999</v>
      </c>
      <c r="H6" s="42">
        <v>20723.25</v>
      </c>
      <c r="I6" s="41"/>
      <c r="J6" s="43"/>
      <c r="K6" s="607"/>
      <c r="L6" s="41" t="s">
        <v>230</v>
      </c>
      <c r="N6" s="1" t="s">
        <v>233</v>
      </c>
      <c r="O6" s="34"/>
      <c r="P6" s="34"/>
    </row>
    <row r="7" spans="1:16" ht="15.75" customHeight="1">
      <c r="A7" s="39">
        <v>3</v>
      </c>
      <c r="B7" s="40">
        <v>133</v>
      </c>
      <c r="C7" s="41" t="s">
        <v>227</v>
      </c>
      <c r="D7" s="41" t="s">
        <v>234</v>
      </c>
      <c r="E7" s="296">
        <f>'[4]Foxconn (4)'!H40</f>
        <v>62222.775460122699</v>
      </c>
      <c r="F7" s="42">
        <v>24259.21</v>
      </c>
      <c r="G7" s="42">
        <v>12129.6</v>
      </c>
      <c r="H7" s="42">
        <v>24259.21</v>
      </c>
      <c r="I7" s="41"/>
      <c r="J7" s="43"/>
      <c r="K7" s="607"/>
      <c r="L7" s="41" t="s">
        <v>230</v>
      </c>
      <c r="N7" s="1" t="s">
        <v>235</v>
      </c>
      <c r="O7" s="34"/>
      <c r="P7" s="34"/>
    </row>
    <row r="8" spans="1:16" ht="15.75" customHeight="1">
      <c r="A8" s="45">
        <v>4</v>
      </c>
      <c r="B8" s="40">
        <v>134</v>
      </c>
      <c r="C8" s="41" t="s">
        <v>227</v>
      </c>
      <c r="D8" s="41" t="s">
        <v>236</v>
      </c>
      <c r="E8" s="296">
        <f>+'[4]Foxconn (6)'!H39</f>
        <v>11789.97</v>
      </c>
      <c r="F8" s="42">
        <v>4715.99</v>
      </c>
      <c r="G8" s="42">
        <v>2357.9899999999998</v>
      </c>
      <c r="H8" s="42">
        <v>4715.99</v>
      </c>
      <c r="I8" s="41"/>
      <c r="J8" s="43"/>
      <c r="K8" s="607"/>
      <c r="L8" s="41" t="s">
        <v>230</v>
      </c>
      <c r="N8" s="33" t="s">
        <v>237</v>
      </c>
      <c r="O8" s="34"/>
      <c r="P8" s="34"/>
    </row>
    <row r="9" spans="1:16" ht="15.75" customHeight="1">
      <c r="A9" s="39">
        <v>5</v>
      </c>
      <c r="B9" s="40">
        <v>135</v>
      </c>
      <c r="C9" s="41" t="s">
        <v>227</v>
      </c>
      <c r="D9" s="41" t="s">
        <v>238</v>
      </c>
      <c r="E9" s="296">
        <f>+'[4]Foxconn (7)'!H26</f>
        <v>40813.178873239442</v>
      </c>
      <c r="F9" s="42">
        <v>16325.27</v>
      </c>
      <c r="G9" s="42">
        <v>8162.64</v>
      </c>
      <c r="H9" s="42">
        <v>16325.27</v>
      </c>
      <c r="I9" s="41"/>
      <c r="J9" s="43"/>
      <c r="K9" s="608"/>
      <c r="L9" s="41" t="s">
        <v>230</v>
      </c>
    </row>
    <row r="10" spans="1:16" ht="15.75" customHeight="1">
      <c r="A10" s="39">
        <v>6</v>
      </c>
      <c r="B10" s="40">
        <v>136</v>
      </c>
      <c r="C10" s="41" t="s">
        <v>239</v>
      </c>
      <c r="D10" s="41" t="s">
        <v>240</v>
      </c>
      <c r="E10" s="296">
        <f>[4]Bobertag!H30*E3</f>
        <v>26881.199999999997</v>
      </c>
      <c r="F10" s="41"/>
      <c r="G10" s="41"/>
      <c r="H10" s="41"/>
      <c r="I10" s="41"/>
      <c r="J10" s="46">
        <f>E10</f>
        <v>26881.199999999997</v>
      </c>
      <c r="K10" s="45" t="s">
        <v>241</v>
      </c>
      <c r="L10" s="41" t="s">
        <v>242</v>
      </c>
    </row>
    <row r="11" spans="1:16" ht="15.75" customHeight="1">
      <c r="A11" s="39">
        <v>7</v>
      </c>
      <c r="B11" s="40">
        <v>137</v>
      </c>
      <c r="C11" s="41" t="s">
        <v>243</v>
      </c>
      <c r="D11" s="41" t="s">
        <v>244</v>
      </c>
      <c r="E11" s="296">
        <f>+[4]Constar!H27</f>
        <v>6045.4</v>
      </c>
      <c r="F11" s="41"/>
      <c r="G11" s="42">
        <v>6045.4</v>
      </c>
      <c r="H11" s="41"/>
      <c r="I11" s="41"/>
      <c r="J11" s="43"/>
      <c r="K11" s="45" t="s">
        <v>223</v>
      </c>
      <c r="L11" s="41" t="s">
        <v>242</v>
      </c>
    </row>
    <row r="12" spans="1:16" ht="15.75" customHeight="1">
      <c r="A12" s="39">
        <v>8</v>
      </c>
      <c r="B12" s="40">
        <v>138</v>
      </c>
      <c r="C12" s="41" t="s">
        <v>245</v>
      </c>
      <c r="D12" s="41" t="s">
        <v>246</v>
      </c>
      <c r="E12" s="296">
        <f>[4]PHI!H36</f>
        <v>12500</v>
      </c>
      <c r="F12" s="42">
        <v>5000</v>
      </c>
      <c r="G12" s="41"/>
      <c r="H12" s="42">
        <v>7500</v>
      </c>
      <c r="I12" s="41"/>
      <c r="J12" s="43"/>
      <c r="K12" s="45" t="s">
        <v>247</v>
      </c>
      <c r="L12" s="41" t="s">
        <v>248</v>
      </c>
    </row>
    <row r="13" spans="1:16" ht="15.75" customHeight="1">
      <c r="A13" s="39">
        <v>9</v>
      </c>
      <c r="B13" s="40">
        <v>139</v>
      </c>
      <c r="C13" s="41" t="s">
        <v>249</v>
      </c>
      <c r="D13" s="41" t="s">
        <v>250</v>
      </c>
      <c r="E13" s="296">
        <f>140*330</f>
        <v>46200</v>
      </c>
      <c r="F13" s="41"/>
      <c r="G13" s="41"/>
      <c r="H13" s="41"/>
      <c r="I13" s="41"/>
      <c r="J13" s="47">
        <v>46200</v>
      </c>
      <c r="K13" s="45" t="s">
        <v>251</v>
      </c>
      <c r="L13" s="41" t="s">
        <v>223</v>
      </c>
      <c r="M13" s="1" t="s">
        <v>252</v>
      </c>
    </row>
    <row r="14" spans="1:16" ht="15.75" customHeight="1">
      <c r="A14" s="39">
        <v>10</v>
      </c>
      <c r="B14" s="40">
        <v>140</v>
      </c>
      <c r="C14" s="41" t="s">
        <v>223</v>
      </c>
      <c r="D14" s="41" t="s">
        <v>253</v>
      </c>
      <c r="E14" s="296">
        <f>55*330</f>
        <v>18150</v>
      </c>
      <c r="F14" s="41"/>
      <c r="G14" s="41"/>
      <c r="H14" s="41"/>
      <c r="I14" s="41"/>
      <c r="J14" s="47">
        <v>18150</v>
      </c>
      <c r="K14" s="45" t="s">
        <v>251</v>
      </c>
      <c r="L14" s="41" t="s">
        <v>223</v>
      </c>
    </row>
    <row r="15" spans="1:16" ht="15.75" customHeight="1">
      <c r="A15" s="392"/>
      <c r="B15" s="392"/>
      <c r="C15" s="48" t="s">
        <v>254</v>
      </c>
      <c r="D15" s="49"/>
      <c r="E15" s="50">
        <f t="shared" ref="E15:H15" si="0">SUM(E5:E14)</f>
        <v>334366.77524878469</v>
      </c>
      <c r="F15" s="50">
        <f t="shared" si="0"/>
        <v>94206.170000000013</v>
      </c>
      <c r="G15" s="50">
        <f t="shared" si="0"/>
        <v>50648.479999999996</v>
      </c>
      <c r="H15" s="50">
        <f t="shared" si="0"/>
        <v>96706.170000000013</v>
      </c>
      <c r="I15" s="50"/>
      <c r="J15" s="50">
        <f>SUM(J5:J14)</f>
        <v>91231.2</v>
      </c>
      <c r="K15" s="45"/>
      <c r="L15" s="41"/>
    </row>
    <row r="16" spans="1:16" ht="15.75" customHeight="1">
      <c r="A16" s="51"/>
      <c r="B16" s="52">
        <v>129</v>
      </c>
      <c r="C16" s="53" t="s">
        <v>255</v>
      </c>
      <c r="D16" s="53" t="s">
        <v>244</v>
      </c>
      <c r="E16" s="54">
        <v>34508</v>
      </c>
      <c r="F16" s="53"/>
      <c r="G16" s="54">
        <v>12940.5</v>
      </c>
      <c r="H16" s="53"/>
      <c r="I16" s="54">
        <v>21567.5</v>
      </c>
      <c r="J16" s="55"/>
      <c r="K16" s="45"/>
      <c r="L16" s="41" t="s">
        <v>256</v>
      </c>
      <c r="M16" s="33" t="s">
        <v>257</v>
      </c>
    </row>
    <row r="17" spans="1:12" ht="15.75" customHeight="1">
      <c r="A17" s="392"/>
      <c r="B17" s="392"/>
      <c r="C17" s="609" t="s">
        <v>258</v>
      </c>
      <c r="D17" s="610"/>
      <c r="E17" s="56">
        <f t="shared" ref="E17:J17" si="1">E16+E15</f>
        <v>368874.77524878469</v>
      </c>
      <c r="F17" s="56">
        <f t="shared" si="1"/>
        <v>94206.170000000013</v>
      </c>
      <c r="G17" s="56">
        <f t="shared" si="1"/>
        <v>63588.979999999996</v>
      </c>
      <c r="H17" s="56">
        <f t="shared" si="1"/>
        <v>96706.170000000013</v>
      </c>
      <c r="I17" s="56">
        <f t="shared" si="1"/>
        <v>21567.5</v>
      </c>
      <c r="J17" s="56">
        <f t="shared" si="1"/>
        <v>91231.2</v>
      </c>
      <c r="K17" s="45"/>
      <c r="L17" s="41"/>
    </row>
    <row r="18" spans="1:12" ht="15.75" customHeight="1">
      <c r="A18" s="392"/>
      <c r="B18" s="392"/>
      <c r="C18" s="392"/>
      <c r="D18" s="392"/>
      <c r="E18" s="298"/>
      <c r="F18" s="297"/>
      <c r="G18" s="392"/>
      <c r="H18" s="392"/>
      <c r="I18" s="392"/>
      <c r="J18" s="392"/>
      <c r="K18" s="392"/>
      <c r="L18" s="392"/>
    </row>
    <row r="19" spans="1:12" ht="15.75" customHeight="1">
      <c r="A19" s="392"/>
      <c r="B19" s="392"/>
      <c r="C19" s="392"/>
      <c r="D19" s="392"/>
      <c r="E19" s="299"/>
      <c r="F19" s="392"/>
    </row>
    <row r="20" spans="1:12" ht="15.75" customHeight="1">
      <c r="A20" s="57" t="s">
        <v>800</v>
      </c>
      <c r="B20" s="2" t="s">
        <v>259</v>
      </c>
      <c r="E20" s="34"/>
      <c r="F20" s="34"/>
      <c r="G20" s="34"/>
      <c r="J20" s="2" t="s">
        <v>260</v>
      </c>
    </row>
    <row r="21" spans="1:12" ht="15.75" customHeight="1">
      <c r="E21" s="34"/>
      <c r="F21" s="34"/>
      <c r="G21" s="34"/>
      <c r="J21" s="14">
        <f>+SUM(C23,C25,C26,C28,C30,C31,C32,C34,C27)/E2+SUM(C24,C29,C33)/500</f>
        <v>1137.0652848751051</v>
      </c>
      <c r="K21" s="1" t="s">
        <v>261</v>
      </c>
      <c r="L21" s="325">
        <f>++C35/E2</f>
        <v>1243.2239856023778</v>
      </c>
    </row>
    <row r="22" spans="1:12" ht="15.75" customHeight="1">
      <c r="B22" s="57" t="s">
        <v>220</v>
      </c>
      <c r="C22" s="57" t="s">
        <v>221</v>
      </c>
      <c r="E22" s="34"/>
      <c r="F22" s="34"/>
      <c r="G22" s="34"/>
      <c r="J22" s="14">
        <f>+J21-(C27/E2)</f>
        <v>1013.3889852592281</v>
      </c>
      <c r="K22" s="1" t="s">
        <v>262</v>
      </c>
      <c r="L22" s="324">
        <f>+C27/1000</f>
        <v>40.813178873239444</v>
      </c>
    </row>
    <row r="23" spans="1:12" ht="15.75" customHeight="1">
      <c r="B23" s="34" t="s">
        <v>228</v>
      </c>
      <c r="C23" s="58">
        <f t="shared" ref="C23:C28" si="2">+E5</f>
        <v>57956.114915422542</v>
      </c>
      <c r="E23" s="34"/>
      <c r="F23" s="34"/>
      <c r="G23" s="34"/>
      <c r="L23" s="328">
        <f>+L21-L22</f>
        <v>1202.4108067291384</v>
      </c>
    </row>
    <row r="24" spans="1:12" ht="15.75" customHeight="1">
      <c r="B24" s="34" t="s">
        <v>263</v>
      </c>
      <c r="C24" s="58">
        <f t="shared" si="2"/>
        <v>51808.135999999999</v>
      </c>
      <c r="E24" s="34"/>
      <c r="F24" s="34"/>
      <c r="G24" s="34"/>
      <c r="J24" s="1" t="s">
        <v>264</v>
      </c>
    </row>
    <row r="25" spans="1:12" ht="15.75" customHeight="1">
      <c r="B25" s="34" t="s">
        <v>234</v>
      </c>
      <c r="C25" s="58">
        <f t="shared" si="2"/>
        <v>62222.775460122699</v>
      </c>
      <c r="E25" s="34"/>
      <c r="F25" s="34"/>
      <c r="G25" s="34"/>
      <c r="J25" s="1" t="s">
        <v>265</v>
      </c>
    </row>
    <row r="26" spans="1:12" ht="15.75" customHeight="1">
      <c r="B26" s="34" t="s">
        <v>236</v>
      </c>
      <c r="C26" s="58">
        <f t="shared" si="2"/>
        <v>11789.97</v>
      </c>
      <c r="D26" s="34"/>
      <c r="E26" s="34"/>
      <c r="F26" s="34"/>
      <c r="G26" s="34"/>
      <c r="J26" s="1" t="s">
        <v>266</v>
      </c>
    </row>
    <row r="27" spans="1:12" ht="15.75" customHeight="1">
      <c r="B27" s="34" t="s">
        <v>238</v>
      </c>
      <c r="C27" s="58">
        <f t="shared" si="2"/>
        <v>40813.178873239442</v>
      </c>
      <c r="F27" s="34"/>
      <c r="G27" s="34"/>
      <c r="J27" s="1" t="s">
        <v>267</v>
      </c>
    </row>
    <row r="28" spans="1:12" ht="15.75" customHeight="1">
      <c r="B28" s="34" t="s">
        <v>240</v>
      </c>
      <c r="C28" s="58">
        <f t="shared" si="2"/>
        <v>26881.199999999997</v>
      </c>
      <c r="F28" s="34"/>
      <c r="G28" s="34"/>
      <c r="J28" s="1" t="s">
        <v>268</v>
      </c>
    </row>
    <row r="29" spans="1:12" ht="15.75" customHeight="1">
      <c r="B29" s="34" t="s">
        <v>269</v>
      </c>
      <c r="C29" s="58">
        <f>+E16/0.8</f>
        <v>43135</v>
      </c>
      <c r="F29" s="34"/>
      <c r="G29" s="34"/>
    </row>
    <row r="30" spans="1:12" ht="15.75" customHeight="1">
      <c r="B30" s="34" t="s">
        <v>246</v>
      </c>
      <c r="C30" s="58">
        <f>+E12</f>
        <v>12500</v>
      </c>
      <c r="F30" s="34"/>
      <c r="G30" s="34"/>
      <c r="J30" s="2" t="s">
        <v>270</v>
      </c>
    </row>
    <row r="31" spans="1:12" ht="15.75" customHeight="1">
      <c r="B31" s="34" t="s">
        <v>250</v>
      </c>
      <c r="C31" s="58">
        <f>+E13</f>
        <v>46200</v>
      </c>
      <c r="F31" s="34"/>
      <c r="G31" s="34"/>
      <c r="J31" s="14">
        <f>E10/E2</f>
        <v>81.458181818181814</v>
      </c>
      <c r="K31" s="1" t="s">
        <v>271</v>
      </c>
    </row>
    <row r="32" spans="1:12" ht="15.75" customHeight="1">
      <c r="B32" s="34" t="s">
        <v>253</v>
      </c>
      <c r="C32" s="58">
        <f>+E14</f>
        <v>18150</v>
      </c>
      <c r="F32" s="34"/>
      <c r="G32" s="34"/>
      <c r="J32" s="14">
        <f>E13/E2</f>
        <v>140</v>
      </c>
      <c r="K32" s="1" t="s">
        <v>272</v>
      </c>
    </row>
    <row r="33" spans="1:15" ht="15.75" customHeight="1">
      <c r="A33" s="432">
        <v>45866</v>
      </c>
      <c r="B33" s="34" t="s">
        <v>273</v>
      </c>
      <c r="C33" s="58">
        <v>8093.25</v>
      </c>
      <c r="F33" s="34"/>
      <c r="G33" s="34"/>
      <c r="J33" s="14">
        <f>0.18*SUM(E5:E9)+(C34*0.2)</f>
        <v>46569.089544781244</v>
      </c>
      <c r="K33" s="1" t="s">
        <v>274</v>
      </c>
    </row>
    <row r="34" spans="1:15" ht="15.75" customHeight="1">
      <c r="A34" s="432">
        <v>45832</v>
      </c>
      <c r="B34" s="34" t="s">
        <v>275</v>
      </c>
      <c r="C34" s="58">
        <v>30714.29</v>
      </c>
      <c r="F34" s="34"/>
      <c r="G34" s="34"/>
    </row>
    <row r="35" spans="1:15" ht="15.75" customHeight="1">
      <c r="C35" s="58">
        <f>SUM(C23:C34)</f>
        <v>410263.91524878464</v>
      </c>
      <c r="F35" s="34"/>
      <c r="G35" s="34"/>
      <c r="J35" s="2" t="s">
        <v>276</v>
      </c>
    </row>
    <row r="36" spans="1:15" ht="15.75" customHeight="1">
      <c r="A36" s="432">
        <v>45873</v>
      </c>
      <c r="B36" s="34" t="s">
        <v>801</v>
      </c>
      <c r="C36" s="34"/>
      <c r="F36" s="34"/>
      <c r="G36" s="34"/>
      <c r="J36" s="14">
        <v>20</v>
      </c>
      <c r="K36" s="1" t="s">
        <v>277</v>
      </c>
    </row>
    <row r="37" spans="1:15" ht="15.75" customHeight="1">
      <c r="B37" s="34" t="s">
        <v>278</v>
      </c>
      <c r="C37" s="34"/>
      <c r="F37" s="34"/>
      <c r="G37" s="34"/>
      <c r="J37" s="14">
        <v>50</v>
      </c>
      <c r="K37" s="1" t="s">
        <v>279</v>
      </c>
    </row>
    <row r="38" spans="1:15" ht="15.75" customHeight="1">
      <c r="C38" s="34"/>
      <c r="F38" s="34"/>
      <c r="G38" s="34"/>
    </row>
    <row r="39" spans="1:15" ht="15.75" customHeight="1">
      <c r="C39" s="34"/>
      <c r="F39" s="34"/>
      <c r="G39" s="34"/>
    </row>
    <row r="40" spans="1:15" ht="15.75" customHeight="1">
      <c r="F40" s="34"/>
      <c r="G40" s="34"/>
      <c r="J40" s="2" t="s">
        <v>280</v>
      </c>
    </row>
    <row r="41" spans="1:15" ht="15.75" customHeight="1">
      <c r="D41" s="34"/>
      <c r="E41" s="34"/>
      <c r="F41" s="34"/>
      <c r="G41" s="34"/>
      <c r="I41" s="326">
        <f>+L23+J36+J37-J31-J32</f>
        <v>1050.9526249109565</v>
      </c>
      <c r="J41" s="14">
        <f>((SUM(E5:E8)+E12+E14+C34)/E2)+C33/500+J36+J37+E11/138</f>
        <v>872.84612933300934</v>
      </c>
      <c r="K41" s="1" t="s">
        <v>281</v>
      </c>
      <c r="M41" s="325"/>
      <c r="N41" s="327"/>
      <c r="O41" s="327"/>
    </row>
    <row r="42" spans="1:15" ht="15.75" customHeight="1">
      <c r="K42" s="1" t="s">
        <v>282</v>
      </c>
    </row>
    <row r="44" spans="1:15" ht="15.75" customHeight="1">
      <c r="I44">
        <v>945</v>
      </c>
      <c r="J44" s="14">
        <f>J41-((SUM(E5:E8)*0.18+(C34*0.2)))/E2</f>
        <v>753.98941009786347</v>
      </c>
      <c r="K44" s="1" t="s">
        <v>283</v>
      </c>
    </row>
    <row r="45" spans="1:15" ht="15.75" customHeight="1">
      <c r="I45" s="34" t="s">
        <v>284</v>
      </c>
    </row>
  </sheetData>
  <mergeCells count="4">
    <mergeCell ref="A1:B1"/>
    <mergeCell ref="F2:J2"/>
    <mergeCell ref="K5:K9"/>
    <mergeCell ref="C17:D17"/>
  </mergeCells>
  <hyperlinks>
    <hyperlink ref="N3" r:id="rId1" xr:uid="{00000000-0004-0000-0300-000000000000}"/>
    <hyperlink ref="N8" r:id="rId2" xr:uid="{00000000-0004-0000-0300-000001000000}"/>
    <hyperlink ref="M16" r:id="rId3" xr:uid="{00000000-0004-0000-0300-000002000000}"/>
  </hyperlinks>
  <pageMargins left="0.7" right="0.7" top="0.75" bottom="0.75" header="0.3" footer="0.3"/>
  <pageSetup paperSize="9" orientation="portrait" horizontalDpi="0" verticalDpi="0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42"/>
  <sheetViews>
    <sheetView workbookViewId="0"/>
  </sheetViews>
  <sheetFormatPr baseColWidth="10" defaultColWidth="12.6640625" defaultRowHeight="15.75" customHeight="1"/>
  <cols>
    <col min="1" max="1" width="37.5" customWidth="1"/>
    <col min="2" max="2" width="90.6640625" customWidth="1"/>
  </cols>
  <sheetData>
    <row r="1" spans="1:2" ht="15.75" customHeight="1">
      <c r="A1" s="2" t="s">
        <v>285</v>
      </c>
    </row>
    <row r="2" spans="1:2" ht="15.75" customHeight="1">
      <c r="A2" s="1" t="s">
        <v>286</v>
      </c>
      <c r="B2" s="1" t="s">
        <v>287</v>
      </c>
    </row>
    <row r="3" spans="1:2" ht="15.75" customHeight="1">
      <c r="B3" s="1" t="s">
        <v>288</v>
      </c>
    </row>
    <row r="4" spans="1:2" ht="15.75" customHeight="1">
      <c r="A4" s="2"/>
    </row>
    <row r="6" spans="1:2" ht="15.75" customHeight="1">
      <c r="A6" s="2" t="s">
        <v>289</v>
      </c>
    </row>
    <row r="7" spans="1:2" ht="15.75" customHeight="1">
      <c r="A7" s="1" t="s">
        <v>290</v>
      </c>
      <c r="B7" s="1" t="s">
        <v>291</v>
      </c>
    </row>
    <row r="8" spans="1:2" ht="15.75" customHeight="1">
      <c r="B8" s="1" t="s">
        <v>292</v>
      </c>
    </row>
    <row r="10" spans="1:2" ht="15.75" customHeight="1">
      <c r="A10" s="1" t="s">
        <v>293</v>
      </c>
      <c r="B10" s="1" t="s">
        <v>294</v>
      </c>
    </row>
    <row r="11" spans="1:2" ht="15.75" customHeight="1">
      <c r="A11" s="1" t="s">
        <v>295</v>
      </c>
      <c r="B11" s="1" t="s">
        <v>296</v>
      </c>
    </row>
    <row r="12" spans="1:2" ht="15.75" customHeight="1">
      <c r="A12" s="1" t="s">
        <v>297</v>
      </c>
      <c r="B12" s="1" t="s">
        <v>298</v>
      </c>
    </row>
    <row r="13" spans="1:2" ht="15.75" customHeight="1">
      <c r="B13" s="1" t="s">
        <v>299</v>
      </c>
    </row>
    <row r="14" spans="1:2" ht="15.75" customHeight="1">
      <c r="B14" s="2" t="s">
        <v>300</v>
      </c>
    </row>
    <row r="15" spans="1:2" ht="15.75" customHeight="1">
      <c r="A15" s="1"/>
      <c r="B15" s="1"/>
    </row>
    <row r="16" spans="1:2" ht="15.75" customHeight="1">
      <c r="A16" s="1" t="s">
        <v>301</v>
      </c>
      <c r="B16" s="1" t="s">
        <v>302</v>
      </c>
    </row>
    <row r="17" spans="1:2" ht="15.75" customHeight="1">
      <c r="A17" s="1" t="s">
        <v>295</v>
      </c>
      <c r="B17" s="1" t="s">
        <v>303</v>
      </c>
    </row>
    <row r="18" spans="1:2" ht="15.75" customHeight="1">
      <c r="A18" s="1" t="s">
        <v>297</v>
      </c>
      <c r="B18" s="1" t="s">
        <v>304</v>
      </c>
    </row>
    <row r="19" spans="1:2" ht="15.75" customHeight="1">
      <c r="B19" s="1" t="s">
        <v>305</v>
      </c>
    </row>
    <row r="20" spans="1:2" ht="15.75" customHeight="1">
      <c r="B20" s="1" t="s">
        <v>306</v>
      </c>
    </row>
    <row r="21" spans="1:2" ht="15.75" customHeight="1">
      <c r="B21" s="2" t="s">
        <v>307</v>
      </c>
    </row>
    <row r="23" spans="1:2" ht="15.75" customHeight="1">
      <c r="A23" s="1" t="s">
        <v>308</v>
      </c>
      <c r="B23" s="1" t="s">
        <v>309</v>
      </c>
    </row>
    <row r="25" spans="1:2" ht="15.75" customHeight="1">
      <c r="A25" s="1" t="s">
        <v>310</v>
      </c>
      <c r="B25" s="1" t="s">
        <v>311</v>
      </c>
    </row>
    <row r="26" spans="1:2" ht="15.75" customHeight="1">
      <c r="B26" s="64" t="s">
        <v>312</v>
      </c>
    </row>
    <row r="28" spans="1:2" ht="15.75" customHeight="1">
      <c r="A28" s="1" t="s">
        <v>313</v>
      </c>
      <c r="B28" s="1" t="s">
        <v>314</v>
      </c>
    </row>
    <row r="29" spans="1:2" ht="15.75" customHeight="1">
      <c r="A29" s="1"/>
      <c r="B29" s="1"/>
    </row>
    <row r="30" spans="1:2" ht="15.75" customHeight="1">
      <c r="A30" s="1" t="s">
        <v>315</v>
      </c>
      <c r="B30" s="1" t="s">
        <v>316</v>
      </c>
    </row>
    <row r="31" spans="1:2" ht="15.75" customHeight="1">
      <c r="B31" s="1" t="s">
        <v>317</v>
      </c>
    </row>
    <row r="32" spans="1:2" ht="15.75" customHeight="1">
      <c r="B32" s="1" t="s">
        <v>318</v>
      </c>
    </row>
    <row r="33" spans="1:2" ht="15.75" customHeight="1">
      <c r="B33" s="33" t="s">
        <v>319</v>
      </c>
    </row>
    <row r="35" spans="1:2" ht="15.75" customHeight="1">
      <c r="A35" s="1" t="s">
        <v>320</v>
      </c>
      <c r="B35" s="33" t="s">
        <v>319</v>
      </c>
    </row>
    <row r="37" spans="1:2" ht="15.75" customHeight="1">
      <c r="A37" s="1" t="s">
        <v>321</v>
      </c>
      <c r="B37" s="33" t="s">
        <v>319</v>
      </c>
    </row>
    <row r="39" spans="1:2" ht="15.75" customHeight="1">
      <c r="A39" s="1" t="s">
        <v>322</v>
      </c>
      <c r="B39" s="1" t="s">
        <v>323</v>
      </c>
    </row>
    <row r="42" spans="1:2" ht="15.75" customHeight="1">
      <c r="A42" s="2" t="s">
        <v>324</v>
      </c>
    </row>
  </sheetData>
  <hyperlinks>
    <hyperlink ref="B26" location="'01 - Revenue Forecasts (KPIs)'!A1" display="See Sheet 01 - Revenue Forecasts (KPIs)" xr:uid="{00000000-0004-0000-0500-000000000000}"/>
    <hyperlink ref="B33" r:id="rId1" xr:uid="{00000000-0004-0000-0500-000001000000}"/>
    <hyperlink ref="B35" r:id="rId2" xr:uid="{00000000-0004-0000-0500-000002000000}"/>
    <hyperlink ref="B37" r:id="rId3" xr:uid="{00000000-0004-0000-0500-000003000000}"/>
  </hyperlinks>
  <pageMargins left="0.7" right="0.7" top="0.75" bottom="0.75" header="0.3" footer="0.3"/>
  <pageSetup paperSize="9" orientation="portrait" horizontalDpi="0" verticalDpi="0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9"/>
  <sheetViews>
    <sheetView workbookViewId="0">
      <selection sqref="A1:B1"/>
    </sheetView>
  </sheetViews>
  <sheetFormatPr baseColWidth="10" defaultColWidth="12.6640625" defaultRowHeight="15.75" customHeight="1"/>
  <cols>
    <col min="2" max="2" width="20.1640625" customWidth="1"/>
    <col min="3" max="3" width="12.83203125" customWidth="1"/>
    <col min="4" max="4" width="13.5" customWidth="1"/>
    <col min="5" max="5" width="23.5" customWidth="1"/>
    <col min="6" max="6" width="24.6640625" customWidth="1"/>
    <col min="7" max="7" width="56.1640625" customWidth="1"/>
  </cols>
  <sheetData>
    <row r="1" spans="1:10" ht="16">
      <c r="A1" s="611" t="s">
        <v>325</v>
      </c>
      <c r="B1" s="598"/>
      <c r="C1" s="65"/>
      <c r="D1" s="65"/>
      <c r="E1" s="65"/>
      <c r="F1" s="65"/>
    </row>
    <row r="2" spans="1:10" ht="16">
      <c r="A2" s="65"/>
      <c r="B2" s="65"/>
      <c r="C2" s="65"/>
      <c r="D2" s="65"/>
      <c r="E2" s="65"/>
      <c r="F2" s="65"/>
    </row>
    <row r="3" spans="1:10" ht="15.75" customHeight="1">
      <c r="A3" s="391" t="s">
        <v>326</v>
      </c>
      <c r="B3" s="391" t="s">
        <v>220</v>
      </c>
      <c r="C3" s="391" t="s">
        <v>327</v>
      </c>
      <c r="D3" s="390" t="s">
        <v>328</v>
      </c>
      <c r="E3" s="66" t="s">
        <v>329</v>
      </c>
      <c r="F3" s="390" t="s">
        <v>330</v>
      </c>
      <c r="G3" s="2" t="s">
        <v>331</v>
      </c>
      <c r="H3" s="1"/>
      <c r="I3" s="1" t="s">
        <v>4</v>
      </c>
      <c r="J3" s="1">
        <f>'03 Worst Case Scenario Model'!F8</f>
        <v>1.28</v>
      </c>
    </row>
    <row r="4" spans="1:10" ht="15.75" customHeight="1">
      <c r="A4" s="67">
        <v>1</v>
      </c>
      <c r="B4" s="61" t="s">
        <v>332</v>
      </c>
      <c r="C4" s="68">
        <v>0.3</v>
      </c>
      <c r="D4" s="289">
        <v>192165</v>
      </c>
      <c r="E4" s="69">
        <v>57649.5</v>
      </c>
      <c r="F4" s="62">
        <f t="shared" ref="F4:F8" si="0">E4/$J$3</f>
        <v>45038.671875</v>
      </c>
      <c r="G4" s="33" t="s">
        <v>333</v>
      </c>
      <c r="H4" s="1"/>
      <c r="I4" s="1"/>
      <c r="J4" s="1"/>
    </row>
    <row r="5" spans="1:10" ht="15.75" customHeight="1">
      <c r="A5" s="67">
        <v>2</v>
      </c>
      <c r="B5" s="61" t="s">
        <v>334</v>
      </c>
      <c r="C5" s="68">
        <v>0.5</v>
      </c>
      <c r="D5" s="69">
        <f t="shared" ref="D5:D8" si="1">E5/C5</f>
        <v>36160.800000000003</v>
      </c>
      <c r="E5" s="69">
        <v>18080.400000000001</v>
      </c>
      <c r="F5" s="62">
        <f t="shared" si="0"/>
        <v>14125.3125</v>
      </c>
      <c r="G5" s="33" t="s">
        <v>335</v>
      </c>
      <c r="H5" s="1"/>
      <c r="I5" s="1"/>
      <c r="J5" s="1"/>
    </row>
    <row r="6" spans="1:10" ht="15.75" customHeight="1">
      <c r="A6" s="67">
        <v>3</v>
      </c>
      <c r="B6" s="61" t="s">
        <v>336</v>
      </c>
      <c r="C6" s="68">
        <v>0.3</v>
      </c>
      <c r="D6" s="69">
        <f t="shared" si="1"/>
        <v>159850</v>
      </c>
      <c r="E6" s="69">
        <v>47955</v>
      </c>
      <c r="F6" s="62">
        <f t="shared" si="0"/>
        <v>37464.84375</v>
      </c>
      <c r="G6" s="33" t="s">
        <v>337</v>
      </c>
      <c r="H6" s="1"/>
      <c r="I6" s="1"/>
      <c r="J6" s="1"/>
    </row>
    <row r="7" spans="1:10" ht="15.75" customHeight="1">
      <c r="A7" s="67">
        <v>4</v>
      </c>
      <c r="B7" s="61" t="s">
        <v>338</v>
      </c>
      <c r="C7" s="68">
        <v>0.5</v>
      </c>
      <c r="D7" s="69">
        <f t="shared" si="1"/>
        <v>50602.9</v>
      </c>
      <c r="E7" s="69">
        <v>25301.45</v>
      </c>
      <c r="F7" s="62">
        <f t="shared" si="0"/>
        <v>19766.7578125</v>
      </c>
      <c r="G7" s="33" t="s">
        <v>339</v>
      </c>
      <c r="H7" s="1"/>
      <c r="I7" s="1"/>
      <c r="J7" s="1"/>
    </row>
    <row r="8" spans="1:10" ht="15.75" customHeight="1">
      <c r="A8" s="67">
        <v>5</v>
      </c>
      <c r="B8" s="61" t="s">
        <v>340</v>
      </c>
      <c r="C8" s="68">
        <v>0.5</v>
      </c>
      <c r="D8" s="69">
        <f t="shared" si="1"/>
        <v>8933.86</v>
      </c>
      <c r="E8" s="69">
        <v>4466.93</v>
      </c>
      <c r="F8" s="62">
        <f t="shared" si="0"/>
        <v>3489.7890625</v>
      </c>
      <c r="G8" s="33" t="s">
        <v>341</v>
      </c>
      <c r="H8" s="1"/>
      <c r="I8" s="1"/>
      <c r="J8" s="1"/>
    </row>
    <row r="9" spans="1:10" ht="15.75" customHeight="1">
      <c r="A9" s="61"/>
      <c r="B9" s="61"/>
      <c r="C9" s="61"/>
      <c r="D9" s="70">
        <f t="shared" ref="D9:F9" si="2">SUM(D4:D8)</f>
        <v>447712.56</v>
      </c>
      <c r="E9" s="70">
        <f t="shared" si="2"/>
        <v>153453.28</v>
      </c>
      <c r="F9" s="71">
        <f t="shared" si="2"/>
        <v>119885.375</v>
      </c>
      <c r="G9" s="1"/>
      <c r="H9" s="1"/>
      <c r="I9" s="1"/>
      <c r="J9" s="1"/>
    </row>
  </sheetData>
  <mergeCells count="1">
    <mergeCell ref="A1:B1"/>
  </mergeCells>
  <hyperlinks>
    <hyperlink ref="G4" r:id="rId1" xr:uid="{00000000-0004-0000-0600-000000000000}"/>
    <hyperlink ref="G5" r:id="rId2" xr:uid="{00000000-0004-0000-0600-000001000000}"/>
    <hyperlink ref="G6" r:id="rId3" xr:uid="{00000000-0004-0000-0600-000002000000}"/>
    <hyperlink ref="G7" r:id="rId4" xr:uid="{00000000-0004-0000-0600-000003000000}"/>
    <hyperlink ref="G8" r:id="rId5" xr:uid="{00000000-0004-0000-0600-000004000000}"/>
  </hyperlink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71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J29" sqref="J29"/>
    </sheetView>
  </sheetViews>
  <sheetFormatPr baseColWidth="10" defaultColWidth="12.6640625" defaultRowHeight="15.75" customHeight="1"/>
  <cols>
    <col min="1" max="1" width="38.1640625" customWidth="1"/>
    <col min="10" max="10" width="38.83203125" customWidth="1"/>
  </cols>
  <sheetData>
    <row r="1" spans="1:24" ht="15.75" customHeight="1">
      <c r="A1" s="72"/>
      <c r="B1" s="73" t="s">
        <v>342</v>
      </c>
      <c r="C1" s="73" t="s">
        <v>343</v>
      </c>
      <c r="D1" s="73" t="s">
        <v>344</v>
      </c>
      <c r="E1" s="74" t="s">
        <v>345</v>
      </c>
      <c r="F1" s="73" t="s">
        <v>346</v>
      </c>
      <c r="G1" s="73" t="s">
        <v>347</v>
      </c>
      <c r="H1" s="75" t="s">
        <v>348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24" ht="16">
      <c r="A2" s="76" t="s">
        <v>349</v>
      </c>
      <c r="B2" s="77"/>
      <c r="C2" s="76" t="s">
        <v>346</v>
      </c>
      <c r="D2" s="78"/>
      <c r="E2" s="77" t="s">
        <v>350</v>
      </c>
      <c r="F2" s="76" t="s">
        <v>350</v>
      </c>
      <c r="G2" s="78" t="s">
        <v>350</v>
      </c>
      <c r="H2" s="79" t="s">
        <v>350</v>
      </c>
    </row>
    <row r="3" spans="1:24" ht="16">
      <c r="A3" s="76" t="s">
        <v>351</v>
      </c>
      <c r="B3" s="80">
        <v>34122</v>
      </c>
      <c r="C3" s="76" t="s">
        <v>352</v>
      </c>
      <c r="D3" s="78"/>
      <c r="E3" s="80">
        <v>34122</v>
      </c>
      <c r="F3" s="81">
        <v>19443</v>
      </c>
      <c r="G3" s="82">
        <v>26689</v>
      </c>
      <c r="H3" s="83">
        <v>26689</v>
      </c>
      <c r="J3" s="33" t="s">
        <v>353</v>
      </c>
    </row>
    <row r="4" spans="1:24" ht="16">
      <c r="A4" s="76" t="s">
        <v>354</v>
      </c>
      <c r="B4" s="80">
        <v>2084</v>
      </c>
      <c r="C4" s="76" t="s">
        <v>346</v>
      </c>
      <c r="D4" s="78"/>
      <c r="E4" s="80">
        <v>2084</v>
      </c>
      <c r="F4" s="81">
        <v>2084</v>
      </c>
      <c r="G4" s="82">
        <v>2854</v>
      </c>
      <c r="H4" s="83">
        <v>2854</v>
      </c>
      <c r="J4" s="1" t="s">
        <v>355</v>
      </c>
    </row>
    <row r="5" spans="1:24" ht="16">
      <c r="A5" s="84" t="s">
        <v>356</v>
      </c>
      <c r="B5" s="77">
        <v>836</v>
      </c>
      <c r="C5" s="76" t="s">
        <v>357</v>
      </c>
      <c r="D5" s="78"/>
      <c r="E5" s="77">
        <v>836</v>
      </c>
      <c r="F5" s="76">
        <v>836</v>
      </c>
      <c r="G5" s="82">
        <v>1145</v>
      </c>
      <c r="H5" s="79"/>
    </row>
    <row r="6" spans="1:24" ht="16">
      <c r="A6" s="84" t="s">
        <v>358</v>
      </c>
      <c r="B6" s="77">
        <v>80</v>
      </c>
      <c r="C6" s="76" t="s">
        <v>359</v>
      </c>
      <c r="D6" s="85"/>
      <c r="E6" s="77">
        <v>80</v>
      </c>
      <c r="F6" s="76">
        <v>80</v>
      </c>
      <c r="G6" s="78">
        <v>110</v>
      </c>
      <c r="H6" s="79"/>
    </row>
    <row r="7" spans="1:24" ht="16">
      <c r="A7" s="84" t="s">
        <v>360</v>
      </c>
      <c r="B7" s="77">
        <v>106</v>
      </c>
      <c r="C7" s="76" t="s">
        <v>359</v>
      </c>
      <c r="D7" s="78"/>
      <c r="E7" s="77">
        <v>106</v>
      </c>
      <c r="F7" s="76">
        <v>106</v>
      </c>
      <c r="G7" s="78">
        <v>145</v>
      </c>
      <c r="H7" s="79"/>
    </row>
    <row r="8" spans="1:24" ht="16">
      <c r="A8" s="84" t="s">
        <v>361</v>
      </c>
      <c r="B8" s="77">
        <v>6</v>
      </c>
      <c r="C8" s="76"/>
      <c r="D8" s="78"/>
      <c r="E8" s="77"/>
      <c r="F8" s="76"/>
      <c r="G8" s="78"/>
      <c r="H8" s="79"/>
    </row>
    <row r="9" spans="1:24" ht="16">
      <c r="A9" s="84" t="s">
        <v>362</v>
      </c>
      <c r="B9" s="77">
        <v>128</v>
      </c>
      <c r="C9" s="76" t="s">
        <v>359</v>
      </c>
      <c r="D9" s="78"/>
      <c r="E9" s="77">
        <v>128</v>
      </c>
      <c r="F9" s="76">
        <v>128</v>
      </c>
      <c r="G9" s="78">
        <v>175</v>
      </c>
      <c r="H9" s="79"/>
    </row>
    <row r="10" spans="1:24" ht="16">
      <c r="A10" s="84" t="s">
        <v>362</v>
      </c>
      <c r="B10" s="77">
        <v>153</v>
      </c>
      <c r="C10" s="76" t="s">
        <v>359</v>
      </c>
      <c r="D10" s="78"/>
      <c r="E10" s="77">
        <v>153</v>
      </c>
      <c r="F10" s="76">
        <v>153</v>
      </c>
      <c r="G10" s="78">
        <v>209</v>
      </c>
      <c r="H10" s="79"/>
    </row>
    <row r="11" spans="1:24" ht="16">
      <c r="A11" s="84" t="s">
        <v>363</v>
      </c>
      <c r="B11" s="77"/>
      <c r="C11" s="76" t="s">
        <v>359</v>
      </c>
      <c r="D11" s="77"/>
      <c r="E11" s="77" t="s">
        <v>350</v>
      </c>
      <c r="F11" s="76" t="s">
        <v>350</v>
      </c>
      <c r="G11" s="78" t="s">
        <v>350</v>
      </c>
      <c r="H11" s="79"/>
    </row>
    <row r="12" spans="1:24" ht="16">
      <c r="A12" s="84" t="s">
        <v>364</v>
      </c>
      <c r="B12" s="77">
        <v>20</v>
      </c>
      <c r="C12" s="76" t="s">
        <v>359</v>
      </c>
      <c r="D12" s="78"/>
      <c r="E12" s="77">
        <v>20</v>
      </c>
      <c r="F12" s="76">
        <v>20</v>
      </c>
      <c r="G12" s="78">
        <v>27</v>
      </c>
      <c r="H12" s="79"/>
    </row>
    <row r="13" spans="1:24" ht="16">
      <c r="A13" s="84" t="s">
        <v>365</v>
      </c>
      <c r="B13" s="77">
        <v>8</v>
      </c>
      <c r="C13" s="76"/>
      <c r="D13" s="78"/>
      <c r="E13" s="77">
        <v>8</v>
      </c>
      <c r="F13" s="76">
        <v>8</v>
      </c>
      <c r="G13" s="78">
        <v>11</v>
      </c>
      <c r="H13" s="79"/>
    </row>
    <row r="14" spans="1:24" ht="16">
      <c r="A14" s="84" t="s">
        <v>365</v>
      </c>
      <c r="B14" s="77">
        <v>47</v>
      </c>
      <c r="C14" s="76"/>
      <c r="D14" s="78"/>
      <c r="E14" s="77">
        <v>47</v>
      </c>
      <c r="F14" s="76">
        <v>47</v>
      </c>
      <c r="G14" s="78">
        <v>65</v>
      </c>
      <c r="H14" s="79"/>
    </row>
    <row r="15" spans="1:24" ht="16">
      <c r="A15" s="84" t="s">
        <v>366</v>
      </c>
      <c r="B15" s="77">
        <v>190</v>
      </c>
      <c r="C15" s="76"/>
      <c r="D15" s="78"/>
      <c r="E15" s="77">
        <v>190</v>
      </c>
      <c r="F15" s="76">
        <v>190</v>
      </c>
      <c r="G15" s="78">
        <v>260</v>
      </c>
      <c r="H15" s="79"/>
    </row>
    <row r="16" spans="1:24" ht="16">
      <c r="A16" s="84" t="s">
        <v>367</v>
      </c>
      <c r="B16" s="77">
        <v>80</v>
      </c>
      <c r="C16" s="76"/>
      <c r="D16" s="78"/>
      <c r="E16" s="77"/>
      <c r="F16" s="76"/>
      <c r="G16" s="78"/>
      <c r="H16" s="79"/>
    </row>
    <row r="17" spans="1:8" ht="16">
      <c r="A17" s="84" t="s">
        <v>368</v>
      </c>
      <c r="B17" s="77">
        <v>12</v>
      </c>
      <c r="C17" s="76"/>
      <c r="D17" s="78"/>
      <c r="E17" s="77"/>
      <c r="F17" s="76"/>
      <c r="G17" s="78"/>
      <c r="H17" s="79"/>
    </row>
    <row r="18" spans="1:8" ht="16">
      <c r="A18" s="293" t="s">
        <v>369</v>
      </c>
      <c r="B18" s="77"/>
      <c r="C18" s="292" t="s">
        <v>359</v>
      </c>
      <c r="D18" s="77">
        <v>436</v>
      </c>
      <c r="E18" s="77" t="s">
        <v>350</v>
      </c>
      <c r="F18" s="292" t="s">
        <v>350</v>
      </c>
      <c r="G18" s="78" t="s">
        <v>350</v>
      </c>
      <c r="H18" s="86"/>
    </row>
    <row r="19" spans="1:8" ht="16">
      <c r="A19" s="84" t="s">
        <v>364</v>
      </c>
      <c r="B19" s="77">
        <v>9</v>
      </c>
      <c r="C19" s="76" t="s">
        <v>357</v>
      </c>
      <c r="D19" s="77">
        <v>9</v>
      </c>
      <c r="E19" s="77">
        <v>9</v>
      </c>
      <c r="F19" s="76">
        <v>9</v>
      </c>
      <c r="G19" s="78">
        <v>12</v>
      </c>
      <c r="H19" s="79"/>
    </row>
    <row r="20" spans="1:8" ht="16">
      <c r="A20" s="84" t="s">
        <v>364</v>
      </c>
      <c r="B20" s="77">
        <v>37</v>
      </c>
      <c r="C20" s="76" t="s">
        <v>357</v>
      </c>
      <c r="D20" s="77">
        <v>37</v>
      </c>
      <c r="E20" s="77">
        <v>37</v>
      </c>
      <c r="F20" s="76">
        <v>37</v>
      </c>
      <c r="G20" s="78">
        <v>51</v>
      </c>
      <c r="H20" s="79"/>
    </row>
    <row r="21" spans="1:8" ht="16">
      <c r="A21" s="84" t="s">
        <v>370</v>
      </c>
      <c r="B21" s="77">
        <v>12</v>
      </c>
      <c r="C21" s="76" t="s">
        <v>357</v>
      </c>
      <c r="D21" s="77">
        <v>6</v>
      </c>
      <c r="E21" s="77">
        <v>12</v>
      </c>
      <c r="F21" s="76">
        <v>12</v>
      </c>
      <c r="G21" s="78">
        <v>16</v>
      </c>
      <c r="H21" s="79"/>
    </row>
    <row r="22" spans="1:8" ht="16">
      <c r="A22" s="84" t="s">
        <v>371</v>
      </c>
      <c r="B22" s="77">
        <v>48</v>
      </c>
      <c r="C22" s="76" t="s">
        <v>357</v>
      </c>
      <c r="D22" s="77">
        <v>48</v>
      </c>
      <c r="E22" s="77">
        <v>48</v>
      </c>
      <c r="F22" s="76">
        <v>48</v>
      </c>
      <c r="G22" s="78">
        <v>66</v>
      </c>
      <c r="H22" s="79"/>
    </row>
    <row r="23" spans="1:8" ht="16">
      <c r="A23" s="84"/>
      <c r="B23" s="77"/>
      <c r="C23" s="76"/>
      <c r="D23" s="77"/>
      <c r="E23" s="77"/>
      <c r="F23" s="76"/>
      <c r="G23" s="78"/>
      <c r="H23" s="79"/>
    </row>
    <row r="24" spans="1:8" ht="16">
      <c r="A24" s="84"/>
      <c r="B24" s="77"/>
      <c r="C24" s="76"/>
      <c r="D24" s="77"/>
      <c r="E24" s="77"/>
      <c r="F24" s="76"/>
      <c r="G24" s="78"/>
      <c r="H24" s="79"/>
    </row>
    <row r="25" spans="1:8" ht="16">
      <c r="A25" s="84"/>
      <c r="B25" s="77"/>
      <c r="C25" s="76"/>
      <c r="D25" s="77"/>
      <c r="E25" s="77"/>
      <c r="F25" s="76"/>
      <c r="G25" s="78"/>
      <c r="H25" s="79"/>
    </row>
    <row r="26" spans="1:8" ht="16">
      <c r="A26" s="84"/>
      <c r="B26" s="87"/>
      <c r="C26" s="76"/>
      <c r="D26" s="77"/>
      <c r="E26" s="77"/>
      <c r="F26" s="76"/>
      <c r="G26" s="78"/>
      <c r="H26" s="79"/>
    </row>
    <row r="27" spans="1:8" ht="16">
      <c r="A27" s="88" t="s">
        <v>372</v>
      </c>
      <c r="B27" s="77"/>
      <c r="C27" s="76"/>
      <c r="D27" s="77">
        <v>210</v>
      </c>
      <c r="E27" s="77"/>
      <c r="F27" s="76"/>
      <c r="G27" s="78"/>
      <c r="H27" s="79"/>
    </row>
    <row r="28" spans="1:8" ht="16">
      <c r="A28" s="84" t="s">
        <v>373</v>
      </c>
      <c r="B28" s="77"/>
      <c r="C28" s="76"/>
      <c r="D28" s="77">
        <v>200</v>
      </c>
      <c r="E28" s="77"/>
      <c r="F28" s="76"/>
      <c r="G28" s="78"/>
      <c r="H28" s="79"/>
    </row>
    <row r="29" spans="1:8" ht="16">
      <c r="A29" s="84" t="s">
        <v>374</v>
      </c>
      <c r="B29" s="77"/>
      <c r="C29" s="76"/>
      <c r="D29" s="80">
        <v>2356</v>
      </c>
      <c r="E29" s="77"/>
      <c r="F29" s="76"/>
      <c r="G29" s="78"/>
      <c r="H29" s="295">
        <f>+D29*1.36</f>
        <v>3204.1600000000003</v>
      </c>
    </row>
    <row r="30" spans="1:8" ht="16">
      <c r="A30" s="84" t="s">
        <v>375</v>
      </c>
      <c r="B30" s="77"/>
      <c r="C30" s="76"/>
      <c r="D30" s="77">
        <v>868</v>
      </c>
      <c r="E30" s="77"/>
      <c r="F30" s="76"/>
      <c r="G30" s="78"/>
      <c r="H30" s="79"/>
    </row>
    <row r="31" spans="1:8" ht="16">
      <c r="A31" s="84" t="s">
        <v>376</v>
      </c>
      <c r="B31" s="77"/>
      <c r="C31" s="76"/>
      <c r="D31" s="77"/>
      <c r="E31" s="77" t="s">
        <v>350</v>
      </c>
      <c r="F31" s="76" t="s">
        <v>350</v>
      </c>
      <c r="G31" s="78" t="s">
        <v>350</v>
      </c>
      <c r="H31" s="79"/>
    </row>
    <row r="32" spans="1:8" ht="16">
      <c r="A32" s="84" t="s">
        <v>377</v>
      </c>
      <c r="B32" s="77">
        <v>43</v>
      </c>
      <c r="C32" s="76"/>
      <c r="D32" s="78"/>
      <c r="E32" s="77"/>
      <c r="F32" s="76"/>
      <c r="G32" s="78"/>
      <c r="H32" s="79"/>
    </row>
    <row r="33" spans="1:8" ht="16">
      <c r="A33" s="84" t="s">
        <v>378</v>
      </c>
      <c r="B33" s="77"/>
      <c r="C33" s="76"/>
      <c r="D33" s="77">
        <v>258</v>
      </c>
      <c r="E33" s="77"/>
      <c r="F33" s="76"/>
      <c r="G33" s="78"/>
      <c r="H33" s="79"/>
    </row>
    <row r="34" spans="1:8" ht="16">
      <c r="A34" s="84" t="s">
        <v>379</v>
      </c>
      <c r="B34" s="34"/>
      <c r="C34" s="76"/>
      <c r="D34" s="77"/>
      <c r="E34" s="77"/>
      <c r="F34" s="76"/>
      <c r="G34" s="78"/>
      <c r="H34" s="79"/>
    </row>
    <row r="35" spans="1:8" ht="16">
      <c r="A35" s="84" t="s">
        <v>380</v>
      </c>
      <c r="B35" s="77">
        <v>35</v>
      </c>
      <c r="C35" s="76" t="s">
        <v>347</v>
      </c>
      <c r="D35" s="77"/>
      <c r="E35" s="77"/>
      <c r="F35" s="76"/>
      <c r="G35" s="78"/>
      <c r="H35" s="79"/>
    </row>
    <row r="36" spans="1:8" ht="16">
      <c r="A36" s="84" t="s">
        <v>381</v>
      </c>
      <c r="B36" s="76"/>
      <c r="C36" s="77">
        <v>51</v>
      </c>
      <c r="D36" s="77">
        <v>25</v>
      </c>
      <c r="E36" s="77">
        <v>51</v>
      </c>
      <c r="F36" s="76">
        <v>51</v>
      </c>
      <c r="G36" s="78">
        <v>70</v>
      </c>
      <c r="H36" s="79"/>
    </row>
    <row r="37" spans="1:8" ht="16">
      <c r="A37" s="84" t="s">
        <v>382</v>
      </c>
      <c r="B37" s="77">
        <v>233</v>
      </c>
      <c r="C37" s="76"/>
      <c r="D37" s="77">
        <v>25</v>
      </c>
      <c r="E37" s="77">
        <v>233</v>
      </c>
      <c r="F37" s="76">
        <v>233</v>
      </c>
      <c r="G37" s="78">
        <v>319</v>
      </c>
      <c r="H37" s="79"/>
    </row>
    <row r="38" spans="1:8" ht="16">
      <c r="A38" s="76" t="s">
        <v>383</v>
      </c>
      <c r="B38" s="89">
        <v>388</v>
      </c>
      <c r="C38" s="76" t="s">
        <v>352</v>
      </c>
      <c r="D38" s="78"/>
      <c r="E38" s="77">
        <v>388</v>
      </c>
      <c r="F38" s="76">
        <v>221</v>
      </c>
      <c r="G38" s="78">
        <v>303</v>
      </c>
      <c r="H38" s="79">
        <v>303</v>
      </c>
    </row>
    <row r="39" spans="1:8" ht="16">
      <c r="A39" s="76" t="s">
        <v>384</v>
      </c>
      <c r="B39" s="77">
        <v>49</v>
      </c>
      <c r="C39" s="76" t="s">
        <v>352</v>
      </c>
      <c r="D39" s="78"/>
      <c r="E39" s="77">
        <v>49</v>
      </c>
      <c r="F39" s="76">
        <v>28</v>
      </c>
      <c r="G39" s="78">
        <v>38</v>
      </c>
      <c r="H39" s="79"/>
    </row>
    <row r="40" spans="1:8" ht="16">
      <c r="A40" s="76" t="s">
        <v>385</v>
      </c>
      <c r="B40" s="77">
        <v>97</v>
      </c>
      <c r="C40" s="76" t="s">
        <v>352</v>
      </c>
      <c r="D40" s="85">
        <v>97</v>
      </c>
      <c r="E40" s="77">
        <v>97</v>
      </c>
      <c r="F40" s="76">
        <v>55</v>
      </c>
      <c r="G40" s="78">
        <v>76</v>
      </c>
      <c r="H40" s="79"/>
    </row>
    <row r="41" spans="1:8" ht="16">
      <c r="A41" s="76" t="s">
        <v>386</v>
      </c>
      <c r="B41" s="77">
        <v>186</v>
      </c>
      <c r="C41" s="76" t="s">
        <v>352</v>
      </c>
      <c r="D41" s="90">
        <v>190</v>
      </c>
      <c r="E41" s="77">
        <v>186</v>
      </c>
      <c r="F41" s="76">
        <v>106</v>
      </c>
      <c r="G41" s="78">
        <v>145</v>
      </c>
      <c r="H41" s="79"/>
    </row>
    <row r="42" spans="1:8" ht="16">
      <c r="A42" s="76" t="s">
        <v>387</v>
      </c>
      <c r="B42" s="77">
        <v>56</v>
      </c>
      <c r="C42" s="76" t="s">
        <v>352</v>
      </c>
      <c r="D42" s="85">
        <v>56</v>
      </c>
      <c r="E42" s="77">
        <v>56</v>
      </c>
      <c r="F42" s="76">
        <v>32</v>
      </c>
      <c r="G42" s="78">
        <v>44</v>
      </c>
      <c r="H42" s="79"/>
    </row>
    <row r="43" spans="1:8" ht="16">
      <c r="A43" s="76" t="s">
        <v>388</v>
      </c>
      <c r="B43" s="77">
        <f>5400/12</f>
        <v>450</v>
      </c>
      <c r="C43" s="76" t="s">
        <v>352</v>
      </c>
      <c r="D43" s="78"/>
      <c r="E43" s="77" t="s">
        <v>350</v>
      </c>
      <c r="F43" s="76" t="s">
        <v>350</v>
      </c>
      <c r="G43" s="78">
        <v>350</v>
      </c>
      <c r="H43" s="79">
        <v>350</v>
      </c>
    </row>
    <row r="44" spans="1:8" ht="16">
      <c r="A44" s="76" t="s">
        <v>389</v>
      </c>
      <c r="B44" s="77"/>
      <c r="C44" s="76" t="s">
        <v>352</v>
      </c>
      <c r="D44" s="78"/>
      <c r="E44" s="77" t="s">
        <v>350</v>
      </c>
      <c r="F44" s="76" t="s">
        <v>350</v>
      </c>
      <c r="G44" s="78" t="s">
        <v>350</v>
      </c>
      <c r="H44" s="79"/>
    </row>
    <row r="45" spans="1:8" ht="16">
      <c r="A45" s="76" t="s">
        <v>390</v>
      </c>
      <c r="B45" s="77"/>
      <c r="C45" s="76" t="s">
        <v>352</v>
      </c>
      <c r="D45" s="78"/>
      <c r="E45" s="77" t="s">
        <v>350</v>
      </c>
      <c r="F45" s="76" t="s">
        <v>350</v>
      </c>
      <c r="G45" s="78" t="s">
        <v>350</v>
      </c>
      <c r="H45" s="79"/>
    </row>
    <row r="46" spans="1:8" ht="16">
      <c r="A46" s="76" t="s">
        <v>391</v>
      </c>
      <c r="B46" s="77"/>
      <c r="C46" s="76" t="s">
        <v>352</v>
      </c>
      <c r="D46" s="78"/>
      <c r="E46" s="77" t="s">
        <v>350</v>
      </c>
      <c r="F46" s="76" t="s">
        <v>350</v>
      </c>
      <c r="G46" s="78" t="s">
        <v>350</v>
      </c>
      <c r="H46" s="79"/>
    </row>
    <row r="47" spans="1:8" ht="16">
      <c r="A47" s="76" t="s">
        <v>392</v>
      </c>
      <c r="B47" s="44">
        <v>2000</v>
      </c>
      <c r="C47" s="76" t="s">
        <v>346</v>
      </c>
      <c r="D47" s="78"/>
      <c r="E47" s="80">
        <v>2000</v>
      </c>
      <c r="F47" s="81">
        <v>2000</v>
      </c>
      <c r="G47" s="82">
        <v>2740</v>
      </c>
      <c r="H47" s="83">
        <v>2740</v>
      </c>
    </row>
    <row r="48" spans="1:8" ht="16">
      <c r="A48" s="76" t="s">
        <v>393</v>
      </c>
      <c r="B48" s="44">
        <v>1199</v>
      </c>
      <c r="C48" s="76" t="s">
        <v>346</v>
      </c>
      <c r="D48" s="78"/>
      <c r="E48" s="80">
        <v>1199</v>
      </c>
      <c r="F48" s="81">
        <v>1199</v>
      </c>
      <c r="G48" s="82">
        <v>1643</v>
      </c>
      <c r="H48" s="83">
        <v>1643</v>
      </c>
    </row>
    <row r="49" spans="1:8" ht="16">
      <c r="A49" s="76" t="s">
        <v>394</v>
      </c>
      <c r="B49" s="44">
        <v>6000</v>
      </c>
      <c r="C49" s="76" t="s">
        <v>352</v>
      </c>
      <c r="D49" s="78"/>
      <c r="E49" s="80">
        <v>6000</v>
      </c>
      <c r="F49" s="81">
        <v>3419</v>
      </c>
      <c r="G49" s="82">
        <v>4693</v>
      </c>
      <c r="H49" s="83">
        <v>4693</v>
      </c>
    </row>
    <row r="50" spans="1:8" ht="16">
      <c r="A50" s="76" t="s">
        <v>395</v>
      </c>
      <c r="B50" s="34">
        <v>455</v>
      </c>
      <c r="C50" s="76" t="s">
        <v>346</v>
      </c>
      <c r="D50" s="78"/>
      <c r="E50" s="77">
        <v>455</v>
      </c>
      <c r="F50" s="76">
        <v>455</v>
      </c>
      <c r="G50" s="78">
        <v>623</v>
      </c>
      <c r="H50" s="79">
        <v>623</v>
      </c>
    </row>
    <row r="51" spans="1:8" ht="16">
      <c r="A51" s="76" t="s">
        <v>396</v>
      </c>
      <c r="B51" s="44">
        <v>5000</v>
      </c>
      <c r="C51" s="76" t="s">
        <v>347</v>
      </c>
      <c r="D51" s="78"/>
      <c r="E51" s="80">
        <v>5000</v>
      </c>
      <c r="F51" s="81">
        <v>3650</v>
      </c>
      <c r="G51" s="82">
        <v>5000</v>
      </c>
      <c r="H51" s="83">
        <v>5000</v>
      </c>
    </row>
    <row r="52" spans="1:8" ht="16">
      <c r="A52" s="76" t="s">
        <v>397</v>
      </c>
      <c r="B52" s="91">
        <v>2000</v>
      </c>
      <c r="C52" s="76" t="s">
        <v>347</v>
      </c>
      <c r="D52" s="78"/>
      <c r="E52" s="80">
        <v>2000</v>
      </c>
      <c r="F52" s="81">
        <v>1460</v>
      </c>
      <c r="G52" s="82">
        <v>2000</v>
      </c>
      <c r="H52" s="83">
        <v>2000</v>
      </c>
    </row>
    <row r="53" spans="1:8" ht="13">
      <c r="A53" s="76"/>
      <c r="B53" s="34"/>
      <c r="C53" s="76"/>
      <c r="D53" s="78"/>
      <c r="E53" s="92" t="s">
        <v>398</v>
      </c>
      <c r="F53" s="93">
        <v>36109</v>
      </c>
      <c r="G53" s="94" t="s">
        <v>399</v>
      </c>
      <c r="H53" s="294">
        <f>SUM(H2:H52)</f>
        <v>50099.16</v>
      </c>
    </row>
    <row r="54" spans="1:8" ht="16">
      <c r="A54" s="76"/>
      <c r="B54" s="34"/>
      <c r="C54" s="76"/>
      <c r="D54" s="78"/>
      <c r="E54" s="77"/>
      <c r="F54" s="76"/>
      <c r="G54" s="78"/>
      <c r="H54" s="79"/>
    </row>
    <row r="55" spans="1:8" ht="16">
      <c r="A55" s="96" t="s">
        <v>400</v>
      </c>
      <c r="B55" s="77"/>
      <c r="C55" s="77"/>
      <c r="D55" s="77"/>
      <c r="E55" s="77"/>
      <c r="F55" s="77"/>
      <c r="G55" s="77"/>
      <c r="H55" s="97"/>
    </row>
    <row r="56" spans="1:8" ht="16">
      <c r="A56" s="76" t="s">
        <v>401</v>
      </c>
      <c r="B56" s="34"/>
      <c r="C56" s="76" t="s">
        <v>346</v>
      </c>
      <c r="D56" s="78"/>
      <c r="E56" s="77" t="s">
        <v>350</v>
      </c>
      <c r="F56" s="76" t="s">
        <v>350</v>
      </c>
      <c r="G56" s="78" t="s">
        <v>350</v>
      </c>
      <c r="H56" s="79" t="s">
        <v>350</v>
      </c>
    </row>
    <row r="57" spans="1:8" ht="16">
      <c r="A57" s="76" t="s">
        <v>402</v>
      </c>
      <c r="B57" s="34"/>
      <c r="C57" s="76" t="s">
        <v>346</v>
      </c>
      <c r="D57" s="78"/>
      <c r="E57" s="77" t="s">
        <v>350</v>
      </c>
      <c r="F57" s="76" t="s">
        <v>350</v>
      </c>
      <c r="G57" s="78" t="s">
        <v>350</v>
      </c>
      <c r="H57" s="79" t="s">
        <v>350</v>
      </c>
    </row>
    <row r="58" spans="1:8" ht="16">
      <c r="A58" s="76" t="s">
        <v>403</v>
      </c>
      <c r="B58" s="44">
        <v>34122</v>
      </c>
      <c r="C58" s="76" t="s">
        <v>352</v>
      </c>
      <c r="D58" s="78"/>
      <c r="E58" s="77"/>
      <c r="F58" s="76" t="s">
        <v>350</v>
      </c>
      <c r="G58" s="78" t="s">
        <v>350</v>
      </c>
      <c r="H58" s="79" t="s">
        <v>350</v>
      </c>
    </row>
    <row r="59" spans="1:8" ht="16">
      <c r="A59" s="76" t="s">
        <v>403</v>
      </c>
      <c r="B59" s="34">
        <v>541</v>
      </c>
      <c r="C59" s="76" t="s">
        <v>352</v>
      </c>
      <c r="D59" s="78"/>
      <c r="E59" s="77"/>
      <c r="F59" s="76" t="s">
        <v>350</v>
      </c>
      <c r="G59" s="78" t="s">
        <v>350</v>
      </c>
      <c r="H59" s="79" t="s">
        <v>350</v>
      </c>
    </row>
    <row r="60" spans="1:8" ht="16">
      <c r="A60" s="76" t="s">
        <v>404</v>
      </c>
      <c r="B60" s="44">
        <v>12400</v>
      </c>
      <c r="C60" s="76" t="s">
        <v>352</v>
      </c>
      <c r="D60" s="34"/>
      <c r="E60" s="80">
        <v>12400</v>
      </c>
      <c r="F60" s="81">
        <v>7066</v>
      </c>
      <c r="G60" s="82">
        <v>9699</v>
      </c>
      <c r="H60" s="83">
        <v>9699</v>
      </c>
    </row>
    <row r="61" spans="1:8" ht="16">
      <c r="A61" s="76" t="s">
        <v>405</v>
      </c>
      <c r="B61" s="44">
        <v>6000</v>
      </c>
      <c r="C61" s="76" t="s">
        <v>347</v>
      </c>
      <c r="D61" s="78"/>
      <c r="E61" s="77"/>
      <c r="F61" s="76" t="s">
        <v>350</v>
      </c>
      <c r="G61" s="78" t="s">
        <v>350</v>
      </c>
      <c r="H61" s="79" t="s">
        <v>350</v>
      </c>
    </row>
    <row r="62" spans="1:8" ht="16">
      <c r="A62" s="76" t="s">
        <v>406</v>
      </c>
      <c r="B62" s="98">
        <v>2400</v>
      </c>
      <c r="C62" s="76" t="s">
        <v>347</v>
      </c>
      <c r="D62" s="78"/>
      <c r="E62" s="77"/>
      <c r="F62" s="76" t="s">
        <v>350</v>
      </c>
      <c r="G62" s="78" t="s">
        <v>350</v>
      </c>
      <c r="H62" s="79" t="s">
        <v>350</v>
      </c>
    </row>
    <row r="63" spans="1:8" ht="13">
      <c r="A63" s="76"/>
      <c r="B63" s="34"/>
      <c r="C63" s="76"/>
      <c r="D63" s="78"/>
      <c r="E63" s="92" t="s">
        <v>407</v>
      </c>
      <c r="F63" s="93">
        <v>7066</v>
      </c>
      <c r="G63" s="94" t="s">
        <v>408</v>
      </c>
      <c r="H63" s="95" t="s">
        <v>408</v>
      </c>
    </row>
    <row r="64" spans="1:8" ht="16">
      <c r="A64" s="76"/>
      <c r="B64" s="34"/>
      <c r="C64" s="76"/>
      <c r="D64" s="78"/>
      <c r="E64" s="77"/>
      <c r="F64" s="76"/>
      <c r="G64" s="78"/>
      <c r="H64" s="79"/>
    </row>
    <row r="65" spans="1:8" ht="16">
      <c r="A65" s="96" t="s">
        <v>409</v>
      </c>
      <c r="B65" s="96"/>
      <c r="C65" s="76"/>
      <c r="D65" s="78"/>
      <c r="E65" s="77"/>
      <c r="F65" s="76"/>
      <c r="G65" s="78"/>
      <c r="H65" s="79"/>
    </row>
    <row r="66" spans="1:8" ht="16">
      <c r="A66" s="76" t="s">
        <v>410</v>
      </c>
      <c r="B66" s="77"/>
      <c r="C66" s="76" t="s">
        <v>346</v>
      </c>
      <c r="D66" s="77"/>
      <c r="E66" s="77"/>
      <c r="F66" s="76" t="s">
        <v>350</v>
      </c>
      <c r="G66" s="78" t="s">
        <v>350</v>
      </c>
      <c r="H66" s="79" t="s">
        <v>350</v>
      </c>
    </row>
    <row r="67" spans="1:8" ht="16">
      <c r="A67" s="76" t="s">
        <v>411</v>
      </c>
      <c r="B67" s="80">
        <v>3955</v>
      </c>
      <c r="C67" s="76" t="s">
        <v>352</v>
      </c>
      <c r="D67" s="78"/>
      <c r="E67" s="80">
        <v>3955</v>
      </c>
      <c r="F67" s="81">
        <v>2253</v>
      </c>
      <c r="G67" s="82">
        <v>3093</v>
      </c>
      <c r="H67" s="83">
        <v>3093</v>
      </c>
    </row>
    <row r="68" spans="1:8" ht="16">
      <c r="A68" s="76" t="s">
        <v>412</v>
      </c>
      <c r="B68" s="80">
        <v>4100</v>
      </c>
      <c r="C68" s="76" t="s">
        <v>347</v>
      </c>
      <c r="D68" s="78"/>
      <c r="E68" s="77"/>
      <c r="F68" s="76" t="s">
        <v>350</v>
      </c>
      <c r="G68" s="78" t="s">
        <v>350</v>
      </c>
      <c r="H68" s="79" t="s">
        <v>350</v>
      </c>
    </row>
    <row r="69" spans="1:8" ht="16">
      <c r="A69" s="76"/>
      <c r="B69" s="77"/>
      <c r="C69" s="77"/>
      <c r="D69" s="77"/>
      <c r="E69" s="92" t="s">
        <v>413</v>
      </c>
      <c r="F69" s="93">
        <v>5246</v>
      </c>
      <c r="G69" s="94" t="s">
        <v>414</v>
      </c>
      <c r="H69" s="95" t="s">
        <v>414</v>
      </c>
    </row>
    <row r="70" spans="1:8" ht="16">
      <c r="A70" s="76"/>
      <c r="B70" s="77"/>
      <c r="C70" s="77"/>
      <c r="D70" s="77"/>
      <c r="E70" s="77"/>
      <c r="F70" s="77"/>
      <c r="G70" s="77"/>
      <c r="H70" s="97"/>
    </row>
    <row r="71" spans="1:8" ht="16">
      <c r="A71" s="96"/>
      <c r="B71" s="77"/>
      <c r="C71" s="77"/>
      <c r="D71" s="77"/>
      <c r="E71" s="92" t="s">
        <v>415</v>
      </c>
      <c r="F71" s="93">
        <v>48421</v>
      </c>
      <c r="G71" s="94" t="s">
        <v>416</v>
      </c>
      <c r="H71" s="99">
        <f>+H53+H63+H69</f>
        <v>66991.16</v>
      </c>
    </row>
  </sheetData>
  <hyperlinks>
    <hyperlink ref="J3" r:id="rId1" xr:uid="{00000000-0004-0000-0700-000000000000}"/>
    <hyperlink ref="A27" r:id="rId2" xr:uid="{00000000-0004-0000-0700-000001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F553-70B5-5B4E-B96B-5993FFB5AC1D}">
  <dimension ref="A3:D7"/>
  <sheetViews>
    <sheetView workbookViewId="0">
      <selection activeCell="D6" sqref="D6"/>
    </sheetView>
  </sheetViews>
  <sheetFormatPr baseColWidth="10" defaultColWidth="10.83203125" defaultRowHeight="16"/>
  <cols>
    <col min="1" max="1" width="6.5" style="301" customWidth="1"/>
    <col min="2" max="2" width="33.5" style="301" bestFit="1" customWidth="1"/>
    <col min="3" max="3" width="20.6640625" style="301" bestFit="1" customWidth="1"/>
    <col min="4" max="4" width="12.1640625" style="301" bestFit="1" customWidth="1"/>
    <col min="5" max="16384" width="10.83203125" style="301"/>
  </cols>
  <sheetData>
    <row r="3" spans="1:4" ht="18">
      <c r="A3" s="300" t="s">
        <v>326</v>
      </c>
      <c r="B3" s="300" t="s">
        <v>417</v>
      </c>
      <c r="C3" s="300" t="s">
        <v>418</v>
      </c>
      <c r="D3" s="300" t="s">
        <v>419</v>
      </c>
    </row>
    <row r="4" spans="1:4" ht="18">
      <c r="A4" s="302">
        <v>1</v>
      </c>
      <c r="B4" s="302" t="s">
        <v>420</v>
      </c>
      <c r="C4" s="302">
        <v>180</v>
      </c>
      <c r="D4" s="303">
        <v>1762</v>
      </c>
    </row>
    <row r="5" spans="1:4" ht="18">
      <c r="A5" s="302">
        <v>2</v>
      </c>
      <c r="B5" s="302" t="s">
        <v>421</v>
      </c>
      <c r="C5" s="302">
        <v>330</v>
      </c>
      <c r="D5" s="329">
        <f>+'04 MFG Batch 0001 Cost (330pc)'!L23</f>
        <v>1202.4108067291384</v>
      </c>
    </row>
    <row r="6" spans="1:4" ht="18">
      <c r="A6" s="302">
        <v>3</v>
      </c>
      <c r="B6" s="302" t="s">
        <v>422</v>
      </c>
      <c r="C6" s="303">
        <v>1000</v>
      </c>
      <c r="D6" s="329">
        <f>+'04 MFG Batch 0001 Cost (330pc)'!I41</f>
        <v>1050.9526249109565</v>
      </c>
    </row>
    <row r="7" spans="1:4" ht="18">
      <c r="A7" s="302">
        <v>4</v>
      </c>
      <c r="B7" s="302" t="s">
        <v>423</v>
      </c>
      <c r="C7" s="303">
        <v>2000</v>
      </c>
      <c r="D7" s="329">
        <f>+'04 MFG Batch 0001 Cost (330pc)'!I44</f>
        <v>945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2557-9FA0-CF4C-AA51-891E63307B4F}">
  <dimension ref="A1:V986"/>
  <sheetViews>
    <sheetView showGridLines="0" zoomScale="110" zoomScaleNormal="110" workbookViewId="0">
      <selection activeCell="H23" sqref="H23"/>
    </sheetView>
  </sheetViews>
  <sheetFormatPr baseColWidth="10" defaultColWidth="10.83203125" defaultRowHeight="16"/>
  <cols>
    <col min="1" max="1" width="5.83203125" style="334" customWidth="1"/>
    <col min="2" max="2" width="11.6640625" style="334" bestFit="1" customWidth="1"/>
    <col min="3" max="3" width="15.5" style="334" bestFit="1" customWidth="1"/>
    <col min="4" max="4" width="32.83203125" style="334" bestFit="1" customWidth="1"/>
    <col min="5" max="5" width="13.1640625" style="334" bestFit="1" customWidth="1"/>
    <col min="6" max="6" width="11.83203125" style="334" bestFit="1" customWidth="1"/>
    <col min="7" max="7" width="15.83203125" style="334" bestFit="1" customWidth="1"/>
    <col min="8" max="8" width="16.5" style="334" bestFit="1" customWidth="1"/>
    <col min="9" max="16384" width="10.83203125" style="334"/>
  </cols>
  <sheetData>
    <row r="1" spans="1:22">
      <c r="A1" s="332" t="s">
        <v>208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</row>
    <row r="2" spans="1:22">
      <c r="A2" s="332" t="s">
        <v>424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</row>
    <row r="3" spans="1:22">
      <c r="A3" s="332"/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</row>
    <row r="4" spans="1:22">
      <c r="A4" s="332" t="s">
        <v>425</v>
      </c>
      <c r="B4" s="333"/>
      <c r="C4" s="333"/>
      <c r="D4" s="335" t="s">
        <v>212</v>
      </c>
      <c r="E4" s="333">
        <v>1.1399999999999999</v>
      </c>
      <c r="F4" s="333"/>
      <c r="G4" s="335" t="s">
        <v>426</v>
      </c>
      <c r="H4" s="333">
        <v>1.28</v>
      </c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</row>
    <row r="5" spans="1:22">
      <c r="A5" s="333"/>
      <c r="B5" s="333"/>
      <c r="C5" s="333"/>
      <c r="D5" s="333"/>
      <c r="E5" s="336" t="s">
        <v>427</v>
      </c>
      <c r="F5" s="336" t="s">
        <v>428</v>
      </c>
      <c r="G5" s="336" t="s">
        <v>429</v>
      </c>
      <c r="H5" s="336" t="s">
        <v>430</v>
      </c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</row>
    <row r="6" spans="1:22">
      <c r="A6" s="333" t="s">
        <v>326</v>
      </c>
      <c r="B6" s="333" t="s">
        <v>431</v>
      </c>
      <c r="C6" s="333" t="s">
        <v>432</v>
      </c>
      <c r="D6" s="333" t="s">
        <v>220</v>
      </c>
      <c r="E6" s="333" t="s">
        <v>158</v>
      </c>
      <c r="F6" s="333" t="s">
        <v>158</v>
      </c>
      <c r="G6" s="333" t="s">
        <v>158</v>
      </c>
      <c r="H6" s="333" t="s">
        <v>158</v>
      </c>
      <c r="I6" s="333"/>
      <c r="J6" s="333"/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</row>
    <row r="7" spans="1:22">
      <c r="A7" s="337">
        <v>1</v>
      </c>
      <c r="B7" s="337">
        <v>129</v>
      </c>
      <c r="C7" s="337" t="s">
        <v>255</v>
      </c>
      <c r="D7" s="337" t="s">
        <v>433</v>
      </c>
      <c r="E7" s="338">
        <v>34508</v>
      </c>
      <c r="F7" s="338">
        <v>12940.5</v>
      </c>
      <c r="G7" s="338">
        <v>21567.5</v>
      </c>
      <c r="H7" s="337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</row>
    <row r="8" spans="1:22">
      <c r="A8" s="337">
        <v>2</v>
      </c>
      <c r="B8" s="337">
        <v>131</v>
      </c>
      <c r="C8" s="337" t="s">
        <v>227</v>
      </c>
      <c r="D8" s="337" t="s">
        <v>228</v>
      </c>
      <c r="E8" s="338">
        <v>57956.11</v>
      </c>
      <c r="F8" s="338">
        <v>23182.45</v>
      </c>
      <c r="G8" s="338">
        <v>11591.22</v>
      </c>
      <c r="H8" s="338">
        <v>23182.45</v>
      </c>
      <c r="I8" s="333"/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</row>
    <row r="9" spans="1:22">
      <c r="A9" s="337">
        <v>3</v>
      </c>
      <c r="B9" s="337">
        <v>132</v>
      </c>
      <c r="C9" s="337" t="s">
        <v>227</v>
      </c>
      <c r="D9" s="337" t="s">
        <v>232</v>
      </c>
      <c r="E9" s="338">
        <v>51808.14</v>
      </c>
      <c r="F9" s="338">
        <v>20723.25</v>
      </c>
      <c r="G9" s="338">
        <v>10361.629999999999</v>
      </c>
      <c r="H9" s="338">
        <v>20723.25</v>
      </c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</row>
    <row r="10" spans="1:22">
      <c r="A10" s="337">
        <v>4</v>
      </c>
      <c r="B10" s="337">
        <v>133</v>
      </c>
      <c r="C10" s="337" t="s">
        <v>227</v>
      </c>
      <c r="D10" s="337" t="s">
        <v>234</v>
      </c>
      <c r="E10" s="338">
        <v>62222.78</v>
      </c>
      <c r="F10" s="338">
        <v>24889.11</v>
      </c>
      <c r="G10" s="338">
        <v>12444.56</v>
      </c>
      <c r="H10" s="338">
        <v>24889.11</v>
      </c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</row>
    <row r="11" spans="1:22">
      <c r="A11" s="337">
        <v>5</v>
      </c>
      <c r="B11" s="337">
        <v>134</v>
      </c>
      <c r="C11" s="337" t="s">
        <v>227</v>
      </c>
      <c r="D11" s="337" t="s">
        <v>236</v>
      </c>
      <c r="E11" s="338">
        <v>11789.97</v>
      </c>
      <c r="F11" s="338">
        <v>4715.99</v>
      </c>
      <c r="G11" s="338">
        <v>2357.9899999999998</v>
      </c>
      <c r="H11" s="338">
        <v>4715.99</v>
      </c>
      <c r="I11" s="333"/>
      <c r="J11" s="333"/>
      <c r="K11" s="333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</row>
    <row r="12" spans="1:22">
      <c r="A12" s="337">
        <v>6</v>
      </c>
      <c r="B12" s="337">
        <v>135</v>
      </c>
      <c r="C12" s="337" t="s">
        <v>227</v>
      </c>
      <c r="D12" s="337" t="s">
        <v>238</v>
      </c>
      <c r="E12" s="338">
        <v>40813.18</v>
      </c>
      <c r="F12" s="338">
        <v>16325.27</v>
      </c>
      <c r="G12" s="338">
        <v>8162.64</v>
      </c>
      <c r="H12" s="338">
        <v>16325.27</v>
      </c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</row>
    <row r="13" spans="1:22">
      <c r="A13" s="337">
        <v>7</v>
      </c>
      <c r="B13" s="337" t="s">
        <v>434</v>
      </c>
      <c r="C13" s="337" t="s">
        <v>435</v>
      </c>
      <c r="D13" s="337" t="s">
        <v>436</v>
      </c>
      <c r="E13" s="338">
        <v>6671.95</v>
      </c>
      <c r="F13" s="338">
        <v>2171.9499999999998</v>
      </c>
      <c r="G13" s="338">
        <v>4500</v>
      </c>
      <c r="H13" s="337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</row>
    <row r="14" spans="1:22">
      <c r="A14" s="337">
        <v>8</v>
      </c>
      <c r="B14" s="337">
        <v>137</v>
      </c>
      <c r="C14" s="337" t="s">
        <v>243</v>
      </c>
      <c r="D14" s="337" t="s">
        <v>244</v>
      </c>
      <c r="E14" s="338">
        <v>6045.4</v>
      </c>
      <c r="F14" s="337"/>
      <c r="G14" s="338">
        <v>6045.4</v>
      </c>
      <c r="H14" s="337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</row>
    <row r="15" spans="1:22">
      <c r="A15" s="337"/>
      <c r="B15" s="337"/>
      <c r="C15" s="337"/>
      <c r="D15" s="339" t="s">
        <v>437</v>
      </c>
      <c r="E15" s="340">
        <v>271815.53000000003</v>
      </c>
      <c r="F15" s="340">
        <v>104948.52</v>
      </c>
      <c r="G15" s="340">
        <v>77030.94</v>
      </c>
      <c r="H15" s="340">
        <v>89836.07</v>
      </c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</row>
    <row r="16" spans="1:22">
      <c r="A16" s="333" t="s">
        <v>438</v>
      </c>
      <c r="B16" s="333"/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</row>
    <row r="17" spans="1:22">
      <c r="A17" s="337">
        <v>9</v>
      </c>
      <c r="B17" s="341">
        <v>136</v>
      </c>
      <c r="C17" s="337" t="s">
        <v>239</v>
      </c>
      <c r="D17" s="337" t="s">
        <v>439</v>
      </c>
      <c r="E17" s="338">
        <v>26881.200000000001</v>
      </c>
      <c r="F17" s="337"/>
      <c r="G17" s="338">
        <v>26881.200000000001</v>
      </c>
      <c r="H17" s="337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</row>
    <row r="18" spans="1:22">
      <c r="A18" s="337">
        <v>10</v>
      </c>
      <c r="B18" s="341">
        <v>138</v>
      </c>
      <c r="C18" s="337" t="s">
        <v>245</v>
      </c>
      <c r="D18" s="337" t="s">
        <v>440</v>
      </c>
      <c r="E18" s="338">
        <v>12500</v>
      </c>
      <c r="F18" s="337"/>
      <c r="G18" s="338">
        <v>5000</v>
      </c>
      <c r="H18" s="338">
        <v>7500</v>
      </c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</row>
    <row r="19" spans="1:22">
      <c r="A19" s="337">
        <v>11</v>
      </c>
      <c r="B19" s="341">
        <v>139</v>
      </c>
      <c r="C19" s="337" t="s">
        <v>249</v>
      </c>
      <c r="D19" s="337" t="s">
        <v>441</v>
      </c>
      <c r="E19" s="338">
        <v>46200</v>
      </c>
      <c r="F19" s="337"/>
      <c r="G19" s="337"/>
      <c r="H19" s="338">
        <v>46200</v>
      </c>
      <c r="I19" s="333"/>
      <c r="J19" s="333"/>
      <c r="K19" s="333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</row>
    <row r="20" spans="1:22">
      <c r="A20" s="337"/>
      <c r="B20" s="337"/>
      <c r="C20" s="337"/>
      <c r="D20" s="337"/>
      <c r="E20" s="340">
        <f>SUM(E17:E19)</f>
        <v>85581.2</v>
      </c>
      <c r="F20" s="340">
        <f t="shared" ref="F20:H20" si="0">SUM(F17:F19)</f>
        <v>0</v>
      </c>
      <c r="G20" s="340">
        <f t="shared" si="0"/>
        <v>31881.200000000001</v>
      </c>
      <c r="H20" s="340">
        <f t="shared" si="0"/>
        <v>53700</v>
      </c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</row>
    <row r="21" spans="1:22">
      <c r="A21" s="333"/>
      <c r="B21" s="333"/>
      <c r="C21" s="333"/>
      <c r="D21" s="333"/>
      <c r="E21" s="342"/>
      <c r="F21" s="342"/>
      <c r="G21" s="342"/>
      <c r="H21" s="342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</row>
    <row r="22" spans="1:22">
      <c r="A22" s="332" t="s">
        <v>442</v>
      </c>
      <c r="B22" s="333"/>
      <c r="C22" s="333"/>
      <c r="D22" s="333"/>
      <c r="F22" s="336" t="s">
        <v>443</v>
      </c>
      <c r="G22" s="336" t="s">
        <v>444</v>
      </c>
      <c r="H22" s="336" t="s">
        <v>445</v>
      </c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</row>
    <row r="23" spans="1:22">
      <c r="A23" s="333"/>
      <c r="B23" s="333"/>
      <c r="C23" s="333"/>
      <c r="D23" s="337" t="s">
        <v>446</v>
      </c>
      <c r="E23" s="340">
        <f>E20+E15</f>
        <v>357396.73000000004</v>
      </c>
      <c r="F23" s="340">
        <f t="shared" ref="F23:H23" si="1">F20+F15</f>
        <v>104948.52</v>
      </c>
      <c r="G23" s="340">
        <f t="shared" si="1"/>
        <v>108912.14</v>
      </c>
      <c r="H23" s="340">
        <f t="shared" si="1"/>
        <v>143536.07</v>
      </c>
      <c r="I23" s="333"/>
      <c r="J23" s="333"/>
      <c r="K23" s="333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</row>
    <row r="24" spans="1:22">
      <c r="A24" s="333"/>
      <c r="B24" s="333"/>
      <c r="C24" s="333"/>
      <c r="D24" s="337" t="s">
        <v>447</v>
      </c>
      <c r="E24" s="340">
        <f>ROUNDUP(E23*$H$4,0)</f>
        <v>457468</v>
      </c>
      <c r="F24" s="340">
        <f t="shared" ref="F24:H24" si="2">ROUNDUP(F23*$H$4,0)</f>
        <v>134335</v>
      </c>
      <c r="G24" s="340">
        <f t="shared" si="2"/>
        <v>139408</v>
      </c>
      <c r="H24" s="340">
        <f t="shared" si="2"/>
        <v>183727</v>
      </c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</row>
    <row r="25" spans="1:22">
      <c r="A25" s="333"/>
      <c r="B25" s="333"/>
      <c r="C25" s="333"/>
      <c r="D25" s="333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</row>
    <row r="26" spans="1:22">
      <c r="A26" s="333"/>
      <c r="B26" s="333"/>
      <c r="C26" s="333"/>
      <c r="D26" s="332" t="s">
        <v>448</v>
      </c>
      <c r="E26" s="343">
        <v>458000</v>
      </c>
      <c r="F26" s="344">
        <f>+E26/H4</f>
        <v>357812.5</v>
      </c>
      <c r="G26" s="333"/>
      <c r="H26" s="333"/>
      <c r="I26" s="333"/>
      <c r="J26" s="333"/>
      <c r="K26" s="333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</row>
    <row r="27" spans="1:22">
      <c r="A27" s="333"/>
      <c r="B27" s="333"/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</row>
    <row r="28" spans="1:22">
      <c r="A28" s="333"/>
      <c r="B28" s="333"/>
      <c r="C28" s="333"/>
      <c r="D28" s="333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</row>
    <row r="29" spans="1:22">
      <c r="A29" s="333"/>
      <c r="B29" s="333"/>
      <c r="C29" s="333"/>
      <c r="D29" s="333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</row>
    <row r="30" spans="1:22">
      <c r="A30" s="333"/>
      <c r="B30" s="333"/>
      <c r="C30" s="333"/>
      <c r="D30" s="333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</row>
    <row r="31" spans="1:22">
      <c r="A31" s="333"/>
      <c r="B31" s="333"/>
      <c r="C31" s="333"/>
      <c r="D31" s="333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</row>
    <row r="32" spans="1:22">
      <c r="A32" s="333"/>
      <c r="B32" s="333"/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</row>
    <row r="33" spans="1:22">
      <c r="A33" s="333"/>
      <c r="B33" s="333"/>
      <c r="C33" s="333"/>
      <c r="D33" s="333"/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</row>
    <row r="34" spans="1:22">
      <c r="A34" s="333"/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</row>
    <row r="35" spans="1:22">
      <c r="A35" s="333"/>
      <c r="B35" s="333"/>
      <c r="C35" s="333"/>
      <c r="D35" s="333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</row>
    <row r="36" spans="1:22">
      <c r="A36" s="333"/>
      <c r="B36" s="333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</row>
    <row r="37" spans="1:22">
      <c r="A37" s="333"/>
      <c r="B37" s="333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</row>
    <row r="38" spans="1:22">
      <c r="A38" s="333"/>
      <c r="B38" s="333"/>
      <c r="C38" s="333"/>
      <c r="D38" s="333"/>
      <c r="E38" s="333"/>
      <c r="F38" s="333"/>
      <c r="G38" s="333"/>
      <c r="H38" s="333"/>
      <c r="I38" s="333"/>
      <c r="J38" s="333"/>
      <c r="K38" s="333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</row>
    <row r="39" spans="1:22">
      <c r="A39" s="333"/>
      <c r="B39" s="333"/>
      <c r="C39" s="333"/>
      <c r="D39" s="333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</row>
    <row r="40" spans="1:22">
      <c r="A40" s="333"/>
      <c r="B40" s="333"/>
      <c r="C40" s="333"/>
      <c r="D40" s="333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</row>
    <row r="41" spans="1:22">
      <c r="A41" s="333"/>
      <c r="B41" s="333"/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</row>
    <row r="42" spans="1:22">
      <c r="A42" s="333"/>
      <c r="B42" s="333"/>
      <c r="C42" s="333"/>
      <c r="D42" s="333"/>
      <c r="E42" s="333"/>
      <c r="F42" s="333"/>
      <c r="G42" s="333"/>
      <c r="H42" s="333"/>
      <c r="I42" s="333"/>
      <c r="J42" s="333"/>
      <c r="K42" s="333"/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</row>
    <row r="43" spans="1:22">
      <c r="A43" s="333"/>
      <c r="B43" s="333"/>
      <c r="C43" s="333"/>
      <c r="D43" s="333"/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</row>
    <row r="44" spans="1:22">
      <c r="A44" s="333"/>
      <c r="B44" s="333"/>
      <c r="C44" s="333"/>
      <c r="D44" s="333"/>
      <c r="E44" s="333"/>
      <c r="F44" s="333"/>
      <c r="G44" s="333"/>
      <c r="H44" s="333"/>
      <c r="I44" s="333"/>
      <c r="J44" s="333"/>
      <c r="K44" s="333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</row>
    <row r="45" spans="1:22">
      <c r="A45" s="333"/>
      <c r="B45" s="333"/>
      <c r="C45" s="333"/>
      <c r="D45" s="333"/>
      <c r="E45" s="333"/>
      <c r="F45" s="333"/>
      <c r="G45" s="333"/>
      <c r="H45" s="333"/>
      <c r="I45" s="333"/>
      <c r="J45" s="333"/>
      <c r="K45" s="333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</row>
    <row r="46" spans="1:22">
      <c r="A46" s="333"/>
      <c r="B46" s="333"/>
      <c r="C46" s="333"/>
      <c r="D46" s="333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</row>
    <row r="47" spans="1:22">
      <c r="A47" s="333"/>
      <c r="B47" s="333"/>
      <c r="C47" s="333"/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</row>
    <row r="48" spans="1:22">
      <c r="A48" s="333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</row>
    <row r="49" spans="1:22">
      <c r="A49" s="333"/>
      <c r="B49" s="333"/>
      <c r="C49" s="333"/>
      <c r="D49" s="333"/>
      <c r="E49" s="333"/>
      <c r="F49" s="333"/>
      <c r="G49" s="333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</row>
    <row r="50" spans="1:22">
      <c r="A50" s="333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</row>
    <row r="51" spans="1:22">
      <c r="A51" s="333"/>
      <c r="B51" s="333"/>
      <c r="C51" s="333"/>
      <c r="D51" s="333"/>
      <c r="E51" s="333"/>
      <c r="F51" s="333"/>
      <c r="G51" s="333"/>
      <c r="H51" s="333"/>
      <c r="I51" s="333"/>
      <c r="J51" s="333"/>
      <c r="K51" s="333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</row>
    <row r="52" spans="1:22">
      <c r="A52" s="333"/>
      <c r="B52" s="333"/>
      <c r="C52" s="333"/>
      <c r="D52" s="333"/>
      <c r="E52" s="333"/>
      <c r="F52" s="333"/>
      <c r="G52" s="333"/>
      <c r="H52" s="333"/>
      <c r="I52" s="333"/>
      <c r="J52" s="333"/>
      <c r="K52" s="333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</row>
    <row r="53" spans="1:22">
      <c r="A53" s="333"/>
      <c r="B53" s="333"/>
      <c r="C53" s="333"/>
      <c r="D53" s="333"/>
      <c r="E53" s="333"/>
      <c r="F53" s="333"/>
      <c r="G53" s="333"/>
      <c r="H53" s="333"/>
      <c r="I53" s="333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</row>
    <row r="54" spans="1:22">
      <c r="A54" s="333"/>
      <c r="B54" s="333"/>
      <c r="C54" s="333"/>
      <c r="D54" s="333"/>
      <c r="E54" s="333"/>
      <c r="F54" s="333"/>
      <c r="G54" s="333"/>
      <c r="H54" s="333"/>
      <c r="I54" s="333"/>
      <c r="J54" s="333"/>
      <c r="K54" s="333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</row>
    <row r="55" spans="1:22">
      <c r="A55" s="333"/>
      <c r="B55" s="333"/>
      <c r="C55" s="333"/>
      <c r="D55" s="333"/>
      <c r="E55" s="333"/>
      <c r="F55" s="333"/>
      <c r="G55" s="333"/>
      <c r="H55" s="333"/>
      <c r="I55" s="333"/>
      <c r="J55" s="333"/>
      <c r="K55" s="333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</row>
    <row r="56" spans="1:22">
      <c r="A56" s="333"/>
      <c r="B56" s="333"/>
      <c r="C56" s="333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</row>
    <row r="57" spans="1:22">
      <c r="A57" s="333"/>
      <c r="B57" s="333"/>
      <c r="C57" s="333"/>
      <c r="D57" s="333"/>
      <c r="E57" s="333"/>
      <c r="F57" s="333"/>
      <c r="G57" s="333"/>
      <c r="H57" s="333"/>
      <c r="I57" s="333"/>
      <c r="J57" s="333"/>
      <c r="K57" s="333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</row>
    <row r="58" spans="1:22">
      <c r="A58" s="333"/>
      <c r="B58" s="333"/>
      <c r="C58" s="333"/>
      <c r="D58" s="333"/>
      <c r="E58" s="333"/>
      <c r="F58" s="333"/>
      <c r="G58" s="333"/>
      <c r="H58" s="333"/>
      <c r="I58" s="333"/>
      <c r="J58" s="333"/>
      <c r="K58" s="333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</row>
    <row r="59" spans="1:22">
      <c r="A59" s="333"/>
      <c r="B59" s="333"/>
      <c r="C59" s="333"/>
      <c r="D59" s="333"/>
      <c r="E59" s="333"/>
      <c r="F59" s="333"/>
      <c r="G59" s="333"/>
      <c r="H59" s="333"/>
      <c r="I59" s="333"/>
      <c r="J59" s="333"/>
      <c r="K59" s="333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</row>
    <row r="60" spans="1:22">
      <c r="A60" s="333"/>
      <c r="B60" s="333"/>
      <c r="C60" s="333"/>
      <c r="D60" s="333"/>
      <c r="E60" s="333"/>
      <c r="F60" s="333"/>
      <c r="G60" s="333"/>
      <c r="H60" s="333"/>
      <c r="I60" s="333"/>
      <c r="J60" s="333"/>
      <c r="K60" s="333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</row>
    <row r="61" spans="1:22">
      <c r="A61" s="333"/>
      <c r="B61" s="333"/>
      <c r="C61" s="333"/>
      <c r="D61" s="333"/>
      <c r="E61" s="333"/>
      <c r="F61" s="333"/>
      <c r="G61" s="333"/>
      <c r="H61" s="333"/>
      <c r="I61" s="333"/>
      <c r="J61" s="333"/>
      <c r="K61" s="333"/>
      <c r="L61" s="333"/>
      <c r="M61" s="333"/>
      <c r="N61" s="333"/>
      <c r="O61" s="333"/>
      <c r="P61" s="333"/>
      <c r="Q61" s="333"/>
      <c r="R61" s="333"/>
      <c r="S61" s="333"/>
      <c r="T61" s="333"/>
      <c r="U61" s="333"/>
      <c r="V61" s="333"/>
    </row>
    <row r="62" spans="1:22">
      <c r="A62" s="333"/>
      <c r="B62" s="333"/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</row>
    <row r="63" spans="1:22">
      <c r="A63" s="333"/>
      <c r="B63" s="333"/>
      <c r="C63" s="333"/>
      <c r="D63" s="333"/>
      <c r="E63" s="333"/>
      <c r="F63" s="333"/>
      <c r="G63" s="333"/>
      <c r="H63" s="333"/>
      <c r="I63" s="333"/>
      <c r="J63" s="333"/>
      <c r="K63" s="333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</row>
    <row r="64" spans="1:22">
      <c r="A64" s="333"/>
      <c r="B64" s="333"/>
      <c r="C64" s="333"/>
      <c r="D64" s="333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</row>
    <row r="65" spans="1:22">
      <c r="A65" s="333"/>
      <c r="B65" s="333"/>
      <c r="C65" s="333"/>
      <c r="D65" s="333"/>
      <c r="E65" s="333"/>
      <c r="F65" s="333"/>
      <c r="G65" s="333"/>
      <c r="H65" s="333"/>
      <c r="I65" s="333"/>
      <c r="J65" s="333"/>
      <c r="K65" s="333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</row>
    <row r="66" spans="1:22">
      <c r="A66" s="333"/>
      <c r="B66" s="333"/>
      <c r="C66" s="333"/>
      <c r="D66" s="333"/>
      <c r="E66" s="333"/>
      <c r="F66" s="333"/>
      <c r="G66" s="333"/>
      <c r="H66" s="333"/>
      <c r="I66" s="333"/>
      <c r="J66" s="333"/>
      <c r="K66" s="333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</row>
    <row r="67" spans="1:22">
      <c r="A67" s="333"/>
      <c r="B67" s="333"/>
      <c r="C67" s="333"/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</row>
    <row r="68" spans="1:22">
      <c r="A68" s="333"/>
      <c r="B68" s="333"/>
      <c r="C68" s="333"/>
      <c r="D68" s="333"/>
      <c r="E68" s="333"/>
      <c r="F68" s="333"/>
      <c r="G68" s="333"/>
      <c r="H68" s="333"/>
      <c r="I68" s="333"/>
      <c r="J68" s="333"/>
      <c r="K68" s="333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</row>
    <row r="69" spans="1:22">
      <c r="A69" s="333"/>
      <c r="B69" s="333"/>
      <c r="C69" s="333"/>
      <c r="D69" s="333"/>
      <c r="E69" s="333"/>
      <c r="F69" s="333"/>
      <c r="G69" s="333"/>
      <c r="H69" s="333"/>
      <c r="I69" s="333"/>
      <c r="J69" s="333"/>
      <c r="K69" s="333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</row>
    <row r="70" spans="1:22">
      <c r="A70" s="333"/>
      <c r="B70" s="333"/>
      <c r="C70" s="333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</row>
    <row r="71" spans="1:22">
      <c r="A71" s="333"/>
      <c r="B71" s="333"/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</row>
    <row r="72" spans="1:22">
      <c r="A72" s="333"/>
      <c r="B72" s="333"/>
      <c r="C72" s="333"/>
      <c r="D72" s="333"/>
      <c r="E72" s="333"/>
      <c r="F72" s="333"/>
      <c r="G72" s="333"/>
      <c r="H72" s="333"/>
      <c r="I72" s="333"/>
      <c r="J72" s="333"/>
      <c r="K72" s="333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</row>
    <row r="73" spans="1:22">
      <c r="A73" s="333"/>
      <c r="B73" s="333"/>
      <c r="C73" s="333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</row>
    <row r="74" spans="1:22">
      <c r="A74" s="333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</row>
    <row r="75" spans="1:22">
      <c r="A75" s="333"/>
      <c r="B75" s="333"/>
      <c r="C75" s="333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</row>
    <row r="76" spans="1:22">
      <c r="A76" s="333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</row>
    <row r="77" spans="1:22">
      <c r="A77" s="333"/>
      <c r="B77" s="333"/>
      <c r="C77" s="333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</row>
    <row r="78" spans="1:22">
      <c r="A78" s="333"/>
      <c r="B78" s="333"/>
      <c r="C78" s="333"/>
      <c r="D78" s="333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</row>
    <row r="79" spans="1:22">
      <c r="A79" s="333"/>
      <c r="B79" s="333"/>
      <c r="C79" s="333"/>
      <c r="D79" s="333"/>
      <c r="E79" s="333"/>
      <c r="F79" s="333"/>
      <c r="G79" s="333"/>
      <c r="H79" s="333"/>
      <c r="I79" s="333"/>
      <c r="J79" s="333"/>
      <c r="K79" s="333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</row>
    <row r="80" spans="1:22">
      <c r="A80" s="333"/>
      <c r="B80" s="333"/>
      <c r="C80" s="333"/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</row>
    <row r="81" spans="1:22">
      <c r="A81" s="333"/>
      <c r="B81" s="333"/>
      <c r="C81" s="333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3"/>
      <c r="T81" s="333"/>
      <c r="U81" s="333"/>
      <c r="V81" s="333"/>
    </row>
    <row r="82" spans="1:22">
      <c r="A82" s="333"/>
      <c r="B82" s="333"/>
      <c r="C82" s="333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3"/>
      <c r="T82" s="333"/>
      <c r="U82" s="333"/>
      <c r="V82" s="333"/>
    </row>
    <row r="83" spans="1:22">
      <c r="A83" s="333"/>
      <c r="B83" s="333"/>
      <c r="C83" s="333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</row>
    <row r="84" spans="1:22">
      <c r="A84" s="333"/>
      <c r="B84" s="333"/>
      <c r="C84" s="33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</row>
    <row r="85" spans="1:22">
      <c r="A85" s="333"/>
      <c r="B85" s="333"/>
      <c r="C85" s="333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</row>
    <row r="86" spans="1:22">
      <c r="A86" s="333"/>
      <c r="B86" s="333"/>
      <c r="C86" s="333"/>
      <c r="D86" s="333"/>
      <c r="E86" s="333"/>
      <c r="F86" s="333"/>
      <c r="G86" s="333"/>
      <c r="H86" s="333"/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</row>
    <row r="87" spans="1:22">
      <c r="A87" s="333"/>
      <c r="B87" s="333"/>
      <c r="C87" s="333"/>
      <c r="D87" s="333"/>
      <c r="E87" s="333"/>
      <c r="F87" s="333"/>
      <c r="G87" s="333"/>
      <c r="H87" s="333"/>
      <c r="I87" s="333"/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</row>
    <row r="88" spans="1:22">
      <c r="A88" s="333"/>
      <c r="B88" s="333"/>
      <c r="C88" s="333"/>
      <c r="D88" s="333"/>
      <c r="E88" s="333"/>
      <c r="F88" s="333"/>
      <c r="G88" s="333"/>
      <c r="H88" s="333"/>
      <c r="I88" s="333"/>
      <c r="J88" s="333"/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</row>
    <row r="89" spans="1:22">
      <c r="A89" s="333"/>
      <c r="B89" s="333"/>
      <c r="C89" s="333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</row>
    <row r="90" spans="1:22">
      <c r="A90" s="333"/>
      <c r="B90" s="333"/>
      <c r="C90" s="333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</row>
    <row r="91" spans="1:22">
      <c r="A91" s="333"/>
      <c r="B91" s="333"/>
      <c r="C91" s="333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</row>
    <row r="92" spans="1:22">
      <c r="A92" s="333"/>
      <c r="B92" s="333"/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</row>
    <row r="93" spans="1:22">
      <c r="A93" s="333"/>
      <c r="B93" s="333"/>
      <c r="C93" s="333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</row>
    <row r="94" spans="1:22">
      <c r="A94" s="333"/>
      <c r="B94" s="333"/>
      <c r="C94" s="333"/>
      <c r="D94" s="333"/>
      <c r="E94" s="333"/>
      <c r="F94" s="333"/>
      <c r="G94" s="333"/>
      <c r="H94" s="333"/>
      <c r="I94" s="333"/>
      <c r="J94" s="333"/>
      <c r="K94" s="333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</row>
    <row r="95" spans="1:22">
      <c r="A95" s="333"/>
      <c r="B95" s="333"/>
      <c r="C95" s="333"/>
      <c r="D95" s="333"/>
      <c r="E95" s="333"/>
      <c r="F95" s="333"/>
      <c r="G95" s="333"/>
      <c r="H95" s="333"/>
      <c r="I95" s="333"/>
      <c r="J95" s="333"/>
      <c r="K95" s="333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</row>
    <row r="96" spans="1:22">
      <c r="A96" s="333"/>
      <c r="B96" s="333"/>
      <c r="C96" s="333"/>
      <c r="D96" s="333"/>
      <c r="E96" s="333"/>
      <c r="F96" s="333"/>
      <c r="G96" s="333"/>
      <c r="H96" s="333"/>
      <c r="I96" s="333"/>
      <c r="J96" s="333"/>
      <c r="K96" s="333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</row>
    <row r="97" spans="1:22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</row>
    <row r="98" spans="1:22">
      <c r="A98" s="333"/>
      <c r="B98" s="333"/>
      <c r="C98" s="333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</row>
    <row r="99" spans="1:22">
      <c r="A99" s="333"/>
      <c r="B99" s="333"/>
      <c r="C99" s="333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</row>
    <row r="100" spans="1:22">
      <c r="A100" s="333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</row>
    <row r="101" spans="1:22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</row>
    <row r="102" spans="1:22">
      <c r="A102" s="333"/>
      <c r="B102" s="333"/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  <c r="P102" s="333"/>
      <c r="Q102" s="333"/>
      <c r="R102" s="333"/>
      <c r="S102" s="333"/>
      <c r="T102" s="333"/>
      <c r="U102" s="333"/>
      <c r="V102" s="333"/>
    </row>
    <row r="103" spans="1:22">
      <c r="A103" s="333"/>
      <c r="B103" s="333"/>
      <c r="C103" s="333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3"/>
      <c r="T103" s="333"/>
      <c r="U103" s="333"/>
      <c r="V103" s="333"/>
    </row>
    <row r="104" spans="1:22">
      <c r="A104" s="333"/>
      <c r="B104" s="333"/>
      <c r="C104" s="333"/>
      <c r="D104" s="333"/>
      <c r="E104" s="333"/>
      <c r="F104" s="333"/>
      <c r="G104" s="333"/>
      <c r="H104" s="333"/>
      <c r="I104" s="333"/>
      <c r="J104" s="333"/>
      <c r="K104" s="333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</row>
    <row r="105" spans="1:22">
      <c r="A105" s="333"/>
      <c r="B105" s="333"/>
      <c r="C105" s="333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</row>
    <row r="106" spans="1:22">
      <c r="A106" s="333"/>
      <c r="B106" s="333"/>
      <c r="C106" s="333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</row>
    <row r="107" spans="1:22">
      <c r="A107" s="333"/>
      <c r="B107" s="333"/>
      <c r="C107" s="333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</row>
    <row r="108" spans="1:22">
      <c r="A108" s="333"/>
      <c r="B108" s="333"/>
      <c r="C108" s="333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</row>
    <row r="109" spans="1:22">
      <c r="A109" s="333"/>
      <c r="B109" s="333"/>
      <c r="C109" s="333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</row>
    <row r="110" spans="1:22">
      <c r="A110" s="333"/>
      <c r="B110" s="333"/>
      <c r="C110" s="333"/>
      <c r="D110" s="333"/>
      <c r="E110" s="333"/>
      <c r="F110" s="333"/>
      <c r="G110" s="333"/>
      <c r="H110" s="333"/>
      <c r="I110" s="333"/>
      <c r="J110" s="333"/>
      <c r="K110" s="333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</row>
    <row r="111" spans="1:22">
      <c r="A111" s="333"/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</row>
    <row r="112" spans="1:22">
      <c r="A112" s="333"/>
      <c r="B112" s="333"/>
      <c r="C112" s="333"/>
      <c r="D112" s="333"/>
      <c r="E112" s="333"/>
      <c r="F112" s="333"/>
      <c r="G112" s="333"/>
      <c r="H112" s="333"/>
      <c r="I112" s="333"/>
      <c r="J112" s="333"/>
      <c r="K112" s="333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</row>
    <row r="113" spans="1:22">
      <c r="A113" s="333"/>
      <c r="B113" s="333"/>
      <c r="C113" s="333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</row>
    <row r="114" spans="1:22">
      <c r="A114" s="333"/>
      <c r="B114" s="333"/>
      <c r="C114" s="333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</row>
    <row r="115" spans="1:22">
      <c r="A115" s="333"/>
      <c r="B115" s="333"/>
      <c r="C115" s="333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</row>
    <row r="116" spans="1:22">
      <c r="A116" s="333"/>
      <c r="B116" s="333"/>
      <c r="C116" s="333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</row>
    <row r="117" spans="1:22">
      <c r="A117" s="333"/>
      <c r="B117" s="333"/>
      <c r="C117" s="333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</row>
    <row r="118" spans="1:22">
      <c r="A118" s="333"/>
      <c r="B118" s="333"/>
      <c r="C118" s="333"/>
      <c r="D118" s="333"/>
      <c r="E118" s="333"/>
      <c r="F118" s="333"/>
      <c r="G118" s="333"/>
      <c r="H118" s="333"/>
      <c r="I118" s="333"/>
      <c r="J118" s="333"/>
      <c r="K118" s="333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</row>
    <row r="119" spans="1:22">
      <c r="A119" s="333"/>
      <c r="B119" s="333"/>
      <c r="C119" s="333"/>
      <c r="D119" s="333"/>
      <c r="E119" s="333"/>
      <c r="F119" s="333"/>
      <c r="G119" s="333"/>
      <c r="H119" s="333"/>
      <c r="I119" s="333"/>
      <c r="J119" s="333"/>
      <c r="K119" s="333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</row>
    <row r="120" spans="1:22">
      <c r="A120" s="333"/>
      <c r="B120" s="333"/>
      <c r="C120" s="333"/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</row>
    <row r="121" spans="1:22">
      <c r="A121" s="333"/>
      <c r="B121" s="333"/>
      <c r="C121" s="333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</row>
    <row r="122" spans="1:22">
      <c r="A122" s="333"/>
      <c r="B122" s="333"/>
      <c r="C122" s="333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3"/>
      <c r="T122" s="333"/>
      <c r="U122" s="333"/>
      <c r="V122" s="333"/>
    </row>
    <row r="123" spans="1:22">
      <c r="A123" s="333"/>
      <c r="B123" s="333"/>
      <c r="C123" s="333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3"/>
      <c r="T123" s="333"/>
      <c r="U123" s="333"/>
      <c r="V123" s="333"/>
    </row>
    <row r="124" spans="1:22">
      <c r="A124" s="333"/>
      <c r="B124" s="333"/>
      <c r="C124" s="333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</row>
    <row r="125" spans="1:22">
      <c r="A125" s="333"/>
      <c r="B125" s="333"/>
      <c r="C125" s="333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</row>
    <row r="126" spans="1:22">
      <c r="A126" s="333"/>
      <c r="B126" s="333"/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</row>
    <row r="127" spans="1:22">
      <c r="A127" s="333"/>
      <c r="B127" s="333"/>
      <c r="C127" s="333"/>
      <c r="D127" s="333"/>
      <c r="E127" s="333"/>
      <c r="F127" s="333"/>
      <c r="G127" s="333"/>
      <c r="H127" s="333"/>
      <c r="I127" s="333"/>
      <c r="J127" s="333"/>
      <c r="K127" s="333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</row>
    <row r="128" spans="1:22">
      <c r="A128" s="333"/>
      <c r="B128" s="333"/>
      <c r="C128" s="333"/>
      <c r="D128" s="333"/>
      <c r="E128" s="333"/>
      <c r="F128" s="333"/>
      <c r="G128" s="333"/>
      <c r="H128" s="333"/>
      <c r="I128" s="333"/>
      <c r="J128" s="333"/>
      <c r="K128" s="333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</row>
    <row r="129" spans="1:22">
      <c r="A129" s="333"/>
      <c r="B129" s="333"/>
      <c r="C129" s="333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</row>
    <row r="130" spans="1:22">
      <c r="A130" s="333"/>
      <c r="B130" s="333"/>
      <c r="C130" s="333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</row>
    <row r="131" spans="1:22">
      <c r="A131" s="333"/>
      <c r="B131" s="333"/>
      <c r="C131" s="333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</row>
    <row r="132" spans="1:22">
      <c r="A132" s="333"/>
      <c r="B132" s="333"/>
      <c r="C132" s="333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</row>
    <row r="133" spans="1:22">
      <c r="A133" s="333"/>
      <c r="B133" s="333"/>
      <c r="C133" s="333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</row>
    <row r="134" spans="1:22">
      <c r="A134" s="333"/>
      <c r="B134" s="333"/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</row>
    <row r="135" spans="1:22">
      <c r="A135" s="333"/>
      <c r="B135" s="333"/>
      <c r="C135" s="333"/>
      <c r="D135" s="333"/>
      <c r="E135" s="333"/>
      <c r="F135" s="333"/>
      <c r="G135" s="333"/>
      <c r="H135" s="333"/>
      <c r="I135" s="333"/>
      <c r="J135" s="333"/>
      <c r="K135" s="333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</row>
    <row r="136" spans="1:22">
      <c r="A136" s="333"/>
      <c r="B136" s="333"/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</row>
    <row r="137" spans="1:22">
      <c r="A137" s="333"/>
      <c r="B137" s="333"/>
      <c r="C137" s="333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</row>
    <row r="138" spans="1:22">
      <c r="A138" s="333"/>
      <c r="B138" s="333"/>
      <c r="C138" s="333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</row>
    <row r="139" spans="1:22">
      <c r="A139" s="333"/>
      <c r="B139" s="333"/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</row>
    <row r="140" spans="1:22">
      <c r="A140" s="333"/>
      <c r="B140" s="333"/>
      <c r="C140" s="333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</row>
    <row r="141" spans="1:22">
      <c r="A141" s="333"/>
      <c r="B141" s="333"/>
      <c r="C141" s="333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</row>
    <row r="142" spans="1:22">
      <c r="A142" s="333"/>
      <c r="B142" s="333"/>
      <c r="C142" s="333"/>
      <c r="D142" s="333"/>
      <c r="E142" s="333"/>
      <c r="F142" s="333"/>
      <c r="G142" s="333"/>
      <c r="H142" s="333"/>
      <c r="I142" s="333"/>
      <c r="J142" s="333"/>
      <c r="K142" s="333"/>
      <c r="L142" s="333"/>
      <c r="M142" s="333"/>
      <c r="N142" s="333"/>
      <c r="O142" s="333"/>
      <c r="P142" s="333"/>
      <c r="Q142" s="333"/>
      <c r="R142" s="333"/>
      <c r="S142" s="333"/>
      <c r="T142" s="333"/>
      <c r="U142" s="333"/>
      <c r="V142" s="333"/>
    </row>
    <row r="143" spans="1:22">
      <c r="A143" s="333"/>
      <c r="B143" s="333"/>
      <c r="C143" s="333"/>
      <c r="D143" s="333"/>
      <c r="E143" s="333"/>
      <c r="F143" s="333"/>
      <c r="G143" s="333"/>
      <c r="H143" s="333"/>
      <c r="I143" s="333"/>
      <c r="J143" s="333"/>
      <c r="K143" s="333"/>
      <c r="L143" s="333"/>
      <c r="M143" s="333"/>
      <c r="N143" s="333"/>
      <c r="O143" s="333"/>
      <c r="P143" s="333"/>
      <c r="Q143" s="333"/>
      <c r="R143" s="333"/>
      <c r="S143" s="333"/>
      <c r="T143" s="333"/>
      <c r="U143" s="333"/>
      <c r="V143" s="333"/>
    </row>
    <row r="144" spans="1:22">
      <c r="A144" s="333"/>
      <c r="B144" s="333"/>
      <c r="C144" s="333"/>
      <c r="D144" s="333"/>
      <c r="E144" s="333"/>
      <c r="F144" s="333"/>
      <c r="G144" s="333"/>
      <c r="H144" s="333"/>
      <c r="I144" s="333"/>
      <c r="J144" s="333"/>
      <c r="K144" s="333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</row>
    <row r="145" spans="1:22">
      <c r="A145" s="333"/>
      <c r="B145" s="333"/>
      <c r="C145" s="333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</row>
    <row r="146" spans="1:22">
      <c r="A146" s="333"/>
      <c r="B146" s="333"/>
      <c r="C146" s="333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</row>
    <row r="147" spans="1:22">
      <c r="A147" s="333"/>
      <c r="B147" s="333"/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</row>
    <row r="148" spans="1:22">
      <c r="A148" s="333"/>
      <c r="B148" s="333"/>
      <c r="C148" s="333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</row>
    <row r="149" spans="1:22">
      <c r="A149" s="333"/>
      <c r="B149" s="333"/>
      <c r="C149" s="333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</row>
    <row r="150" spans="1:22">
      <c r="A150" s="333"/>
      <c r="B150" s="333"/>
      <c r="C150" s="33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</row>
    <row r="151" spans="1:22">
      <c r="A151" s="333"/>
      <c r="B151" s="333"/>
      <c r="C151" s="333"/>
      <c r="D151" s="333"/>
      <c r="E151" s="333"/>
      <c r="F151" s="333"/>
      <c r="G151" s="333"/>
      <c r="H151" s="333"/>
      <c r="I151" s="333"/>
      <c r="J151" s="333"/>
      <c r="K151" s="333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</row>
    <row r="152" spans="1:22">
      <c r="A152" s="333"/>
      <c r="B152" s="333"/>
      <c r="C152" s="333"/>
      <c r="D152" s="333"/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</row>
    <row r="153" spans="1:22">
      <c r="A153" s="333"/>
      <c r="B153" s="333"/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</row>
    <row r="154" spans="1:22">
      <c r="A154" s="333"/>
      <c r="B154" s="333"/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</row>
    <row r="155" spans="1:22">
      <c r="A155" s="333"/>
      <c r="B155" s="333"/>
      <c r="C155" s="333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</row>
    <row r="156" spans="1:22">
      <c r="A156" s="333"/>
      <c r="B156" s="333"/>
      <c r="C156" s="333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</row>
    <row r="157" spans="1:22">
      <c r="A157" s="333"/>
      <c r="B157" s="333"/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</row>
    <row r="158" spans="1:22">
      <c r="A158" s="333"/>
      <c r="B158" s="333"/>
      <c r="C158" s="333"/>
      <c r="D158" s="333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</row>
    <row r="159" spans="1:22">
      <c r="A159" s="333"/>
      <c r="B159" s="333"/>
      <c r="C159" s="333"/>
      <c r="D159" s="333"/>
      <c r="E159" s="333"/>
      <c r="F159" s="333"/>
      <c r="G159" s="333"/>
      <c r="H159" s="333"/>
      <c r="I159" s="333"/>
      <c r="J159" s="333"/>
      <c r="K159" s="333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</row>
    <row r="160" spans="1:22">
      <c r="A160" s="333"/>
      <c r="B160" s="333"/>
      <c r="C160" s="333"/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</row>
    <row r="161" spans="1:22">
      <c r="A161" s="333"/>
      <c r="B161" s="333"/>
      <c r="C161" s="333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</row>
    <row r="162" spans="1:22">
      <c r="A162" s="333"/>
      <c r="B162" s="333"/>
      <c r="C162" s="333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3"/>
      <c r="T162" s="333"/>
      <c r="U162" s="333"/>
      <c r="V162" s="333"/>
    </row>
    <row r="163" spans="1:22">
      <c r="A163" s="333"/>
      <c r="B163" s="333"/>
      <c r="C163" s="333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3"/>
      <c r="T163" s="333"/>
      <c r="U163" s="333"/>
      <c r="V163" s="333"/>
    </row>
    <row r="164" spans="1:22">
      <c r="A164" s="333"/>
      <c r="B164" s="333"/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</row>
    <row r="165" spans="1:22">
      <c r="A165" s="333"/>
      <c r="B165" s="333"/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</row>
    <row r="166" spans="1:22">
      <c r="A166" s="333"/>
      <c r="B166" s="333"/>
      <c r="C166" s="333"/>
      <c r="D166" s="333"/>
      <c r="E166" s="333"/>
      <c r="F166" s="333"/>
      <c r="G166" s="333"/>
      <c r="H166" s="333"/>
      <c r="I166" s="333"/>
      <c r="J166" s="333"/>
      <c r="K166" s="333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</row>
    <row r="167" spans="1:22">
      <c r="A167" s="333"/>
      <c r="B167" s="333"/>
      <c r="C167" s="333"/>
      <c r="D167" s="333"/>
      <c r="E167" s="333"/>
      <c r="F167" s="333"/>
      <c r="G167" s="333"/>
      <c r="H167" s="333"/>
      <c r="I167" s="333"/>
      <c r="J167" s="333"/>
      <c r="K167" s="333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</row>
    <row r="168" spans="1:22">
      <c r="A168" s="333"/>
      <c r="B168" s="333"/>
      <c r="C168" s="333"/>
      <c r="D168" s="333"/>
      <c r="E168" s="333"/>
      <c r="F168" s="333"/>
      <c r="G168" s="333"/>
      <c r="H168" s="333"/>
      <c r="I168" s="333"/>
      <c r="J168" s="333"/>
      <c r="K168" s="333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</row>
    <row r="169" spans="1:22">
      <c r="A169" s="333"/>
      <c r="B169" s="333"/>
      <c r="C169" s="333"/>
      <c r="D169" s="333"/>
      <c r="E169" s="333"/>
      <c r="F169" s="333"/>
      <c r="G169" s="333"/>
      <c r="H169" s="333"/>
      <c r="I169" s="333"/>
      <c r="J169" s="333"/>
      <c r="K169" s="333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</row>
    <row r="170" spans="1:22">
      <c r="A170" s="333"/>
      <c r="B170" s="333"/>
      <c r="C170" s="333"/>
      <c r="D170" s="333"/>
      <c r="E170" s="333"/>
      <c r="F170" s="333"/>
      <c r="G170" s="333"/>
      <c r="H170" s="333"/>
      <c r="I170" s="333"/>
      <c r="J170" s="333"/>
      <c r="K170" s="333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</row>
    <row r="171" spans="1:22">
      <c r="A171" s="333"/>
      <c r="B171" s="333"/>
      <c r="C171" s="333"/>
      <c r="D171" s="333"/>
      <c r="E171" s="333"/>
      <c r="F171" s="333"/>
      <c r="G171" s="333"/>
      <c r="H171" s="333"/>
      <c r="I171" s="333"/>
      <c r="J171" s="333"/>
      <c r="K171" s="333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</row>
    <row r="172" spans="1:22">
      <c r="A172" s="333"/>
      <c r="B172" s="333"/>
      <c r="C172" s="333"/>
      <c r="D172" s="333"/>
      <c r="E172" s="333"/>
      <c r="F172" s="333"/>
      <c r="G172" s="333"/>
      <c r="H172" s="333"/>
      <c r="I172" s="333"/>
      <c r="J172" s="333"/>
      <c r="K172" s="333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</row>
    <row r="173" spans="1:22">
      <c r="A173" s="333"/>
      <c r="B173" s="333"/>
      <c r="C173" s="333"/>
      <c r="D173" s="333"/>
      <c r="E173" s="333"/>
      <c r="F173" s="333"/>
      <c r="G173" s="333"/>
      <c r="H173" s="333"/>
      <c r="I173" s="333"/>
      <c r="J173" s="333"/>
      <c r="K173" s="333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</row>
    <row r="174" spans="1:22">
      <c r="A174" s="333"/>
      <c r="B174" s="333"/>
      <c r="C174" s="333"/>
      <c r="D174" s="333"/>
      <c r="E174" s="333"/>
      <c r="F174" s="333"/>
      <c r="G174" s="333"/>
      <c r="H174" s="333"/>
      <c r="I174" s="333"/>
      <c r="J174" s="333"/>
      <c r="K174" s="333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</row>
    <row r="175" spans="1:22">
      <c r="A175" s="333"/>
      <c r="B175" s="333"/>
      <c r="C175" s="333"/>
      <c r="D175" s="333"/>
      <c r="E175" s="333"/>
      <c r="F175" s="333"/>
      <c r="G175" s="333"/>
      <c r="H175" s="333"/>
      <c r="I175" s="333"/>
      <c r="J175" s="333"/>
      <c r="K175" s="333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</row>
    <row r="176" spans="1:22">
      <c r="A176" s="333"/>
      <c r="B176" s="333"/>
      <c r="C176" s="333"/>
      <c r="D176" s="333"/>
      <c r="E176" s="333"/>
      <c r="F176" s="333"/>
      <c r="G176" s="333"/>
      <c r="H176" s="333"/>
      <c r="I176" s="333"/>
      <c r="J176" s="333"/>
      <c r="K176" s="333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</row>
    <row r="177" spans="1:22">
      <c r="A177" s="333"/>
      <c r="B177" s="333"/>
      <c r="C177" s="333"/>
      <c r="D177" s="333"/>
      <c r="E177" s="333"/>
      <c r="F177" s="333"/>
      <c r="G177" s="333"/>
      <c r="H177" s="333"/>
      <c r="I177" s="333"/>
      <c r="J177" s="333"/>
      <c r="K177" s="333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</row>
    <row r="178" spans="1:22">
      <c r="A178" s="333"/>
      <c r="B178" s="333"/>
      <c r="C178" s="333"/>
      <c r="D178" s="333"/>
      <c r="E178" s="333"/>
      <c r="F178" s="333"/>
      <c r="G178" s="333"/>
      <c r="H178" s="333"/>
      <c r="I178" s="333"/>
      <c r="J178" s="333"/>
      <c r="K178" s="333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</row>
    <row r="179" spans="1:22">
      <c r="A179" s="333"/>
      <c r="B179" s="333"/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</row>
    <row r="180" spans="1:22">
      <c r="A180" s="333"/>
      <c r="B180" s="333"/>
      <c r="C180" s="333"/>
      <c r="D180" s="333"/>
      <c r="E180" s="333"/>
      <c r="F180" s="333"/>
      <c r="G180" s="333"/>
      <c r="H180" s="333"/>
      <c r="I180" s="333"/>
      <c r="J180" s="333"/>
      <c r="K180" s="333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</row>
    <row r="181" spans="1:22">
      <c r="A181" s="333"/>
      <c r="B181" s="333"/>
      <c r="C181" s="333"/>
      <c r="D181" s="333"/>
      <c r="E181" s="333"/>
      <c r="F181" s="333"/>
      <c r="G181" s="333"/>
      <c r="H181" s="333"/>
      <c r="I181" s="333"/>
      <c r="J181" s="333"/>
      <c r="K181" s="333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</row>
    <row r="182" spans="1:22">
      <c r="A182" s="333"/>
      <c r="B182" s="333"/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33"/>
      <c r="O182" s="333"/>
      <c r="P182" s="333"/>
      <c r="Q182" s="333"/>
      <c r="R182" s="333"/>
      <c r="S182" s="333"/>
      <c r="T182" s="333"/>
      <c r="U182" s="333"/>
      <c r="V182" s="333"/>
    </row>
    <row r="183" spans="1:22">
      <c r="A183" s="333"/>
      <c r="B183" s="333"/>
      <c r="C183" s="333"/>
      <c r="D183" s="333"/>
      <c r="E183" s="333"/>
      <c r="F183" s="333"/>
      <c r="G183" s="333"/>
      <c r="H183" s="333"/>
      <c r="I183" s="333"/>
      <c r="J183" s="333"/>
      <c r="K183" s="333"/>
      <c r="L183" s="333"/>
      <c r="M183" s="333"/>
      <c r="N183" s="333"/>
      <c r="O183" s="333"/>
      <c r="P183" s="333"/>
      <c r="Q183" s="333"/>
      <c r="R183" s="333"/>
      <c r="S183" s="333"/>
      <c r="T183" s="333"/>
      <c r="U183" s="333"/>
      <c r="V183" s="333"/>
    </row>
    <row r="184" spans="1:22">
      <c r="A184" s="333"/>
      <c r="B184" s="333"/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</row>
    <row r="185" spans="1:22">
      <c r="A185" s="333"/>
      <c r="B185" s="333"/>
      <c r="C185" s="333"/>
      <c r="D185" s="333"/>
      <c r="E185" s="333"/>
      <c r="F185" s="333"/>
      <c r="G185" s="333"/>
      <c r="H185" s="333"/>
      <c r="I185" s="333"/>
      <c r="J185" s="333"/>
      <c r="K185" s="333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</row>
    <row r="186" spans="1:22">
      <c r="A186" s="333"/>
      <c r="B186" s="333"/>
      <c r="C186" s="333"/>
      <c r="D186" s="333"/>
      <c r="E186" s="333"/>
      <c r="F186" s="333"/>
      <c r="G186" s="333"/>
      <c r="H186" s="333"/>
      <c r="I186" s="333"/>
      <c r="J186" s="333"/>
      <c r="K186" s="333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</row>
    <row r="187" spans="1:22">
      <c r="A187" s="333"/>
      <c r="B187" s="333"/>
      <c r="C187" s="333"/>
      <c r="D187" s="333"/>
      <c r="E187" s="333"/>
      <c r="F187" s="333"/>
      <c r="G187" s="333"/>
      <c r="H187" s="333"/>
      <c r="I187" s="333"/>
      <c r="J187" s="333"/>
      <c r="K187" s="333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</row>
    <row r="188" spans="1:22">
      <c r="A188" s="333"/>
      <c r="B188" s="333"/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</row>
    <row r="189" spans="1:22">
      <c r="A189" s="333"/>
      <c r="B189" s="333"/>
      <c r="C189" s="333"/>
      <c r="D189" s="333"/>
      <c r="E189" s="333"/>
      <c r="F189" s="333"/>
      <c r="G189" s="333"/>
      <c r="H189" s="333"/>
      <c r="I189" s="333"/>
      <c r="J189" s="333"/>
      <c r="K189" s="333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</row>
    <row r="190" spans="1:22">
      <c r="A190" s="333"/>
      <c r="B190" s="333"/>
      <c r="C190" s="333"/>
      <c r="D190" s="333"/>
      <c r="E190" s="333"/>
      <c r="F190" s="333"/>
      <c r="G190" s="333"/>
      <c r="H190" s="333"/>
      <c r="I190" s="333"/>
      <c r="J190" s="333"/>
      <c r="K190" s="333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</row>
    <row r="191" spans="1:22">
      <c r="A191" s="333"/>
      <c r="B191" s="333"/>
      <c r="C191" s="333"/>
      <c r="D191" s="333"/>
      <c r="E191" s="333"/>
      <c r="F191" s="333"/>
      <c r="G191" s="333"/>
      <c r="H191" s="333"/>
      <c r="I191" s="333"/>
      <c r="J191" s="333"/>
      <c r="K191" s="333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</row>
    <row r="192" spans="1:22">
      <c r="A192" s="333"/>
      <c r="B192" s="333"/>
      <c r="C192" s="333"/>
      <c r="D192" s="333"/>
      <c r="E192" s="333"/>
      <c r="F192" s="333"/>
      <c r="G192" s="333"/>
      <c r="H192" s="333"/>
      <c r="I192" s="333"/>
      <c r="J192" s="333"/>
      <c r="K192" s="333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</row>
    <row r="193" spans="1:22">
      <c r="A193" s="333"/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</row>
    <row r="194" spans="1:22">
      <c r="A194" s="333"/>
      <c r="B194" s="333"/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</row>
    <row r="195" spans="1:22">
      <c r="A195" s="333"/>
      <c r="B195" s="333"/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</row>
    <row r="196" spans="1:22">
      <c r="A196" s="333"/>
      <c r="B196" s="333"/>
      <c r="C196" s="333"/>
      <c r="D196" s="333"/>
      <c r="E196" s="333"/>
      <c r="F196" s="333"/>
      <c r="G196" s="333"/>
      <c r="H196" s="333"/>
      <c r="I196" s="333"/>
      <c r="J196" s="333"/>
      <c r="K196" s="333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</row>
    <row r="197" spans="1:22">
      <c r="A197" s="333"/>
      <c r="B197" s="333"/>
      <c r="C197" s="333"/>
      <c r="D197" s="333"/>
      <c r="E197" s="333"/>
      <c r="F197" s="333"/>
      <c r="G197" s="333"/>
      <c r="H197" s="333"/>
      <c r="I197" s="333"/>
      <c r="J197" s="333"/>
      <c r="K197" s="333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</row>
    <row r="198" spans="1:22">
      <c r="A198" s="333"/>
      <c r="B198" s="333"/>
      <c r="C198" s="333"/>
      <c r="D198" s="333"/>
      <c r="E198" s="333"/>
      <c r="F198" s="333"/>
      <c r="G198" s="333"/>
      <c r="H198" s="333"/>
      <c r="I198" s="333"/>
      <c r="J198" s="333"/>
      <c r="K198" s="333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</row>
    <row r="199" spans="1:22">
      <c r="A199" s="333"/>
      <c r="B199" s="333"/>
      <c r="C199" s="333"/>
      <c r="D199" s="333"/>
      <c r="E199" s="333"/>
      <c r="F199" s="333"/>
      <c r="G199" s="333"/>
      <c r="H199" s="333"/>
      <c r="I199" s="333"/>
      <c r="J199" s="333"/>
      <c r="K199" s="333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</row>
    <row r="200" spans="1:22">
      <c r="A200" s="333"/>
      <c r="B200" s="333"/>
      <c r="C200" s="333"/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</row>
    <row r="201" spans="1:22">
      <c r="A201" s="333"/>
      <c r="B201" s="333"/>
      <c r="C201" s="333"/>
      <c r="D201" s="333"/>
      <c r="E201" s="333"/>
      <c r="F201" s="333"/>
      <c r="G201" s="333"/>
      <c r="H201" s="333"/>
      <c r="I201" s="333"/>
      <c r="J201" s="333"/>
      <c r="K201" s="333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</row>
    <row r="202" spans="1:22">
      <c r="A202" s="333"/>
      <c r="B202" s="333"/>
      <c r="C202" s="333"/>
      <c r="D202" s="333"/>
      <c r="E202" s="333"/>
      <c r="F202" s="333"/>
      <c r="G202" s="333"/>
      <c r="H202" s="333"/>
      <c r="I202" s="333"/>
      <c r="J202" s="333"/>
      <c r="K202" s="333"/>
      <c r="L202" s="333"/>
      <c r="M202" s="333"/>
      <c r="N202" s="333"/>
      <c r="O202" s="333"/>
      <c r="P202" s="333"/>
      <c r="Q202" s="333"/>
      <c r="R202" s="333"/>
      <c r="S202" s="333"/>
      <c r="T202" s="333"/>
      <c r="U202" s="333"/>
      <c r="V202" s="333"/>
    </row>
    <row r="203" spans="1:22">
      <c r="A203" s="333"/>
      <c r="B203" s="333"/>
      <c r="C203" s="333"/>
      <c r="D203" s="333"/>
      <c r="E203" s="333"/>
      <c r="F203" s="333"/>
      <c r="G203" s="333"/>
      <c r="H203" s="333"/>
      <c r="I203" s="333"/>
      <c r="J203" s="333"/>
      <c r="K203" s="333"/>
      <c r="L203" s="333"/>
      <c r="M203" s="333"/>
      <c r="N203" s="333"/>
      <c r="O203" s="333"/>
      <c r="P203" s="333"/>
      <c r="Q203" s="333"/>
      <c r="R203" s="333"/>
      <c r="S203" s="333"/>
      <c r="T203" s="333"/>
      <c r="U203" s="333"/>
      <c r="V203" s="333"/>
    </row>
    <row r="204" spans="1:22">
      <c r="A204" s="333"/>
      <c r="B204" s="333"/>
      <c r="C204" s="333"/>
      <c r="D204" s="333"/>
      <c r="E204" s="333"/>
      <c r="F204" s="333"/>
      <c r="G204" s="333"/>
      <c r="H204" s="333"/>
      <c r="I204" s="333"/>
      <c r="J204" s="333"/>
      <c r="K204" s="333"/>
      <c r="L204" s="333"/>
      <c r="M204" s="333"/>
      <c r="N204" s="333"/>
      <c r="O204" s="333"/>
      <c r="P204" s="333"/>
      <c r="Q204" s="333"/>
      <c r="R204" s="333"/>
      <c r="S204" s="333"/>
      <c r="T204" s="333"/>
      <c r="U204" s="333"/>
      <c r="V204" s="333"/>
    </row>
    <row r="205" spans="1:22">
      <c r="A205" s="333"/>
      <c r="B205" s="333"/>
      <c r="C205" s="333"/>
      <c r="D205" s="333"/>
      <c r="E205" s="333"/>
      <c r="F205" s="333"/>
      <c r="G205" s="333"/>
      <c r="H205" s="333"/>
      <c r="I205" s="333"/>
      <c r="J205" s="333"/>
      <c r="K205" s="333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</row>
    <row r="206" spans="1:22">
      <c r="A206" s="333"/>
      <c r="B206" s="333"/>
      <c r="C206" s="333"/>
      <c r="D206" s="333"/>
      <c r="E206" s="333"/>
      <c r="F206" s="333"/>
      <c r="G206" s="333"/>
      <c r="H206" s="333"/>
      <c r="I206" s="333"/>
      <c r="J206" s="333"/>
      <c r="K206" s="333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</row>
    <row r="207" spans="1:22">
      <c r="A207" s="333"/>
      <c r="B207" s="333"/>
      <c r="C207" s="333"/>
      <c r="D207" s="333"/>
      <c r="E207" s="333"/>
      <c r="F207" s="333"/>
      <c r="G207" s="333"/>
      <c r="H207" s="333"/>
      <c r="I207" s="333"/>
      <c r="J207" s="333"/>
      <c r="K207" s="333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</row>
    <row r="208" spans="1:22">
      <c r="A208" s="333"/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</row>
    <row r="209" spans="1:22">
      <c r="A209" s="333"/>
      <c r="B209" s="333"/>
      <c r="C209" s="333"/>
      <c r="D209" s="333"/>
      <c r="E209" s="333"/>
      <c r="F209" s="333"/>
      <c r="G209" s="333"/>
      <c r="H209" s="333"/>
      <c r="I209" s="333"/>
      <c r="J209" s="333"/>
      <c r="K209" s="333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</row>
    <row r="210" spans="1:22">
      <c r="A210" s="333"/>
      <c r="B210" s="333"/>
      <c r="C210" s="333"/>
      <c r="D210" s="333"/>
      <c r="E210" s="333"/>
      <c r="F210" s="333"/>
      <c r="G210" s="333"/>
      <c r="H210" s="333"/>
      <c r="I210" s="333"/>
      <c r="J210" s="333"/>
      <c r="K210" s="333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</row>
    <row r="211" spans="1:22">
      <c r="A211" s="333"/>
      <c r="B211" s="333"/>
      <c r="C211" s="333"/>
      <c r="D211" s="333"/>
      <c r="E211" s="333"/>
      <c r="F211" s="333"/>
      <c r="G211" s="333"/>
      <c r="H211" s="333"/>
      <c r="I211" s="333"/>
      <c r="J211" s="333"/>
      <c r="K211" s="333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</row>
    <row r="212" spans="1:22">
      <c r="A212" s="333"/>
      <c r="B212" s="333"/>
      <c r="C212" s="333"/>
      <c r="D212" s="333"/>
      <c r="E212" s="333"/>
      <c r="F212" s="333"/>
      <c r="G212" s="333"/>
      <c r="H212" s="333"/>
      <c r="I212" s="333"/>
      <c r="J212" s="333"/>
      <c r="K212" s="333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</row>
    <row r="213" spans="1:22">
      <c r="A213" s="333"/>
      <c r="B213" s="333"/>
      <c r="C213" s="333"/>
      <c r="D213" s="333"/>
      <c r="E213" s="333"/>
      <c r="F213" s="333"/>
      <c r="G213" s="333"/>
      <c r="H213" s="333"/>
      <c r="I213" s="333"/>
      <c r="J213" s="333"/>
      <c r="K213" s="333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</row>
    <row r="214" spans="1:22">
      <c r="A214" s="333"/>
      <c r="B214" s="333"/>
      <c r="C214" s="333"/>
      <c r="D214" s="333"/>
      <c r="E214" s="333"/>
      <c r="F214" s="333"/>
      <c r="G214" s="333"/>
      <c r="H214" s="333"/>
      <c r="I214" s="333"/>
      <c r="J214" s="333"/>
      <c r="K214" s="333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</row>
    <row r="215" spans="1:22">
      <c r="A215" s="333"/>
      <c r="B215" s="333"/>
      <c r="C215" s="333"/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</row>
    <row r="216" spans="1:22">
      <c r="A216" s="333"/>
      <c r="B216" s="333"/>
      <c r="C216" s="33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</row>
    <row r="217" spans="1:22">
      <c r="A217" s="333"/>
      <c r="B217" s="333"/>
      <c r="C217" s="333"/>
      <c r="D217" s="333"/>
      <c r="E217" s="333"/>
      <c r="F217" s="333"/>
      <c r="G217" s="333"/>
      <c r="H217" s="333"/>
      <c r="I217" s="333"/>
      <c r="J217" s="333"/>
      <c r="K217" s="333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</row>
    <row r="218" spans="1:22">
      <c r="A218" s="333"/>
      <c r="B218" s="333"/>
      <c r="C218" s="333"/>
      <c r="D218" s="333"/>
      <c r="E218" s="333"/>
      <c r="F218" s="333"/>
      <c r="G218" s="333"/>
      <c r="H218" s="333"/>
      <c r="I218" s="333"/>
      <c r="J218" s="333"/>
      <c r="K218" s="333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</row>
    <row r="219" spans="1:22">
      <c r="A219" s="333"/>
      <c r="B219" s="333"/>
      <c r="C219" s="333"/>
      <c r="D219" s="333"/>
      <c r="E219" s="333"/>
      <c r="F219" s="333"/>
      <c r="G219" s="333"/>
      <c r="H219" s="333"/>
      <c r="I219" s="333"/>
      <c r="J219" s="333"/>
      <c r="K219" s="333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</row>
    <row r="220" spans="1:22">
      <c r="A220" s="333"/>
      <c r="B220" s="333"/>
      <c r="C220" s="333"/>
      <c r="D220" s="333"/>
      <c r="E220" s="333"/>
      <c r="F220" s="333"/>
      <c r="G220" s="333"/>
      <c r="H220" s="333"/>
      <c r="I220" s="333"/>
      <c r="J220" s="333"/>
      <c r="K220" s="333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</row>
    <row r="221" spans="1:22">
      <c r="A221" s="333"/>
      <c r="B221" s="333"/>
      <c r="C221" s="333"/>
      <c r="D221" s="333"/>
      <c r="E221" s="333"/>
      <c r="F221" s="333"/>
      <c r="G221" s="333"/>
      <c r="H221" s="333"/>
      <c r="I221" s="333"/>
      <c r="J221" s="333"/>
      <c r="K221" s="333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</row>
    <row r="222" spans="1:22">
      <c r="A222" s="333"/>
      <c r="B222" s="333"/>
      <c r="C222" s="333"/>
      <c r="D222" s="333"/>
      <c r="E222" s="333"/>
      <c r="F222" s="333"/>
      <c r="G222" s="333"/>
      <c r="H222" s="333"/>
      <c r="I222" s="333"/>
      <c r="J222" s="333"/>
      <c r="K222" s="333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</row>
    <row r="223" spans="1:22">
      <c r="A223" s="333"/>
      <c r="B223" s="333"/>
      <c r="C223" s="333"/>
      <c r="D223" s="333"/>
      <c r="E223" s="333"/>
      <c r="F223" s="333"/>
      <c r="G223" s="333"/>
      <c r="H223" s="333"/>
      <c r="I223" s="333"/>
      <c r="J223" s="333"/>
      <c r="K223" s="333"/>
      <c r="L223" s="333"/>
      <c r="M223" s="333"/>
      <c r="N223" s="333"/>
      <c r="O223" s="333"/>
      <c r="P223" s="333"/>
      <c r="Q223" s="333"/>
      <c r="R223" s="333"/>
      <c r="S223" s="333"/>
      <c r="T223" s="333"/>
      <c r="U223" s="333"/>
      <c r="V223" s="333"/>
    </row>
    <row r="224" spans="1:22">
      <c r="A224" s="333"/>
      <c r="B224" s="333"/>
      <c r="C224" s="333"/>
      <c r="D224" s="333"/>
      <c r="E224" s="333"/>
      <c r="F224" s="333"/>
      <c r="G224" s="333"/>
      <c r="H224" s="333"/>
      <c r="I224" s="333"/>
      <c r="J224" s="333"/>
      <c r="K224" s="333"/>
      <c r="L224" s="333"/>
      <c r="M224" s="333"/>
      <c r="N224" s="333"/>
      <c r="O224" s="333"/>
      <c r="P224" s="333"/>
      <c r="Q224" s="333"/>
      <c r="R224" s="333"/>
      <c r="S224" s="333"/>
      <c r="T224" s="333"/>
      <c r="U224" s="333"/>
      <c r="V224" s="333"/>
    </row>
    <row r="225" spans="1:22">
      <c r="A225" s="333"/>
      <c r="B225" s="333"/>
      <c r="C225" s="333"/>
      <c r="D225" s="333"/>
      <c r="E225" s="333"/>
      <c r="F225" s="333"/>
      <c r="G225" s="333"/>
      <c r="H225" s="333"/>
      <c r="I225" s="333"/>
      <c r="J225" s="333"/>
      <c r="K225" s="333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</row>
    <row r="226" spans="1:22">
      <c r="A226" s="333"/>
      <c r="B226" s="333"/>
      <c r="C226" s="333"/>
      <c r="D226" s="333"/>
      <c r="E226" s="333"/>
      <c r="F226" s="333"/>
      <c r="G226" s="333"/>
      <c r="H226" s="333"/>
      <c r="I226" s="333"/>
      <c r="J226" s="333"/>
      <c r="K226" s="333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</row>
    <row r="227" spans="1:22">
      <c r="A227" s="333"/>
      <c r="B227" s="333"/>
      <c r="C227" s="333"/>
      <c r="D227" s="333"/>
      <c r="E227" s="333"/>
      <c r="F227" s="333"/>
      <c r="G227" s="333"/>
      <c r="H227" s="333"/>
      <c r="I227" s="333"/>
      <c r="J227" s="333"/>
      <c r="K227" s="333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</row>
    <row r="228" spans="1:22">
      <c r="A228" s="333"/>
      <c r="B228" s="333"/>
      <c r="C228" s="333"/>
      <c r="D228" s="333"/>
      <c r="E228" s="333"/>
      <c r="F228" s="333"/>
      <c r="G228" s="333"/>
      <c r="H228" s="333"/>
      <c r="I228" s="333"/>
      <c r="J228" s="333"/>
      <c r="K228" s="333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</row>
    <row r="229" spans="1:22">
      <c r="A229" s="333"/>
      <c r="B229" s="333"/>
      <c r="C229" s="333"/>
      <c r="D229" s="333"/>
      <c r="E229" s="333"/>
      <c r="F229" s="333"/>
      <c r="G229" s="333"/>
      <c r="H229" s="333"/>
      <c r="I229" s="333"/>
      <c r="J229" s="333"/>
      <c r="K229" s="333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</row>
    <row r="230" spans="1:22">
      <c r="A230" s="333"/>
      <c r="B230" s="333"/>
      <c r="C230" s="333"/>
      <c r="D230" s="333"/>
      <c r="E230" s="333"/>
      <c r="F230" s="333"/>
      <c r="G230" s="333"/>
      <c r="H230" s="333"/>
      <c r="I230" s="333"/>
      <c r="J230" s="333"/>
      <c r="K230" s="333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</row>
    <row r="231" spans="1:22">
      <c r="A231" s="333"/>
      <c r="B231" s="333"/>
      <c r="C231" s="333"/>
      <c r="D231" s="333"/>
      <c r="E231" s="333"/>
      <c r="F231" s="333"/>
      <c r="G231" s="333"/>
      <c r="H231" s="333"/>
      <c r="I231" s="333"/>
      <c r="J231" s="333"/>
      <c r="K231" s="333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</row>
    <row r="232" spans="1:22">
      <c r="A232" s="333"/>
      <c r="B232" s="333"/>
      <c r="C232" s="333"/>
      <c r="D232" s="333"/>
      <c r="E232" s="333"/>
      <c r="F232" s="333"/>
      <c r="G232" s="333"/>
      <c r="H232" s="333"/>
      <c r="I232" s="333"/>
      <c r="J232" s="333"/>
      <c r="K232" s="333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</row>
    <row r="233" spans="1:22">
      <c r="A233" s="333"/>
      <c r="B233" s="333"/>
      <c r="C233" s="333"/>
      <c r="D233" s="333"/>
      <c r="E233" s="333"/>
      <c r="F233" s="333"/>
      <c r="G233" s="333"/>
      <c r="H233" s="333"/>
      <c r="I233" s="333"/>
      <c r="J233" s="333"/>
      <c r="K233" s="333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</row>
    <row r="234" spans="1:22">
      <c r="A234" s="333"/>
      <c r="B234" s="333"/>
      <c r="C234" s="333"/>
      <c r="D234" s="333"/>
      <c r="E234" s="333"/>
      <c r="F234" s="333"/>
      <c r="G234" s="333"/>
      <c r="H234" s="333"/>
      <c r="I234" s="333"/>
      <c r="J234" s="333"/>
      <c r="K234" s="333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</row>
    <row r="235" spans="1:22">
      <c r="A235" s="333"/>
      <c r="B235" s="333"/>
      <c r="C235" s="333"/>
      <c r="D235" s="333"/>
      <c r="E235" s="333"/>
      <c r="F235" s="333"/>
      <c r="G235" s="333"/>
      <c r="H235" s="333"/>
      <c r="I235" s="333"/>
      <c r="J235" s="333"/>
      <c r="K235" s="333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</row>
    <row r="236" spans="1:22">
      <c r="A236" s="333"/>
      <c r="B236" s="333"/>
      <c r="C236" s="333"/>
      <c r="D236" s="333"/>
      <c r="E236" s="333"/>
      <c r="F236" s="333"/>
      <c r="G236" s="333"/>
      <c r="H236" s="333"/>
      <c r="I236" s="333"/>
      <c r="J236" s="333"/>
      <c r="K236" s="333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</row>
    <row r="237" spans="1:22">
      <c r="A237" s="333"/>
      <c r="B237" s="333"/>
      <c r="C237" s="333"/>
      <c r="D237" s="333"/>
      <c r="E237" s="333"/>
      <c r="F237" s="333"/>
      <c r="G237" s="333"/>
      <c r="H237" s="333"/>
      <c r="I237" s="333"/>
      <c r="J237" s="333"/>
      <c r="K237" s="333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</row>
    <row r="238" spans="1:22">
      <c r="A238" s="333"/>
      <c r="B238" s="333"/>
      <c r="C238" s="333"/>
      <c r="D238" s="333"/>
      <c r="E238" s="333"/>
      <c r="F238" s="333"/>
      <c r="G238" s="333"/>
      <c r="H238" s="333"/>
      <c r="I238" s="333"/>
      <c r="J238" s="333"/>
      <c r="K238" s="333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</row>
    <row r="239" spans="1:22">
      <c r="A239" s="333"/>
      <c r="B239" s="333"/>
      <c r="C239" s="333"/>
      <c r="D239" s="333"/>
      <c r="E239" s="333"/>
      <c r="F239" s="333"/>
      <c r="G239" s="333"/>
      <c r="H239" s="333"/>
      <c r="I239" s="333"/>
      <c r="J239" s="333"/>
      <c r="K239" s="333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</row>
    <row r="240" spans="1:22">
      <c r="A240" s="333"/>
      <c r="B240" s="333"/>
      <c r="C240" s="333"/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</row>
    <row r="241" spans="1:22">
      <c r="A241" s="333"/>
      <c r="B241" s="333"/>
      <c r="C241" s="333"/>
      <c r="D241" s="333"/>
      <c r="E241" s="333"/>
      <c r="F241" s="333"/>
      <c r="G241" s="333"/>
      <c r="H241" s="333"/>
      <c r="I241" s="333"/>
      <c r="J241" s="333"/>
      <c r="K241" s="333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</row>
    <row r="242" spans="1:22">
      <c r="A242" s="333"/>
      <c r="B242" s="333"/>
      <c r="C242" s="333"/>
      <c r="D242" s="333"/>
      <c r="E242" s="333"/>
      <c r="F242" s="333"/>
      <c r="G242" s="333"/>
      <c r="H242" s="333"/>
      <c r="I242" s="333"/>
      <c r="J242" s="333"/>
      <c r="K242" s="333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</row>
    <row r="243" spans="1:22">
      <c r="A243" s="333"/>
      <c r="B243" s="333"/>
      <c r="C243" s="333"/>
      <c r="D243" s="333"/>
      <c r="E243" s="333"/>
      <c r="F243" s="333"/>
      <c r="G243" s="333"/>
      <c r="H243" s="333"/>
      <c r="I243" s="333"/>
      <c r="J243" s="333"/>
      <c r="K243" s="333"/>
      <c r="L243" s="333"/>
      <c r="M243" s="333"/>
      <c r="N243" s="333"/>
      <c r="O243" s="333"/>
      <c r="P243" s="333"/>
      <c r="Q243" s="333"/>
      <c r="R243" s="333"/>
      <c r="S243" s="333"/>
      <c r="T243" s="333"/>
      <c r="U243" s="333"/>
      <c r="V243" s="333"/>
    </row>
    <row r="244" spans="1:22">
      <c r="A244" s="333"/>
      <c r="B244" s="333"/>
      <c r="C244" s="333"/>
      <c r="D244" s="333"/>
      <c r="E244" s="333"/>
      <c r="F244" s="333"/>
      <c r="G244" s="333"/>
      <c r="H244" s="333"/>
      <c r="I244" s="333"/>
      <c r="J244" s="333"/>
      <c r="K244" s="333"/>
      <c r="L244" s="333"/>
      <c r="M244" s="333"/>
      <c r="N244" s="333"/>
      <c r="O244" s="333"/>
      <c r="P244" s="333"/>
      <c r="Q244" s="333"/>
      <c r="R244" s="333"/>
      <c r="S244" s="333"/>
      <c r="T244" s="333"/>
      <c r="U244" s="333"/>
      <c r="V244" s="333"/>
    </row>
    <row r="245" spans="1:22">
      <c r="A245" s="333"/>
      <c r="B245" s="333"/>
      <c r="C245" s="333"/>
      <c r="D245" s="333"/>
      <c r="E245" s="333"/>
      <c r="F245" s="333"/>
      <c r="G245" s="333"/>
      <c r="H245" s="333"/>
      <c r="I245" s="333"/>
      <c r="J245" s="333"/>
      <c r="K245" s="333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</row>
    <row r="246" spans="1:22">
      <c r="A246" s="333"/>
      <c r="B246" s="333"/>
      <c r="C246" s="333"/>
      <c r="D246" s="333"/>
      <c r="E246" s="333"/>
      <c r="F246" s="333"/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</row>
    <row r="247" spans="1:22">
      <c r="A247" s="333"/>
      <c r="B247" s="333"/>
      <c r="C247" s="333"/>
      <c r="D247" s="333"/>
      <c r="E247" s="333"/>
      <c r="F247" s="333"/>
      <c r="G247" s="333"/>
      <c r="H247" s="333"/>
      <c r="I247" s="333"/>
      <c r="J247" s="333"/>
      <c r="K247" s="333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</row>
    <row r="248" spans="1:22">
      <c r="A248" s="333"/>
      <c r="B248" s="333"/>
      <c r="C248" s="333"/>
      <c r="D248" s="333"/>
      <c r="E248" s="333"/>
      <c r="F248" s="333"/>
      <c r="G248" s="333"/>
      <c r="H248" s="333"/>
      <c r="I248" s="333"/>
      <c r="J248" s="333"/>
      <c r="K248" s="333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</row>
    <row r="249" spans="1:22">
      <c r="A249" s="333"/>
      <c r="B249" s="333"/>
      <c r="C249" s="333"/>
      <c r="D249" s="333"/>
      <c r="E249" s="333"/>
      <c r="F249" s="333"/>
      <c r="G249" s="333"/>
      <c r="H249" s="333"/>
      <c r="I249" s="333"/>
      <c r="J249" s="333"/>
      <c r="K249" s="333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</row>
    <row r="250" spans="1:22">
      <c r="A250" s="333"/>
      <c r="B250" s="333"/>
      <c r="C250" s="333"/>
      <c r="D250" s="333"/>
      <c r="E250" s="333"/>
      <c r="F250" s="333"/>
      <c r="G250" s="333"/>
      <c r="H250" s="333"/>
      <c r="I250" s="333"/>
      <c r="J250" s="333"/>
      <c r="K250" s="333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</row>
    <row r="251" spans="1:22">
      <c r="A251" s="333"/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</row>
    <row r="252" spans="1:22">
      <c r="A252" s="333"/>
      <c r="B252" s="333"/>
      <c r="C252" s="333"/>
      <c r="D252" s="333"/>
      <c r="E252" s="333"/>
      <c r="F252" s="333"/>
      <c r="G252" s="333"/>
      <c r="H252" s="333"/>
      <c r="I252" s="333"/>
      <c r="J252" s="333"/>
      <c r="K252" s="333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</row>
    <row r="253" spans="1:22">
      <c r="A253" s="333"/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</row>
    <row r="254" spans="1:22">
      <c r="A254" s="333"/>
      <c r="B254" s="333"/>
      <c r="C254" s="333"/>
      <c r="D254" s="333"/>
      <c r="E254" s="333"/>
      <c r="F254" s="333"/>
      <c r="G254" s="333"/>
      <c r="H254" s="333"/>
      <c r="I254" s="333"/>
      <c r="J254" s="333"/>
      <c r="K254" s="333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</row>
    <row r="255" spans="1:22">
      <c r="A255" s="333"/>
      <c r="B255" s="333"/>
      <c r="C255" s="333"/>
      <c r="D255" s="333"/>
      <c r="E255" s="333"/>
      <c r="F255" s="333"/>
      <c r="G255" s="333"/>
      <c r="H255" s="333"/>
      <c r="I255" s="333"/>
      <c r="J255" s="333"/>
      <c r="K255" s="333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</row>
    <row r="256" spans="1:22">
      <c r="A256" s="333"/>
      <c r="B256" s="333"/>
      <c r="C256" s="333"/>
      <c r="D256" s="333"/>
      <c r="E256" s="333"/>
      <c r="F256" s="333"/>
      <c r="G256" s="333"/>
      <c r="H256" s="333"/>
      <c r="I256" s="333"/>
      <c r="J256" s="333"/>
      <c r="K256" s="333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</row>
    <row r="257" spans="1:22">
      <c r="A257" s="333"/>
      <c r="B257" s="333"/>
      <c r="C257" s="333"/>
      <c r="D257" s="333"/>
      <c r="E257" s="333"/>
      <c r="F257" s="333"/>
      <c r="G257" s="333"/>
      <c r="H257" s="333"/>
      <c r="I257" s="333"/>
      <c r="J257" s="333"/>
      <c r="K257" s="333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</row>
    <row r="258" spans="1:22">
      <c r="A258" s="333"/>
      <c r="B258" s="333"/>
      <c r="C258" s="333"/>
      <c r="D258" s="333"/>
      <c r="E258" s="333"/>
      <c r="F258" s="333"/>
      <c r="G258" s="333"/>
      <c r="H258" s="333"/>
      <c r="I258" s="333"/>
      <c r="J258" s="333"/>
      <c r="K258" s="333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</row>
    <row r="259" spans="1:22">
      <c r="A259" s="333"/>
      <c r="B259" s="333"/>
      <c r="C259" s="333"/>
      <c r="D259" s="333"/>
      <c r="E259" s="333"/>
      <c r="F259" s="333"/>
      <c r="G259" s="333"/>
      <c r="H259" s="333"/>
      <c r="I259" s="333"/>
      <c r="J259" s="333"/>
      <c r="K259" s="333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</row>
    <row r="260" spans="1:22">
      <c r="A260" s="333"/>
      <c r="B260" s="333"/>
      <c r="C260" s="333"/>
      <c r="D260" s="333"/>
      <c r="E260" s="333"/>
      <c r="F260" s="333"/>
      <c r="G260" s="333"/>
      <c r="H260" s="333"/>
      <c r="I260" s="333"/>
      <c r="J260" s="333"/>
      <c r="K260" s="333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</row>
    <row r="261" spans="1:22">
      <c r="A261" s="333"/>
      <c r="B261" s="333"/>
      <c r="C261" s="333"/>
      <c r="D261" s="333"/>
      <c r="E261" s="333"/>
      <c r="F261" s="333"/>
      <c r="G261" s="333"/>
      <c r="H261" s="333"/>
      <c r="I261" s="333"/>
      <c r="J261" s="333"/>
      <c r="K261" s="333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</row>
    <row r="262" spans="1:22">
      <c r="A262" s="333"/>
      <c r="B262" s="333"/>
      <c r="C262" s="333"/>
      <c r="D262" s="333"/>
      <c r="E262" s="333"/>
      <c r="F262" s="333"/>
      <c r="G262" s="333"/>
      <c r="H262" s="333"/>
      <c r="I262" s="333"/>
      <c r="J262" s="333"/>
      <c r="K262" s="333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</row>
    <row r="263" spans="1:22">
      <c r="A263" s="333"/>
      <c r="B263" s="333"/>
      <c r="C263" s="333"/>
      <c r="D263" s="333"/>
      <c r="E263" s="333"/>
      <c r="F263" s="333"/>
      <c r="G263" s="333"/>
      <c r="H263" s="333"/>
      <c r="I263" s="333"/>
      <c r="J263" s="333"/>
      <c r="K263" s="333"/>
      <c r="L263" s="333"/>
      <c r="M263" s="333"/>
      <c r="N263" s="333"/>
      <c r="O263" s="333"/>
      <c r="P263" s="333"/>
      <c r="Q263" s="333"/>
      <c r="R263" s="333"/>
      <c r="S263" s="333"/>
      <c r="T263" s="333"/>
      <c r="U263" s="333"/>
      <c r="V263" s="333"/>
    </row>
    <row r="264" spans="1:22">
      <c r="A264" s="333"/>
      <c r="B264" s="333"/>
      <c r="C264" s="333"/>
      <c r="D264" s="333"/>
      <c r="E264" s="333"/>
      <c r="F264" s="333"/>
      <c r="G264" s="333"/>
      <c r="H264" s="333"/>
      <c r="I264" s="333"/>
      <c r="J264" s="333"/>
      <c r="K264" s="333"/>
      <c r="L264" s="333"/>
      <c r="M264" s="333"/>
      <c r="N264" s="333"/>
      <c r="O264" s="333"/>
      <c r="P264" s="333"/>
      <c r="Q264" s="333"/>
      <c r="R264" s="333"/>
      <c r="S264" s="333"/>
      <c r="T264" s="333"/>
      <c r="U264" s="333"/>
      <c r="V264" s="333"/>
    </row>
    <row r="265" spans="1:22">
      <c r="A265" s="333"/>
      <c r="B265" s="333"/>
      <c r="C265" s="333"/>
      <c r="D265" s="333"/>
      <c r="E265" s="333"/>
      <c r="F265" s="333"/>
      <c r="G265" s="333"/>
      <c r="H265" s="333"/>
      <c r="I265" s="333"/>
      <c r="J265" s="333"/>
      <c r="K265" s="333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</row>
    <row r="266" spans="1:22">
      <c r="A266" s="333"/>
      <c r="B266" s="333"/>
      <c r="C266" s="333"/>
      <c r="D266" s="333"/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</row>
    <row r="267" spans="1:22">
      <c r="A267" s="333"/>
      <c r="B267" s="333"/>
      <c r="C267" s="333"/>
      <c r="D267" s="333"/>
      <c r="E267" s="333"/>
      <c r="F267" s="333"/>
      <c r="G267" s="333"/>
      <c r="H267" s="333"/>
      <c r="I267" s="333"/>
      <c r="J267" s="333"/>
      <c r="K267" s="333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</row>
    <row r="268" spans="1:22">
      <c r="A268" s="333"/>
      <c r="B268" s="333"/>
      <c r="C268" s="333"/>
      <c r="D268" s="333"/>
      <c r="E268" s="333"/>
      <c r="F268" s="333"/>
      <c r="G268" s="333"/>
      <c r="H268" s="333"/>
      <c r="I268" s="333"/>
      <c r="J268" s="333"/>
      <c r="K268" s="333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</row>
    <row r="269" spans="1:22">
      <c r="A269" s="333"/>
      <c r="B269" s="333"/>
      <c r="C269" s="333"/>
      <c r="D269" s="333"/>
      <c r="E269" s="333"/>
      <c r="F269" s="333"/>
      <c r="G269" s="333"/>
      <c r="H269" s="333"/>
      <c r="I269" s="333"/>
      <c r="J269" s="333"/>
      <c r="K269" s="333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</row>
    <row r="270" spans="1:22">
      <c r="A270" s="333"/>
      <c r="B270" s="333"/>
      <c r="C270" s="333"/>
      <c r="D270" s="333"/>
      <c r="E270" s="333"/>
      <c r="F270" s="333"/>
      <c r="G270" s="333"/>
      <c r="H270" s="333"/>
      <c r="I270" s="333"/>
      <c r="J270" s="333"/>
      <c r="K270" s="333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</row>
    <row r="271" spans="1:22">
      <c r="A271" s="333"/>
      <c r="B271" s="333"/>
      <c r="C271" s="333"/>
      <c r="D271" s="333"/>
      <c r="E271" s="333"/>
      <c r="F271" s="333"/>
      <c r="G271" s="333"/>
      <c r="H271" s="333"/>
      <c r="I271" s="333"/>
      <c r="J271" s="333"/>
      <c r="K271" s="333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</row>
    <row r="272" spans="1:22">
      <c r="A272" s="333"/>
      <c r="B272" s="333"/>
      <c r="C272" s="333"/>
      <c r="D272" s="333"/>
      <c r="E272" s="333"/>
      <c r="F272" s="333"/>
      <c r="G272" s="333"/>
      <c r="H272" s="333"/>
      <c r="I272" s="333"/>
      <c r="J272" s="333"/>
      <c r="K272" s="333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</row>
    <row r="273" spans="1:22">
      <c r="A273" s="333"/>
      <c r="B273" s="333"/>
      <c r="C273" s="333"/>
      <c r="D273" s="333"/>
      <c r="E273" s="333"/>
      <c r="F273" s="333"/>
      <c r="G273" s="333"/>
      <c r="H273" s="333"/>
      <c r="I273" s="333"/>
      <c r="J273" s="333"/>
      <c r="K273" s="333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</row>
    <row r="274" spans="1:22">
      <c r="A274" s="333"/>
      <c r="B274" s="333"/>
      <c r="C274" s="333"/>
      <c r="D274" s="333"/>
      <c r="E274" s="333"/>
      <c r="F274" s="333"/>
      <c r="G274" s="333"/>
      <c r="H274" s="333"/>
      <c r="I274" s="333"/>
      <c r="J274" s="333"/>
      <c r="K274" s="333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</row>
    <row r="275" spans="1:22">
      <c r="A275" s="333"/>
      <c r="B275" s="333"/>
      <c r="C275" s="333"/>
      <c r="D275" s="333"/>
      <c r="E275" s="333"/>
      <c r="F275" s="333"/>
      <c r="G275" s="333"/>
      <c r="H275" s="333"/>
      <c r="I275" s="333"/>
      <c r="J275" s="333"/>
      <c r="K275" s="333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</row>
    <row r="276" spans="1:22">
      <c r="A276" s="333"/>
      <c r="B276" s="333"/>
      <c r="C276" s="333"/>
      <c r="D276" s="333"/>
      <c r="E276" s="333"/>
      <c r="F276" s="333"/>
      <c r="G276" s="333"/>
      <c r="H276" s="333"/>
      <c r="I276" s="333"/>
      <c r="J276" s="333"/>
      <c r="K276" s="333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</row>
    <row r="277" spans="1:22">
      <c r="A277" s="333"/>
      <c r="B277" s="333"/>
      <c r="C277" s="333"/>
      <c r="D277" s="333"/>
      <c r="E277" s="333"/>
      <c r="F277" s="333"/>
      <c r="G277" s="333"/>
      <c r="H277" s="333"/>
      <c r="I277" s="333"/>
      <c r="J277" s="333"/>
      <c r="K277" s="333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</row>
    <row r="278" spans="1:22">
      <c r="A278" s="333"/>
      <c r="B278" s="333"/>
      <c r="C278" s="333"/>
      <c r="D278" s="333"/>
      <c r="E278" s="333"/>
      <c r="F278" s="333"/>
      <c r="G278" s="333"/>
      <c r="H278" s="333"/>
      <c r="I278" s="333"/>
      <c r="J278" s="333"/>
      <c r="K278" s="333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</row>
    <row r="279" spans="1:22">
      <c r="A279" s="333"/>
      <c r="B279" s="333"/>
      <c r="C279" s="333"/>
      <c r="D279" s="333"/>
      <c r="E279" s="333"/>
      <c r="F279" s="333"/>
      <c r="G279" s="333"/>
      <c r="H279" s="333"/>
      <c r="I279" s="333"/>
      <c r="J279" s="333"/>
      <c r="K279" s="333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</row>
    <row r="280" spans="1:22">
      <c r="A280" s="333"/>
      <c r="B280" s="333"/>
      <c r="C280" s="333"/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</row>
    <row r="281" spans="1:22">
      <c r="A281" s="333"/>
      <c r="B281" s="333"/>
      <c r="C281" s="333"/>
      <c r="D281" s="333"/>
      <c r="E281" s="333"/>
      <c r="F281" s="333"/>
      <c r="G281" s="333"/>
      <c r="H281" s="333"/>
      <c r="I281" s="333"/>
      <c r="J281" s="333"/>
      <c r="K281" s="333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</row>
    <row r="282" spans="1:22">
      <c r="A282" s="333"/>
      <c r="B282" s="333"/>
      <c r="C282" s="33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</row>
    <row r="283" spans="1:22">
      <c r="A283" s="333"/>
      <c r="B283" s="333"/>
      <c r="C283" s="333"/>
      <c r="D283" s="333"/>
      <c r="E283" s="333"/>
      <c r="F283" s="333"/>
      <c r="G283" s="333"/>
      <c r="H283" s="333"/>
      <c r="I283" s="333"/>
      <c r="J283" s="333"/>
      <c r="K283" s="333"/>
      <c r="L283" s="333"/>
      <c r="M283" s="333"/>
      <c r="N283" s="333"/>
      <c r="O283" s="333"/>
      <c r="P283" s="333"/>
      <c r="Q283" s="333"/>
      <c r="R283" s="333"/>
      <c r="S283" s="333"/>
      <c r="T283" s="333"/>
      <c r="U283" s="333"/>
      <c r="V283" s="333"/>
    </row>
    <row r="284" spans="1:22">
      <c r="A284" s="333"/>
      <c r="B284" s="333"/>
      <c r="C284" s="333"/>
      <c r="D284" s="333"/>
      <c r="E284" s="333"/>
      <c r="F284" s="333"/>
      <c r="G284" s="333"/>
      <c r="H284" s="333"/>
      <c r="I284" s="333"/>
      <c r="J284" s="333"/>
      <c r="K284" s="333"/>
      <c r="L284" s="333"/>
      <c r="M284" s="333"/>
      <c r="N284" s="333"/>
      <c r="O284" s="333"/>
      <c r="P284" s="333"/>
      <c r="Q284" s="333"/>
      <c r="R284" s="333"/>
      <c r="S284" s="333"/>
      <c r="T284" s="333"/>
      <c r="U284" s="333"/>
      <c r="V284" s="333"/>
    </row>
    <row r="285" spans="1:22">
      <c r="A285" s="333"/>
      <c r="B285" s="333"/>
      <c r="C285" s="333"/>
      <c r="D285" s="333"/>
      <c r="E285" s="333"/>
      <c r="F285" s="333"/>
      <c r="G285" s="333"/>
      <c r="H285" s="333"/>
      <c r="I285" s="333"/>
      <c r="J285" s="333"/>
      <c r="K285" s="333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</row>
    <row r="286" spans="1:22">
      <c r="A286" s="333"/>
      <c r="B286" s="333"/>
      <c r="C286" s="333"/>
      <c r="D286" s="333"/>
      <c r="E286" s="333"/>
      <c r="F286" s="333"/>
      <c r="G286" s="333"/>
      <c r="H286" s="333"/>
      <c r="I286" s="333"/>
      <c r="J286" s="333"/>
      <c r="K286" s="333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</row>
    <row r="287" spans="1:22">
      <c r="A287" s="333"/>
      <c r="B287" s="333"/>
      <c r="C287" s="333"/>
      <c r="D287" s="333"/>
      <c r="E287" s="333"/>
      <c r="F287" s="333"/>
      <c r="G287" s="333"/>
      <c r="H287" s="333"/>
      <c r="I287" s="333"/>
      <c r="J287" s="333"/>
      <c r="K287" s="333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</row>
    <row r="288" spans="1:22">
      <c r="A288" s="333"/>
      <c r="B288" s="333"/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</row>
    <row r="289" spans="1:22">
      <c r="A289" s="333"/>
      <c r="B289" s="333"/>
      <c r="C289" s="333"/>
      <c r="D289" s="333"/>
      <c r="E289" s="333"/>
      <c r="F289" s="333"/>
      <c r="G289" s="333"/>
      <c r="H289" s="333"/>
      <c r="I289" s="333"/>
      <c r="J289" s="333"/>
      <c r="K289" s="333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</row>
    <row r="290" spans="1:22">
      <c r="A290" s="333"/>
      <c r="B290" s="333"/>
      <c r="C290" s="333"/>
      <c r="D290" s="333"/>
      <c r="E290" s="333"/>
      <c r="F290" s="333"/>
      <c r="G290" s="333"/>
      <c r="H290" s="333"/>
      <c r="I290" s="333"/>
      <c r="J290" s="333"/>
      <c r="K290" s="333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</row>
    <row r="291" spans="1:22">
      <c r="A291" s="333"/>
      <c r="B291" s="333"/>
      <c r="C291" s="333"/>
      <c r="D291" s="333"/>
      <c r="E291" s="333"/>
      <c r="F291" s="333"/>
      <c r="G291" s="333"/>
      <c r="H291" s="333"/>
      <c r="I291" s="333"/>
      <c r="J291" s="333"/>
      <c r="K291" s="333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</row>
    <row r="292" spans="1:22">
      <c r="A292" s="333"/>
      <c r="B292" s="333"/>
      <c r="C292" s="333"/>
      <c r="D292" s="333"/>
      <c r="E292" s="333"/>
      <c r="F292" s="333"/>
      <c r="G292" s="333"/>
      <c r="H292" s="333"/>
      <c r="I292" s="333"/>
      <c r="J292" s="333"/>
      <c r="K292" s="333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</row>
    <row r="293" spans="1:22">
      <c r="A293" s="333"/>
      <c r="B293" s="333"/>
      <c r="C293" s="333"/>
      <c r="D293" s="333"/>
      <c r="E293" s="333"/>
      <c r="F293" s="333"/>
      <c r="G293" s="333"/>
      <c r="H293" s="333"/>
      <c r="I293" s="333"/>
      <c r="J293" s="333"/>
      <c r="K293" s="333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</row>
    <row r="294" spans="1:22">
      <c r="A294" s="333"/>
      <c r="B294" s="333"/>
      <c r="C294" s="333"/>
      <c r="D294" s="333"/>
      <c r="E294" s="333"/>
      <c r="F294" s="333"/>
      <c r="G294" s="333"/>
      <c r="H294" s="333"/>
      <c r="I294" s="333"/>
      <c r="J294" s="333"/>
      <c r="K294" s="333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</row>
    <row r="295" spans="1:22">
      <c r="A295" s="333"/>
      <c r="B295" s="333"/>
      <c r="C295" s="333"/>
      <c r="D295" s="333"/>
      <c r="E295" s="333"/>
      <c r="F295" s="333"/>
      <c r="G295" s="333"/>
      <c r="H295" s="333"/>
      <c r="I295" s="333"/>
      <c r="J295" s="333"/>
      <c r="K295" s="333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</row>
    <row r="296" spans="1:22">
      <c r="A296" s="333"/>
      <c r="B296" s="333"/>
      <c r="C296" s="333"/>
      <c r="D296" s="333"/>
      <c r="E296" s="333"/>
      <c r="F296" s="333"/>
      <c r="G296" s="333"/>
      <c r="H296" s="333"/>
      <c r="I296" s="333"/>
      <c r="J296" s="333"/>
      <c r="K296" s="333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</row>
    <row r="297" spans="1:22">
      <c r="A297" s="333"/>
      <c r="B297" s="333"/>
      <c r="C297" s="333"/>
      <c r="D297" s="333"/>
      <c r="E297" s="333"/>
      <c r="F297" s="333"/>
      <c r="G297" s="333"/>
      <c r="H297" s="333"/>
      <c r="I297" s="333"/>
      <c r="J297" s="333"/>
      <c r="K297" s="333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</row>
    <row r="298" spans="1:22">
      <c r="A298" s="333"/>
      <c r="B298" s="333"/>
      <c r="C298" s="333"/>
      <c r="D298" s="333"/>
      <c r="E298" s="333"/>
      <c r="F298" s="333"/>
      <c r="G298" s="333"/>
      <c r="H298" s="333"/>
      <c r="I298" s="333"/>
      <c r="J298" s="333"/>
      <c r="K298" s="333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</row>
    <row r="299" spans="1:22">
      <c r="A299" s="333"/>
      <c r="B299" s="333"/>
      <c r="C299" s="333"/>
      <c r="D299" s="333"/>
      <c r="E299" s="333"/>
      <c r="F299" s="333"/>
      <c r="G299" s="333"/>
      <c r="H299" s="333"/>
      <c r="I299" s="333"/>
      <c r="J299" s="333"/>
      <c r="K299" s="333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</row>
    <row r="300" spans="1:22">
      <c r="A300" s="333"/>
      <c r="B300" s="333"/>
      <c r="C300" s="333"/>
      <c r="D300" s="333"/>
      <c r="E300" s="333"/>
      <c r="F300" s="333"/>
      <c r="G300" s="333"/>
      <c r="H300" s="333"/>
      <c r="I300" s="333"/>
      <c r="J300" s="333"/>
      <c r="K300" s="333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</row>
    <row r="301" spans="1:22">
      <c r="A301" s="333"/>
      <c r="B301" s="333"/>
      <c r="C301" s="333"/>
      <c r="D301" s="333"/>
      <c r="E301" s="333"/>
      <c r="F301" s="333"/>
      <c r="G301" s="333"/>
      <c r="H301" s="333"/>
      <c r="I301" s="333"/>
      <c r="J301" s="333"/>
      <c r="K301" s="333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</row>
    <row r="302" spans="1:22">
      <c r="A302" s="333"/>
      <c r="B302" s="333"/>
      <c r="C302" s="333"/>
      <c r="D302" s="333"/>
      <c r="E302" s="333"/>
      <c r="F302" s="333"/>
      <c r="G302" s="333"/>
      <c r="H302" s="333"/>
      <c r="I302" s="333"/>
      <c r="J302" s="333"/>
      <c r="K302" s="333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</row>
    <row r="303" spans="1:22">
      <c r="A303" s="333"/>
      <c r="B303" s="333"/>
      <c r="C303" s="333"/>
      <c r="D303" s="333"/>
      <c r="E303" s="333"/>
      <c r="F303" s="333"/>
      <c r="G303" s="333"/>
      <c r="H303" s="333"/>
      <c r="I303" s="333"/>
      <c r="J303" s="333"/>
      <c r="K303" s="333"/>
      <c r="L303" s="333"/>
      <c r="M303" s="333"/>
      <c r="N303" s="333"/>
      <c r="O303" s="333"/>
      <c r="P303" s="333"/>
      <c r="Q303" s="333"/>
      <c r="R303" s="333"/>
      <c r="S303" s="333"/>
      <c r="T303" s="333"/>
      <c r="U303" s="333"/>
      <c r="V303" s="333"/>
    </row>
    <row r="304" spans="1:22">
      <c r="A304" s="333"/>
      <c r="B304" s="333"/>
      <c r="C304" s="333"/>
      <c r="D304" s="333"/>
      <c r="E304" s="333"/>
      <c r="F304" s="333"/>
      <c r="G304" s="333"/>
      <c r="H304" s="333"/>
      <c r="I304" s="333"/>
      <c r="J304" s="333"/>
      <c r="K304" s="333"/>
      <c r="L304" s="333"/>
      <c r="M304" s="333"/>
      <c r="N304" s="333"/>
      <c r="O304" s="333"/>
      <c r="P304" s="333"/>
      <c r="Q304" s="333"/>
      <c r="R304" s="333"/>
      <c r="S304" s="333"/>
      <c r="T304" s="333"/>
      <c r="U304" s="333"/>
      <c r="V304" s="333"/>
    </row>
    <row r="305" spans="1:22">
      <c r="A305" s="333"/>
      <c r="B305" s="333"/>
      <c r="C305" s="333"/>
      <c r="D305" s="333"/>
      <c r="E305" s="333"/>
      <c r="F305" s="333"/>
      <c r="G305" s="333"/>
      <c r="H305" s="333"/>
      <c r="I305" s="333"/>
      <c r="J305" s="333"/>
      <c r="K305" s="333"/>
      <c r="L305" s="333"/>
      <c r="M305" s="333"/>
      <c r="N305" s="333"/>
      <c r="O305" s="333"/>
      <c r="P305" s="333"/>
      <c r="Q305" s="333"/>
      <c r="R305" s="333"/>
      <c r="S305" s="333"/>
      <c r="T305" s="333"/>
      <c r="U305" s="333"/>
      <c r="V305" s="333"/>
    </row>
    <row r="306" spans="1:22">
      <c r="A306" s="333"/>
      <c r="B306" s="333"/>
      <c r="C306" s="333"/>
      <c r="D306" s="333"/>
      <c r="E306" s="333"/>
      <c r="F306" s="333"/>
      <c r="G306" s="333"/>
      <c r="H306" s="333"/>
      <c r="I306" s="333"/>
      <c r="J306" s="333"/>
      <c r="K306" s="333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</row>
    <row r="307" spans="1:22">
      <c r="A307" s="333"/>
      <c r="B307" s="333"/>
      <c r="C307" s="333"/>
      <c r="D307" s="333"/>
      <c r="E307" s="333"/>
      <c r="F307" s="333"/>
      <c r="G307" s="333"/>
      <c r="H307" s="333"/>
      <c r="I307" s="333"/>
      <c r="J307" s="333"/>
      <c r="K307" s="333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</row>
    <row r="308" spans="1:22">
      <c r="A308" s="333"/>
      <c r="B308" s="333"/>
      <c r="C308" s="333"/>
      <c r="D308" s="333"/>
      <c r="E308" s="333"/>
      <c r="F308" s="333"/>
      <c r="G308" s="333"/>
      <c r="H308" s="333"/>
      <c r="I308" s="333"/>
      <c r="J308" s="333"/>
      <c r="K308" s="333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</row>
    <row r="309" spans="1:22">
      <c r="A309" s="333"/>
      <c r="B309" s="333"/>
      <c r="C309" s="333"/>
      <c r="D309" s="333"/>
      <c r="E309" s="333"/>
      <c r="F309" s="333"/>
      <c r="G309" s="333"/>
      <c r="H309" s="333"/>
      <c r="I309" s="333"/>
      <c r="J309" s="333"/>
      <c r="K309" s="333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</row>
    <row r="310" spans="1:22">
      <c r="A310" s="333"/>
      <c r="B310" s="333"/>
      <c r="C310" s="333"/>
      <c r="D310" s="333"/>
      <c r="E310" s="333"/>
      <c r="F310" s="333"/>
      <c r="G310" s="333"/>
      <c r="H310" s="333"/>
      <c r="I310" s="333"/>
      <c r="J310" s="333"/>
      <c r="K310" s="333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</row>
    <row r="311" spans="1:22">
      <c r="A311" s="333"/>
      <c r="B311" s="333"/>
      <c r="C311" s="333"/>
      <c r="D311" s="333"/>
      <c r="E311" s="333"/>
      <c r="F311" s="333"/>
      <c r="G311" s="333"/>
      <c r="H311" s="333"/>
      <c r="I311" s="333"/>
      <c r="J311" s="333"/>
      <c r="K311" s="333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</row>
    <row r="312" spans="1:22">
      <c r="A312" s="333"/>
      <c r="B312" s="333"/>
      <c r="C312" s="333"/>
      <c r="D312" s="333"/>
      <c r="E312" s="333"/>
      <c r="F312" s="333"/>
      <c r="G312" s="333"/>
      <c r="H312" s="333"/>
      <c r="I312" s="333"/>
      <c r="J312" s="333"/>
      <c r="K312" s="333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</row>
    <row r="313" spans="1:22">
      <c r="A313" s="333"/>
      <c r="B313" s="333"/>
      <c r="C313" s="333"/>
      <c r="D313" s="333"/>
      <c r="E313" s="333"/>
      <c r="F313" s="333"/>
      <c r="G313" s="333"/>
      <c r="H313" s="333"/>
      <c r="I313" s="333"/>
      <c r="J313" s="333"/>
      <c r="K313" s="333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</row>
    <row r="314" spans="1:22">
      <c r="A314" s="333"/>
      <c r="B314" s="333"/>
      <c r="C314" s="333"/>
      <c r="D314" s="333"/>
      <c r="E314" s="333"/>
      <c r="F314" s="333"/>
      <c r="G314" s="333"/>
      <c r="H314" s="333"/>
      <c r="I314" s="333"/>
      <c r="J314" s="333"/>
      <c r="K314" s="333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</row>
    <row r="315" spans="1:22">
      <c r="A315" s="333"/>
      <c r="B315" s="333"/>
      <c r="C315" s="333"/>
      <c r="D315" s="333"/>
      <c r="E315" s="333"/>
      <c r="F315" s="333"/>
      <c r="G315" s="333"/>
      <c r="H315" s="333"/>
      <c r="I315" s="333"/>
      <c r="J315" s="333"/>
      <c r="K315" s="333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</row>
    <row r="316" spans="1:22">
      <c r="A316" s="333"/>
      <c r="B316" s="333"/>
      <c r="C316" s="333"/>
      <c r="D316" s="333"/>
      <c r="E316" s="333"/>
      <c r="F316" s="333"/>
      <c r="G316" s="333"/>
      <c r="H316" s="333"/>
      <c r="I316" s="333"/>
      <c r="J316" s="333"/>
      <c r="K316" s="333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</row>
    <row r="317" spans="1:22">
      <c r="A317" s="333"/>
      <c r="B317" s="333"/>
      <c r="C317" s="333"/>
      <c r="D317" s="333"/>
      <c r="E317" s="333"/>
      <c r="F317" s="333"/>
      <c r="G317" s="333"/>
      <c r="H317" s="333"/>
      <c r="I317" s="333"/>
      <c r="J317" s="333"/>
      <c r="K317" s="333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</row>
    <row r="318" spans="1:22">
      <c r="A318" s="333"/>
      <c r="B318" s="333"/>
      <c r="C318" s="333"/>
      <c r="D318" s="333"/>
      <c r="E318" s="333"/>
      <c r="F318" s="333"/>
      <c r="G318" s="333"/>
      <c r="H318" s="333"/>
      <c r="I318" s="333"/>
      <c r="J318" s="333"/>
      <c r="K318" s="333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</row>
    <row r="319" spans="1:22">
      <c r="A319" s="333"/>
      <c r="B319" s="333"/>
      <c r="C319" s="333"/>
      <c r="D319" s="333"/>
      <c r="E319" s="333"/>
      <c r="F319" s="333"/>
      <c r="G319" s="333"/>
      <c r="H319" s="333"/>
      <c r="I319" s="333"/>
      <c r="J319" s="333"/>
      <c r="K319" s="333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</row>
    <row r="320" spans="1:22">
      <c r="A320" s="333"/>
      <c r="B320" s="333"/>
      <c r="C320" s="333"/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</row>
    <row r="321" spans="1:22">
      <c r="A321" s="333"/>
      <c r="B321" s="333"/>
      <c r="C321" s="333"/>
      <c r="D321" s="333"/>
      <c r="E321" s="333"/>
      <c r="F321" s="333"/>
      <c r="G321" s="333"/>
      <c r="H321" s="333"/>
      <c r="I321" s="333"/>
      <c r="J321" s="333"/>
      <c r="K321" s="333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</row>
    <row r="322" spans="1:22">
      <c r="A322" s="333"/>
      <c r="B322" s="333"/>
      <c r="C322" s="333"/>
      <c r="D322" s="333"/>
      <c r="E322" s="333"/>
      <c r="F322" s="333"/>
      <c r="G322" s="333"/>
      <c r="H322" s="333"/>
      <c r="I322" s="333"/>
      <c r="J322" s="333"/>
      <c r="K322" s="333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</row>
    <row r="323" spans="1:22">
      <c r="A323" s="333"/>
      <c r="B323" s="333"/>
      <c r="C323" s="333"/>
      <c r="D323" s="333"/>
      <c r="E323" s="333"/>
      <c r="F323" s="333"/>
      <c r="G323" s="333"/>
      <c r="H323" s="333"/>
      <c r="I323" s="333"/>
      <c r="J323" s="333"/>
      <c r="K323" s="333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</row>
    <row r="324" spans="1:22">
      <c r="A324" s="333"/>
      <c r="B324" s="333"/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  <c r="P324" s="333"/>
      <c r="Q324" s="333"/>
      <c r="R324" s="333"/>
      <c r="S324" s="333"/>
      <c r="T324" s="333"/>
      <c r="U324" s="333"/>
      <c r="V324" s="333"/>
    </row>
    <row r="325" spans="1:22">
      <c r="A325" s="333"/>
      <c r="B325" s="333"/>
      <c r="C325" s="333"/>
      <c r="D325" s="333"/>
      <c r="E325" s="333"/>
      <c r="F325" s="333"/>
      <c r="G325" s="333"/>
      <c r="H325" s="333"/>
      <c r="I325" s="333"/>
      <c r="J325" s="333"/>
      <c r="K325" s="333"/>
      <c r="L325" s="333"/>
      <c r="M325" s="333"/>
      <c r="N325" s="333"/>
      <c r="O325" s="333"/>
      <c r="P325" s="333"/>
      <c r="Q325" s="333"/>
      <c r="R325" s="333"/>
      <c r="S325" s="333"/>
      <c r="T325" s="333"/>
      <c r="U325" s="333"/>
      <c r="V325" s="333"/>
    </row>
    <row r="326" spans="1:22">
      <c r="A326" s="333"/>
      <c r="B326" s="333"/>
      <c r="C326" s="333"/>
      <c r="D326" s="333"/>
      <c r="E326" s="333"/>
      <c r="F326" s="333"/>
      <c r="G326" s="333"/>
      <c r="H326" s="333"/>
      <c r="I326" s="333"/>
      <c r="J326" s="333"/>
      <c r="K326" s="333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</row>
    <row r="327" spans="1:22">
      <c r="A327" s="333"/>
      <c r="B327" s="333"/>
      <c r="C327" s="333"/>
      <c r="D327" s="333"/>
      <c r="E327" s="333"/>
      <c r="F327" s="333"/>
      <c r="G327" s="333"/>
      <c r="H327" s="333"/>
      <c r="I327" s="333"/>
      <c r="J327" s="333"/>
      <c r="K327" s="333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</row>
    <row r="328" spans="1:22">
      <c r="A328" s="333"/>
      <c r="B328" s="333"/>
      <c r="C328" s="333"/>
      <c r="D328" s="333"/>
      <c r="E328" s="333"/>
      <c r="F328" s="333"/>
      <c r="G328" s="333"/>
      <c r="H328" s="333"/>
      <c r="I328" s="333"/>
      <c r="J328" s="333"/>
      <c r="K328" s="333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</row>
    <row r="329" spans="1:22">
      <c r="A329" s="333"/>
      <c r="B329" s="333"/>
      <c r="C329" s="333"/>
      <c r="D329" s="333"/>
      <c r="E329" s="333"/>
      <c r="F329" s="333"/>
      <c r="G329" s="333"/>
      <c r="H329" s="333"/>
      <c r="I329" s="333"/>
      <c r="J329" s="333"/>
      <c r="K329" s="333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</row>
    <row r="330" spans="1:22">
      <c r="A330" s="333"/>
      <c r="B330" s="333"/>
      <c r="C330" s="333"/>
      <c r="D330" s="333"/>
      <c r="E330" s="333"/>
      <c r="F330" s="333"/>
      <c r="G330" s="333"/>
      <c r="H330" s="333"/>
      <c r="I330" s="333"/>
      <c r="J330" s="333"/>
      <c r="K330" s="333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</row>
    <row r="331" spans="1:22">
      <c r="A331" s="333"/>
      <c r="B331" s="333"/>
      <c r="C331" s="333"/>
      <c r="D331" s="333"/>
      <c r="E331" s="333"/>
      <c r="F331" s="333"/>
      <c r="G331" s="333"/>
      <c r="H331" s="333"/>
      <c r="I331" s="333"/>
      <c r="J331" s="333"/>
      <c r="K331" s="333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</row>
    <row r="332" spans="1:22">
      <c r="A332" s="333"/>
      <c r="B332" s="333"/>
      <c r="C332" s="333"/>
      <c r="D332" s="333"/>
      <c r="E332" s="333"/>
      <c r="F332" s="333"/>
      <c r="G332" s="333"/>
      <c r="H332" s="333"/>
      <c r="I332" s="333"/>
      <c r="J332" s="333"/>
      <c r="K332" s="333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</row>
    <row r="333" spans="1:22">
      <c r="A333" s="333"/>
      <c r="B333" s="333"/>
      <c r="C333" s="333"/>
      <c r="D333" s="333"/>
      <c r="E333" s="333"/>
      <c r="F333" s="333"/>
      <c r="G333" s="333"/>
      <c r="H333" s="333"/>
      <c r="I333" s="333"/>
      <c r="J333" s="333"/>
      <c r="K333" s="333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</row>
    <row r="334" spans="1:22">
      <c r="A334" s="333"/>
      <c r="B334" s="333"/>
      <c r="C334" s="333"/>
      <c r="D334" s="333"/>
      <c r="E334" s="333"/>
      <c r="F334" s="333"/>
      <c r="G334" s="333"/>
      <c r="H334" s="333"/>
      <c r="I334" s="333"/>
      <c r="J334" s="333"/>
      <c r="K334" s="333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</row>
    <row r="335" spans="1:22">
      <c r="A335" s="333"/>
      <c r="B335" s="333"/>
      <c r="C335" s="333"/>
      <c r="D335" s="333"/>
      <c r="E335" s="333"/>
      <c r="F335" s="333"/>
      <c r="G335" s="333"/>
      <c r="H335" s="333"/>
      <c r="I335" s="333"/>
      <c r="J335" s="333"/>
      <c r="K335" s="333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</row>
    <row r="336" spans="1:22">
      <c r="A336" s="333"/>
      <c r="B336" s="333"/>
      <c r="C336" s="333"/>
      <c r="D336" s="333"/>
      <c r="E336" s="333"/>
      <c r="F336" s="333"/>
      <c r="G336" s="333"/>
      <c r="H336" s="333"/>
      <c r="I336" s="333"/>
      <c r="J336" s="333"/>
      <c r="K336" s="333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</row>
    <row r="337" spans="1:22">
      <c r="A337" s="333"/>
      <c r="B337" s="333"/>
      <c r="C337" s="333"/>
      <c r="D337" s="333"/>
      <c r="E337" s="333"/>
      <c r="F337" s="333"/>
      <c r="G337" s="333"/>
      <c r="H337" s="333"/>
      <c r="I337" s="333"/>
      <c r="J337" s="333"/>
      <c r="K337" s="333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</row>
    <row r="338" spans="1:22">
      <c r="A338" s="333"/>
      <c r="B338" s="333"/>
      <c r="C338" s="333"/>
      <c r="D338" s="333"/>
      <c r="E338" s="333"/>
      <c r="F338" s="333"/>
      <c r="G338" s="333"/>
      <c r="H338" s="333"/>
      <c r="I338" s="333"/>
      <c r="J338" s="333"/>
      <c r="K338" s="333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</row>
    <row r="339" spans="1:22">
      <c r="A339" s="333"/>
      <c r="B339" s="333"/>
      <c r="C339" s="333"/>
      <c r="D339" s="333"/>
      <c r="E339" s="333"/>
      <c r="F339" s="333"/>
      <c r="G339" s="333"/>
      <c r="H339" s="333"/>
      <c r="I339" s="333"/>
      <c r="J339" s="333"/>
      <c r="K339" s="333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</row>
    <row r="340" spans="1:22">
      <c r="A340" s="333"/>
      <c r="B340" s="333"/>
      <c r="C340" s="333"/>
      <c r="D340" s="333"/>
      <c r="E340" s="333"/>
      <c r="F340" s="333"/>
      <c r="G340" s="333"/>
      <c r="H340" s="333"/>
      <c r="I340" s="333"/>
      <c r="J340" s="333"/>
      <c r="K340" s="333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</row>
    <row r="341" spans="1:22">
      <c r="A341" s="333"/>
      <c r="B341" s="333"/>
      <c r="C341" s="333"/>
      <c r="D341" s="333"/>
      <c r="E341" s="333"/>
      <c r="F341" s="333"/>
      <c r="G341" s="333"/>
      <c r="H341" s="333"/>
      <c r="I341" s="333"/>
      <c r="J341" s="333"/>
      <c r="K341" s="333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</row>
    <row r="342" spans="1:22">
      <c r="A342" s="333"/>
      <c r="B342" s="333"/>
      <c r="C342" s="333"/>
      <c r="D342" s="333"/>
      <c r="E342" s="333"/>
      <c r="F342" s="333"/>
      <c r="G342" s="333"/>
      <c r="H342" s="333"/>
      <c r="I342" s="333"/>
      <c r="J342" s="333"/>
      <c r="K342" s="333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</row>
    <row r="343" spans="1:22">
      <c r="A343" s="333"/>
      <c r="B343" s="333"/>
      <c r="C343" s="333"/>
      <c r="D343" s="333"/>
      <c r="E343" s="333"/>
      <c r="F343" s="333"/>
      <c r="G343" s="333"/>
      <c r="H343" s="333"/>
      <c r="I343" s="333"/>
      <c r="J343" s="333"/>
      <c r="K343" s="333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</row>
    <row r="344" spans="1:22">
      <c r="A344" s="333"/>
      <c r="B344" s="333"/>
      <c r="C344" s="333"/>
      <c r="D344" s="333"/>
      <c r="E344" s="333"/>
      <c r="F344" s="333"/>
      <c r="G344" s="333"/>
      <c r="H344" s="333"/>
      <c r="I344" s="333"/>
      <c r="J344" s="333"/>
      <c r="K344" s="333"/>
      <c r="L344" s="333"/>
      <c r="M344" s="333"/>
      <c r="N344" s="333"/>
      <c r="O344" s="333"/>
      <c r="P344" s="333"/>
      <c r="Q344" s="333"/>
      <c r="R344" s="333"/>
      <c r="S344" s="333"/>
      <c r="T344" s="333"/>
      <c r="U344" s="333"/>
      <c r="V344" s="333"/>
    </row>
    <row r="345" spans="1:22">
      <c r="A345" s="333"/>
      <c r="B345" s="333"/>
      <c r="C345" s="333"/>
      <c r="D345" s="333"/>
      <c r="E345" s="333"/>
      <c r="F345" s="333"/>
      <c r="G345" s="333"/>
      <c r="H345" s="333"/>
      <c r="I345" s="333"/>
      <c r="J345" s="333"/>
      <c r="K345" s="333"/>
      <c r="L345" s="333"/>
      <c r="M345" s="333"/>
      <c r="N345" s="333"/>
      <c r="O345" s="333"/>
      <c r="P345" s="333"/>
      <c r="Q345" s="333"/>
      <c r="R345" s="333"/>
      <c r="S345" s="333"/>
      <c r="T345" s="333"/>
      <c r="U345" s="333"/>
      <c r="V345" s="333"/>
    </row>
    <row r="346" spans="1:22">
      <c r="A346" s="333"/>
      <c r="B346" s="333"/>
      <c r="C346" s="333"/>
      <c r="D346" s="333"/>
      <c r="E346" s="333"/>
      <c r="F346" s="333"/>
      <c r="G346" s="333"/>
      <c r="H346" s="333"/>
      <c r="I346" s="333"/>
      <c r="J346" s="333"/>
      <c r="K346" s="333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</row>
    <row r="347" spans="1:22">
      <c r="A347" s="333"/>
      <c r="B347" s="333"/>
      <c r="C347" s="333"/>
      <c r="D347" s="333"/>
      <c r="E347" s="333"/>
      <c r="F347" s="333"/>
      <c r="G347" s="333"/>
      <c r="H347" s="333"/>
      <c r="I347" s="333"/>
      <c r="J347" s="333"/>
      <c r="K347" s="333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</row>
    <row r="348" spans="1:22">
      <c r="A348" s="333"/>
      <c r="B348" s="333"/>
      <c r="C348" s="33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</row>
    <row r="349" spans="1:22">
      <c r="A349" s="333"/>
      <c r="B349" s="333"/>
      <c r="C349" s="333"/>
      <c r="D349" s="333"/>
      <c r="E349" s="333"/>
      <c r="F349" s="333"/>
      <c r="G349" s="333"/>
      <c r="H349" s="333"/>
      <c r="I349" s="333"/>
      <c r="J349" s="333"/>
      <c r="K349" s="333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</row>
    <row r="350" spans="1:22">
      <c r="A350" s="333"/>
      <c r="B350" s="333"/>
      <c r="C350" s="333"/>
      <c r="D350" s="333"/>
      <c r="E350" s="333"/>
      <c r="F350" s="333"/>
      <c r="G350" s="333"/>
      <c r="H350" s="333"/>
      <c r="I350" s="333"/>
      <c r="J350" s="333"/>
      <c r="K350" s="333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</row>
    <row r="351" spans="1:22">
      <c r="A351" s="333"/>
      <c r="B351" s="333"/>
      <c r="C351" s="333"/>
      <c r="D351" s="333"/>
      <c r="E351" s="333"/>
      <c r="F351" s="333"/>
      <c r="G351" s="333"/>
      <c r="H351" s="333"/>
      <c r="I351" s="333"/>
      <c r="J351" s="333"/>
      <c r="K351" s="333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</row>
    <row r="352" spans="1:22">
      <c r="A352" s="333"/>
      <c r="B352" s="333"/>
      <c r="C352" s="333"/>
      <c r="D352" s="333"/>
      <c r="E352" s="333"/>
      <c r="F352" s="333"/>
      <c r="G352" s="333"/>
      <c r="H352" s="333"/>
      <c r="I352" s="333"/>
      <c r="J352" s="333"/>
      <c r="K352" s="333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</row>
    <row r="353" spans="1:22">
      <c r="A353" s="333"/>
      <c r="B353" s="333"/>
      <c r="C353" s="333"/>
      <c r="D353" s="333"/>
      <c r="E353" s="333"/>
      <c r="F353" s="333"/>
      <c r="G353" s="333"/>
      <c r="H353" s="333"/>
      <c r="I353" s="333"/>
      <c r="J353" s="333"/>
      <c r="K353" s="333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</row>
    <row r="354" spans="1:22">
      <c r="A354" s="333"/>
      <c r="B354" s="333"/>
      <c r="C354" s="333"/>
      <c r="D354" s="333"/>
      <c r="E354" s="333"/>
      <c r="F354" s="333"/>
      <c r="G354" s="333"/>
      <c r="H354" s="333"/>
      <c r="I354" s="333"/>
      <c r="J354" s="333"/>
      <c r="K354" s="333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</row>
    <row r="355" spans="1:22">
      <c r="A355" s="333"/>
      <c r="B355" s="333"/>
      <c r="C355" s="333"/>
      <c r="D355" s="333"/>
      <c r="E355" s="333"/>
      <c r="F355" s="333"/>
      <c r="G355" s="333"/>
      <c r="H355" s="333"/>
      <c r="I355" s="333"/>
      <c r="J355" s="333"/>
      <c r="K355" s="333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</row>
    <row r="356" spans="1:22">
      <c r="A356" s="333"/>
      <c r="B356" s="333"/>
      <c r="C356" s="333"/>
      <c r="D356" s="333"/>
      <c r="E356" s="333"/>
      <c r="F356" s="333"/>
      <c r="G356" s="333"/>
      <c r="H356" s="333"/>
      <c r="I356" s="333"/>
      <c r="J356" s="333"/>
      <c r="K356" s="333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</row>
    <row r="357" spans="1:22">
      <c r="A357" s="333"/>
      <c r="B357" s="333"/>
      <c r="C357" s="333"/>
      <c r="D357" s="333"/>
      <c r="E357" s="333"/>
      <c r="F357" s="333"/>
      <c r="G357" s="333"/>
      <c r="H357" s="333"/>
      <c r="I357" s="333"/>
      <c r="J357" s="333"/>
      <c r="K357" s="333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</row>
    <row r="358" spans="1:22">
      <c r="A358" s="333"/>
      <c r="B358" s="333"/>
      <c r="C358" s="333"/>
      <c r="D358" s="333"/>
      <c r="E358" s="333"/>
      <c r="F358" s="333"/>
      <c r="G358" s="333"/>
      <c r="H358" s="333"/>
      <c r="I358" s="333"/>
      <c r="J358" s="333"/>
      <c r="K358" s="333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</row>
    <row r="359" spans="1:22">
      <c r="A359" s="333"/>
      <c r="B359" s="333"/>
      <c r="C359" s="333"/>
      <c r="D359" s="333"/>
      <c r="E359" s="333"/>
      <c r="F359" s="333"/>
      <c r="G359" s="333"/>
      <c r="H359" s="333"/>
      <c r="I359" s="333"/>
      <c r="J359" s="333"/>
      <c r="K359" s="333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</row>
    <row r="360" spans="1:22">
      <c r="A360" s="333"/>
      <c r="B360" s="333"/>
      <c r="C360" s="333"/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</row>
    <row r="361" spans="1:22">
      <c r="A361" s="333"/>
      <c r="B361" s="333"/>
      <c r="C361" s="333"/>
      <c r="D361" s="333"/>
      <c r="E361" s="333"/>
      <c r="F361" s="333"/>
      <c r="G361" s="333"/>
      <c r="H361" s="333"/>
      <c r="I361" s="333"/>
      <c r="J361" s="333"/>
      <c r="K361" s="333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</row>
    <row r="362" spans="1:22">
      <c r="A362" s="333"/>
      <c r="B362" s="333"/>
      <c r="C362" s="333"/>
      <c r="D362" s="333"/>
      <c r="E362" s="333"/>
      <c r="F362" s="333"/>
      <c r="G362" s="333"/>
      <c r="H362" s="333"/>
      <c r="I362" s="333"/>
      <c r="J362" s="333"/>
      <c r="K362" s="333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</row>
    <row r="363" spans="1:22">
      <c r="A363" s="333"/>
      <c r="B363" s="333"/>
      <c r="C363" s="333"/>
      <c r="D363" s="333"/>
      <c r="E363" s="333"/>
      <c r="F363" s="333"/>
      <c r="G363" s="333"/>
      <c r="H363" s="333"/>
      <c r="I363" s="333"/>
      <c r="J363" s="333"/>
      <c r="K363" s="333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</row>
    <row r="364" spans="1:22">
      <c r="A364" s="333"/>
      <c r="B364" s="333"/>
      <c r="C364" s="333"/>
      <c r="D364" s="333"/>
      <c r="E364" s="333"/>
      <c r="F364" s="333"/>
      <c r="G364" s="333"/>
      <c r="H364" s="333"/>
      <c r="I364" s="333"/>
      <c r="J364" s="333"/>
      <c r="K364" s="333"/>
      <c r="L364" s="333"/>
      <c r="M364" s="333"/>
      <c r="N364" s="333"/>
      <c r="O364" s="333"/>
      <c r="P364" s="333"/>
      <c r="Q364" s="333"/>
      <c r="R364" s="333"/>
      <c r="S364" s="333"/>
      <c r="T364" s="333"/>
      <c r="U364" s="333"/>
      <c r="V364" s="333"/>
    </row>
    <row r="365" spans="1:22">
      <c r="A365" s="333"/>
      <c r="B365" s="333"/>
      <c r="C365" s="333"/>
      <c r="D365" s="333"/>
      <c r="E365" s="333"/>
      <c r="F365" s="333"/>
      <c r="G365" s="333"/>
      <c r="H365" s="333"/>
      <c r="I365" s="333"/>
      <c r="J365" s="333"/>
      <c r="K365" s="333"/>
      <c r="L365" s="333"/>
      <c r="M365" s="333"/>
      <c r="N365" s="333"/>
      <c r="O365" s="333"/>
      <c r="P365" s="333"/>
      <c r="Q365" s="333"/>
      <c r="R365" s="333"/>
      <c r="S365" s="333"/>
      <c r="T365" s="333"/>
      <c r="U365" s="333"/>
      <c r="V365" s="333"/>
    </row>
    <row r="366" spans="1:22">
      <c r="A366" s="333"/>
      <c r="B366" s="333"/>
      <c r="C366" s="333"/>
      <c r="D366" s="333"/>
      <c r="E366" s="333"/>
      <c r="F366" s="333"/>
      <c r="G366" s="333"/>
      <c r="H366" s="333"/>
      <c r="I366" s="333"/>
      <c r="J366" s="333"/>
      <c r="K366" s="333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</row>
    <row r="367" spans="1:22">
      <c r="A367" s="333"/>
      <c r="B367" s="333"/>
      <c r="C367" s="333"/>
      <c r="D367" s="333"/>
      <c r="E367" s="333"/>
      <c r="F367" s="333"/>
      <c r="G367" s="333"/>
      <c r="H367" s="333"/>
      <c r="I367" s="333"/>
      <c r="J367" s="333"/>
      <c r="K367" s="333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</row>
    <row r="368" spans="1:22">
      <c r="A368" s="333"/>
      <c r="B368" s="333"/>
      <c r="C368" s="333"/>
      <c r="D368" s="333"/>
      <c r="E368" s="333"/>
      <c r="F368" s="333"/>
      <c r="G368" s="333"/>
      <c r="H368" s="333"/>
      <c r="I368" s="333"/>
      <c r="J368" s="333"/>
      <c r="K368" s="333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</row>
    <row r="369" spans="1:22">
      <c r="A369" s="333"/>
      <c r="B369" s="333"/>
      <c r="C369" s="333"/>
      <c r="D369" s="333"/>
      <c r="E369" s="333"/>
      <c r="F369" s="333"/>
      <c r="G369" s="333"/>
      <c r="H369" s="333"/>
      <c r="I369" s="333"/>
      <c r="J369" s="333"/>
      <c r="K369" s="333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</row>
    <row r="370" spans="1:22">
      <c r="A370" s="333"/>
      <c r="B370" s="333"/>
      <c r="C370" s="333"/>
      <c r="D370" s="333"/>
      <c r="E370" s="333"/>
      <c r="F370" s="333"/>
      <c r="G370" s="333"/>
      <c r="H370" s="333"/>
      <c r="I370" s="333"/>
      <c r="J370" s="333"/>
      <c r="K370" s="333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</row>
    <row r="371" spans="1:22">
      <c r="A371" s="333"/>
      <c r="B371" s="333"/>
      <c r="C371" s="333"/>
      <c r="D371" s="333"/>
      <c r="E371" s="333"/>
      <c r="F371" s="333"/>
      <c r="G371" s="333"/>
      <c r="H371" s="333"/>
      <c r="I371" s="333"/>
      <c r="J371" s="333"/>
      <c r="K371" s="333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</row>
    <row r="372" spans="1:22">
      <c r="A372" s="333"/>
      <c r="B372" s="333"/>
      <c r="C372" s="333"/>
      <c r="D372" s="333"/>
      <c r="E372" s="333"/>
      <c r="F372" s="333"/>
      <c r="G372" s="333"/>
      <c r="H372" s="333"/>
      <c r="I372" s="333"/>
      <c r="J372" s="333"/>
      <c r="K372" s="333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</row>
    <row r="373" spans="1:22">
      <c r="A373" s="333"/>
      <c r="B373" s="333"/>
      <c r="C373" s="333"/>
      <c r="D373" s="333"/>
      <c r="E373" s="333"/>
      <c r="F373" s="333"/>
      <c r="G373" s="333"/>
      <c r="H373" s="333"/>
      <c r="I373" s="333"/>
      <c r="J373" s="333"/>
      <c r="K373" s="333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</row>
    <row r="374" spans="1:22">
      <c r="A374" s="333"/>
      <c r="B374" s="333"/>
      <c r="C374" s="333"/>
      <c r="D374" s="333"/>
      <c r="E374" s="333"/>
      <c r="F374" s="333"/>
      <c r="G374" s="333"/>
      <c r="H374" s="333"/>
      <c r="I374" s="333"/>
      <c r="J374" s="333"/>
      <c r="K374" s="333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</row>
    <row r="375" spans="1:22">
      <c r="A375" s="333"/>
      <c r="B375" s="333"/>
      <c r="C375" s="333"/>
      <c r="D375" s="333"/>
      <c r="E375" s="333"/>
      <c r="F375" s="333"/>
      <c r="G375" s="333"/>
      <c r="H375" s="333"/>
      <c r="I375" s="333"/>
      <c r="J375" s="333"/>
      <c r="K375" s="333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</row>
    <row r="376" spans="1:22">
      <c r="A376" s="333"/>
      <c r="B376" s="333"/>
      <c r="C376" s="333"/>
      <c r="D376" s="333"/>
      <c r="E376" s="333"/>
      <c r="F376" s="333"/>
      <c r="G376" s="333"/>
      <c r="H376" s="333"/>
      <c r="I376" s="333"/>
      <c r="J376" s="333"/>
      <c r="K376" s="333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</row>
    <row r="377" spans="1:22">
      <c r="A377" s="333"/>
      <c r="B377" s="333"/>
      <c r="C377" s="333"/>
      <c r="D377" s="333"/>
      <c r="E377" s="333"/>
      <c r="F377" s="333"/>
      <c r="G377" s="333"/>
      <c r="H377" s="333"/>
      <c r="I377" s="333"/>
      <c r="J377" s="333"/>
      <c r="K377" s="333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</row>
    <row r="378" spans="1:22">
      <c r="A378" s="333"/>
      <c r="B378" s="333"/>
      <c r="C378" s="333"/>
      <c r="D378" s="333"/>
      <c r="E378" s="333"/>
      <c r="F378" s="333"/>
      <c r="G378" s="333"/>
      <c r="H378" s="333"/>
      <c r="I378" s="333"/>
      <c r="J378" s="333"/>
      <c r="K378" s="333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</row>
    <row r="379" spans="1:22">
      <c r="A379" s="333"/>
      <c r="B379" s="333"/>
      <c r="C379" s="333"/>
      <c r="D379" s="333"/>
      <c r="E379" s="333"/>
      <c r="F379" s="333"/>
      <c r="G379" s="333"/>
      <c r="H379" s="333"/>
      <c r="I379" s="333"/>
      <c r="J379" s="333"/>
      <c r="K379" s="333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</row>
    <row r="380" spans="1:22">
      <c r="A380" s="333"/>
      <c r="B380" s="333"/>
      <c r="C380" s="333"/>
      <c r="D380" s="333"/>
      <c r="E380" s="333"/>
      <c r="F380" s="333"/>
      <c r="G380" s="333"/>
      <c r="H380" s="333"/>
      <c r="I380" s="333"/>
      <c r="J380" s="333"/>
      <c r="K380" s="333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</row>
    <row r="381" spans="1:22">
      <c r="A381" s="333"/>
      <c r="B381" s="333"/>
      <c r="C381" s="333"/>
      <c r="D381" s="333"/>
      <c r="E381" s="333"/>
      <c r="F381" s="333"/>
      <c r="G381" s="333"/>
      <c r="H381" s="333"/>
      <c r="I381" s="333"/>
      <c r="J381" s="333"/>
      <c r="K381" s="333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</row>
    <row r="382" spans="1:22">
      <c r="A382" s="333"/>
      <c r="B382" s="333"/>
      <c r="C382" s="333"/>
      <c r="D382" s="333"/>
      <c r="E382" s="333"/>
      <c r="F382" s="333"/>
      <c r="G382" s="333"/>
      <c r="H382" s="333"/>
      <c r="I382" s="333"/>
      <c r="J382" s="333"/>
      <c r="K382" s="333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</row>
    <row r="383" spans="1:22">
      <c r="A383" s="333"/>
      <c r="B383" s="333"/>
      <c r="C383" s="333"/>
      <c r="D383" s="333"/>
      <c r="E383" s="333"/>
      <c r="F383" s="333"/>
      <c r="G383" s="333"/>
      <c r="H383" s="333"/>
      <c r="I383" s="333"/>
      <c r="J383" s="333"/>
      <c r="K383" s="333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</row>
    <row r="384" spans="1:22">
      <c r="A384" s="333"/>
      <c r="B384" s="333"/>
      <c r="C384" s="333"/>
      <c r="D384" s="333"/>
      <c r="E384" s="333"/>
      <c r="F384" s="333"/>
      <c r="G384" s="333"/>
      <c r="H384" s="333"/>
      <c r="I384" s="333"/>
      <c r="J384" s="333"/>
      <c r="K384" s="333"/>
      <c r="L384" s="333"/>
      <c r="M384" s="333"/>
      <c r="N384" s="333"/>
      <c r="O384" s="333"/>
      <c r="P384" s="333"/>
      <c r="Q384" s="333"/>
      <c r="R384" s="333"/>
      <c r="S384" s="333"/>
      <c r="T384" s="333"/>
      <c r="U384" s="333"/>
      <c r="V384" s="333"/>
    </row>
    <row r="385" spans="1:22">
      <c r="A385" s="333"/>
      <c r="B385" s="333"/>
      <c r="C385" s="333"/>
      <c r="D385" s="333"/>
      <c r="E385" s="333"/>
      <c r="F385" s="333"/>
      <c r="G385" s="333"/>
      <c r="H385" s="333"/>
      <c r="I385" s="333"/>
      <c r="J385" s="333"/>
      <c r="K385" s="333"/>
      <c r="L385" s="333"/>
      <c r="M385" s="333"/>
      <c r="N385" s="333"/>
      <c r="O385" s="333"/>
      <c r="P385" s="333"/>
      <c r="Q385" s="333"/>
      <c r="R385" s="333"/>
      <c r="S385" s="333"/>
      <c r="T385" s="333"/>
      <c r="U385" s="333"/>
      <c r="V385" s="333"/>
    </row>
    <row r="386" spans="1:22">
      <c r="A386" s="333"/>
      <c r="B386" s="333"/>
      <c r="C386" s="333"/>
      <c r="D386" s="333"/>
      <c r="E386" s="333"/>
      <c r="F386" s="333"/>
      <c r="G386" s="333"/>
      <c r="H386" s="333"/>
      <c r="I386" s="333"/>
      <c r="J386" s="333"/>
      <c r="K386" s="333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</row>
    <row r="387" spans="1:22">
      <c r="A387" s="333"/>
      <c r="B387" s="333"/>
      <c r="C387" s="333"/>
      <c r="D387" s="333"/>
      <c r="E387" s="333"/>
      <c r="F387" s="333"/>
      <c r="G387" s="333"/>
      <c r="H387" s="333"/>
      <c r="I387" s="333"/>
      <c r="J387" s="333"/>
      <c r="K387" s="333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</row>
    <row r="388" spans="1:22">
      <c r="A388" s="333"/>
      <c r="B388" s="333"/>
      <c r="C388" s="333"/>
      <c r="D388" s="333"/>
      <c r="E388" s="333"/>
      <c r="F388" s="333"/>
      <c r="G388" s="333"/>
      <c r="H388" s="333"/>
      <c r="I388" s="333"/>
      <c r="J388" s="333"/>
      <c r="K388" s="333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</row>
    <row r="389" spans="1:22">
      <c r="A389" s="333"/>
      <c r="B389" s="333"/>
      <c r="C389" s="333"/>
      <c r="D389" s="333"/>
      <c r="E389" s="333"/>
      <c r="F389" s="333"/>
      <c r="G389" s="333"/>
      <c r="H389" s="333"/>
      <c r="I389" s="333"/>
      <c r="J389" s="333"/>
      <c r="K389" s="333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</row>
    <row r="390" spans="1:22">
      <c r="A390" s="333"/>
      <c r="B390" s="333"/>
      <c r="C390" s="333"/>
      <c r="D390" s="333"/>
      <c r="E390" s="333"/>
      <c r="F390" s="333"/>
      <c r="G390" s="333"/>
      <c r="H390" s="333"/>
      <c r="I390" s="333"/>
      <c r="J390" s="333"/>
      <c r="K390" s="333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</row>
    <row r="391" spans="1:22">
      <c r="A391" s="333"/>
      <c r="B391" s="333"/>
      <c r="C391" s="333"/>
      <c r="D391" s="333"/>
      <c r="E391" s="333"/>
      <c r="F391" s="333"/>
      <c r="G391" s="333"/>
      <c r="H391" s="333"/>
      <c r="I391" s="333"/>
      <c r="J391" s="333"/>
      <c r="K391" s="333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</row>
    <row r="392" spans="1:22">
      <c r="A392" s="333"/>
      <c r="B392" s="333"/>
      <c r="C392" s="333"/>
      <c r="D392" s="333"/>
      <c r="E392" s="333"/>
      <c r="F392" s="333"/>
      <c r="G392" s="333"/>
      <c r="H392" s="333"/>
      <c r="I392" s="333"/>
      <c r="J392" s="333"/>
      <c r="K392" s="333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</row>
    <row r="393" spans="1:22">
      <c r="A393" s="333"/>
      <c r="B393" s="333"/>
      <c r="C393" s="333"/>
      <c r="D393" s="333"/>
      <c r="E393" s="333"/>
      <c r="F393" s="333"/>
      <c r="G393" s="333"/>
      <c r="H393" s="333"/>
      <c r="I393" s="333"/>
      <c r="J393" s="333"/>
      <c r="K393" s="333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</row>
    <row r="394" spans="1:22">
      <c r="A394" s="333"/>
      <c r="B394" s="333"/>
      <c r="C394" s="333"/>
      <c r="D394" s="333"/>
      <c r="E394" s="333"/>
      <c r="F394" s="333"/>
      <c r="G394" s="333"/>
      <c r="H394" s="333"/>
      <c r="I394" s="333"/>
      <c r="J394" s="333"/>
      <c r="K394" s="333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</row>
    <row r="395" spans="1:22">
      <c r="A395" s="333"/>
      <c r="B395" s="333"/>
      <c r="C395" s="333"/>
      <c r="D395" s="333"/>
      <c r="E395" s="333"/>
      <c r="F395" s="333"/>
      <c r="G395" s="333"/>
      <c r="H395" s="333"/>
      <c r="I395" s="333"/>
      <c r="J395" s="333"/>
      <c r="K395" s="333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</row>
    <row r="396" spans="1:22">
      <c r="A396" s="333"/>
      <c r="B396" s="333"/>
      <c r="C396" s="333"/>
      <c r="D396" s="333"/>
      <c r="E396" s="333"/>
      <c r="F396" s="333"/>
      <c r="G396" s="333"/>
      <c r="H396" s="333"/>
      <c r="I396" s="333"/>
      <c r="J396" s="333"/>
      <c r="K396" s="333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</row>
    <row r="397" spans="1:22">
      <c r="A397" s="333"/>
      <c r="B397" s="333"/>
      <c r="C397" s="333"/>
      <c r="D397" s="333"/>
      <c r="E397" s="333"/>
      <c r="F397" s="333"/>
      <c r="G397" s="333"/>
      <c r="H397" s="333"/>
      <c r="I397" s="333"/>
      <c r="J397" s="333"/>
      <c r="K397" s="333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</row>
    <row r="398" spans="1:22">
      <c r="A398" s="333"/>
      <c r="B398" s="333"/>
      <c r="C398" s="333"/>
      <c r="D398" s="333"/>
      <c r="E398" s="333"/>
      <c r="F398" s="333"/>
      <c r="G398" s="333"/>
      <c r="H398" s="333"/>
      <c r="I398" s="333"/>
      <c r="J398" s="333"/>
      <c r="K398" s="333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</row>
    <row r="399" spans="1:22">
      <c r="A399" s="333"/>
      <c r="B399" s="333"/>
      <c r="C399" s="333"/>
      <c r="D399" s="333"/>
      <c r="E399" s="333"/>
      <c r="F399" s="333"/>
      <c r="G399" s="333"/>
      <c r="H399" s="333"/>
      <c r="I399" s="333"/>
      <c r="J399" s="333"/>
      <c r="K399" s="333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</row>
    <row r="400" spans="1:22">
      <c r="A400" s="333"/>
      <c r="B400" s="333"/>
      <c r="C400" s="333"/>
      <c r="D400" s="333"/>
      <c r="E400" s="333"/>
      <c r="F400" s="333"/>
      <c r="G400" s="333"/>
      <c r="H400" s="333"/>
      <c r="I400" s="333"/>
      <c r="J400" s="333"/>
      <c r="K400" s="333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</row>
    <row r="401" spans="1:22">
      <c r="A401" s="333"/>
      <c r="B401" s="333"/>
      <c r="C401" s="333"/>
      <c r="D401" s="333"/>
      <c r="E401" s="333"/>
      <c r="F401" s="333"/>
      <c r="G401" s="333"/>
      <c r="H401" s="333"/>
      <c r="I401" s="333"/>
      <c r="J401" s="333"/>
      <c r="K401" s="333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</row>
    <row r="402" spans="1:22">
      <c r="A402" s="333"/>
      <c r="B402" s="333"/>
      <c r="C402" s="333"/>
      <c r="D402" s="333"/>
      <c r="E402" s="333"/>
      <c r="F402" s="333"/>
      <c r="G402" s="333"/>
      <c r="H402" s="333"/>
      <c r="I402" s="333"/>
      <c r="J402" s="333"/>
      <c r="K402" s="333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</row>
    <row r="403" spans="1:22">
      <c r="A403" s="333"/>
      <c r="B403" s="333"/>
      <c r="C403" s="333"/>
      <c r="D403" s="333"/>
      <c r="E403" s="333"/>
      <c r="F403" s="333"/>
      <c r="G403" s="333"/>
      <c r="H403" s="333"/>
      <c r="I403" s="333"/>
      <c r="J403" s="333"/>
      <c r="K403" s="333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</row>
    <row r="404" spans="1:22">
      <c r="A404" s="333"/>
      <c r="B404" s="333"/>
      <c r="C404" s="333"/>
      <c r="D404" s="333"/>
      <c r="E404" s="333"/>
      <c r="F404" s="333"/>
      <c r="G404" s="333"/>
      <c r="H404" s="333"/>
      <c r="I404" s="333"/>
      <c r="J404" s="333"/>
      <c r="K404" s="333"/>
      <c r="L404" s="333"/>
      <c r="M404" s="333"/>
      <c r="N404" s="333"/>
      <c r="O404" s="333"/>
      <c r="P404" s="333"/>
      <c r="Q404" s="333"/>
      <c r="R404" s="333"/>
      <c r="S404" s="333"/>
      <c r="T404" s="333"/>
      <c r="U404" s="333"/>
      <c r="V404" s="333"/>
    </row>
    <row r="405" spans="1:22">
      <c r="A405" s="333"/>
      <c r="B405" s="333"/>
      <c r="C405" s="333"/>
      <c r="D405" s="333"/>
      <c r="E405" s="333"/>
      <c r="F405" s="333"/>
      <c r="G405" s="333"/>
      <c r="H405" s="333"/>
      <c r="I405" s="333"/>
      <c r="J405" s="333"/>
      <c r="K405" s="333"/>
      <c r="L405" s="333"/>
      <c r="M405" s="333"/>
      <c r="N405" s="333"/>
      <c r="O405" s="333"/>
      <c r="P405" s="333"/>
      <c r="Q405" s="333"/>
      <c r="R405" s="333"/>
      <c r="S405" s="333"/>
      <c r="T405" s="333"/>
      <c r="U405" s="333"/>
      <c r="V405" s="333"/>
    </row>
    <row r="406" spans="1:22">
      <c r="A406" s="333"/>
      <c r="B406" s="333"/>
      <c r="C406" s="333"/>
      <c r="D406" s="333"/>
      <c r="E406" s="333"/>
      <c r="F406" s="333"/>
      <c r="G406" s="333"/>
      <c r="H406" s="333"/>
      <c r="I406" s="333"/>
      <c r="J406" s="333"/>
      <c r="K406" s="333"/>
      <c r="L406" s="333"/>
      <c r="M406" s="333"/>
      <c r="N406" s="333"/>
      <c r="O406" s="333"/>
      <c r="P406" s="333"/>
      <c r="Q406" s="333"/>
      <c r="R406" s="333"/>
      <c r="S406" s="333"/>
      <c r="T406" s="333"/>
      <c r="U406" s="333"/>
      <c r="V406" s="333"/>
    </row>
    <row r="407" spans="1:22">
      <c r="A407" s="333"/>
      <c r="B407" s="333"/>
      <c r="C407" s="333"/>
      <c r="D407" s="333"/>
      <c r="E407" s="333"/>
      <c r="F407" s="333"/>
      <c r="G407" s="333"/>
      <c r="H407" s="333"/>
      <c r="I407" s="333"/>
      <c r="J407" s="333"/>
      <c r="K407" s="333"/>
      <c r="L407" s="333"/>
      <c r="M407" s="333"/>
      <c r="N407" s="333"/>
      <c r="O407" s="333"/>
      <c r="P407" s="333"/>
      <c r="Q407" s="333"/>
      <c r="R407" s="333"/>
      <c r="S407" s="333"/>
      <c r="T407" s="333"/>
      <c r="U407" s="333"/>
      <c r="V407" s="333"/>
    </row>
    <row r="408" spans="1:22">
      <c r="A408" s="333"/>
      <c r="B408" s="333"/>
      <c r="C408" s="333"/>
      <c r="D408" s="333"/>
      <c r="E408" s="333"/>
      <c r="F408" s="333"/>
      <c r="G408" s="333"/>
      <c r="H408" s="333"/>
      <c r="I408" s="333"/>
      <c r="J408" s="333"/>
      <c r="K408" s="333"/>
      <c r="L408" s="333"/>
      <c r="M408" s="333"/>
      <c r="N408" s="333"/>
      <c r="O408" s="333"/>
      <c r="P408" s="333"/>
      <c r="Q408" s="333"/>
      <c r="R408" s="333"/>
      <c r="S408" s="333"/>
      <c r="T408" s="333"/>
      <c r="U408" s="333"/>
      <c r="V408" s="333"/>
    </row>
    <row r="409" spans="1:22">
      <c r="A409" s="333"/>
      <c r="B409" s="333"/>
      <c r="C409" s="333"/>
      <c r="D409" s="333"/>
      <c r="E409" s="333"/>
      <c r="F409" s="333"/>
      <c r="G409" s="333"/>
      <c r="H409" s="333"/>
      <c r="I409" s="333"/>
      <c r="J409" s="333"/>
      <c r="K409" s="333"/>
      <c r="L409" s="333"/>
      <c r="M409" s="333"/>
      <c r="N409" s="333"/>
      <c r="O409" s="333"/>
      <c r="P409" s="333"/>
      <c r="Q409" s="333"/>
      <c r="R409" s="333"/>
      <c r="S409" s="333"/>
      <c r="T409" s="333"/>
      <c r="U409" s="333"/>
      <c r="V409" s="333"/>
    </row>
    <row r="410" spans="1:22">
      <c r="A410" s="333"/>
      <c r="B410" s="333"/>
      <c r="C410" s="333"/>
      <c r="D410" s="333"/>
      <c r="E410" s="333"/>
      <c r="F410" s="333"/>
      <c r="G410" s="333"/>
      <c r="H410" s="333"/>
      <c r="I410" s="333"/>
      <c r="J410" s="333"/>
      <c r="K410" s="333"/>
      <c r="L410" s="333"/>
      <c r="M410" s="333"/>
      <c r="N410" s="333"/>
      <c r="O410" s="333"/>
      <c r="P410" s="333"/>
      <c r="Q410" s="333"/>
      <c r="R410" s="333"/>
      <c r="S410" s="333"/>
      <c r="T410" s="333"/>
      <c r="U410" s="333"/>
      <c r="V410" s="333"/>
    </row>
    <row r="411" spans="1:22">
      <c r="A411" s="333"/>
      <c r="B411" s="333"/>
      <c r="C411" s="333"/>
      <c r="D411" s="333"/>
      <c r="E411" s="333"/>
      <c r="F411" s="333"/>
      <c r="G411" s="333"/>
      <c r="H411" s="333"/>
      <c r="I411" s="333"/>
      <c r="J411" s="333"/>
      <c r="K411" s="333"/>
      <c r="L411" s="333"/>
      <c r="M411" s="333"/>
      <c r="N411" s="333"/>
      <c r="O411" s="333"/>
      <c r="P411" s="333"/>
      <c r="Q411" s="333"/>
      <c r="R411" s="333"/>
      <c r="S411" s="333"/>
      <c r="T411" s="333"/>
      <c r="U411" s="333"/>
      <c r="V411" s="333"/>
    </row>
    <row r="412" spans="1:22">
      <c r="A412" s="333"/>
      <c r="B412" s="333"/>
      <c r="C412" s="333"/>
      <c r="D412" s="333"/>
      <c r="E412" s="333"/>
      <c r="F412" s="333"/>
      <c r="G412" s="333"/>
      <c r="H412" s="333"/>
      <c r="I412" s="333"/>
      <c r="J412" s="333"/>
      <c r="K412" s="333"/>
      <c r="L412" s="333"/>
      <c r="M412" s="333"/>
      <c r="N412" s="333"/>
      <c r="O412" s="333"/>
      <c r="P412" s="333"/>
      <c r="Q412" s="333"/>
      <c r="R412" s="333"/>
      <c r="S412" s="333"/>
      <c r="T412" s="333"/>
      <c r="U412" s="333"/>
      <c r="V412" s="333"/>
    </row>
    <row r="413" spans="1:22">
      <c r="A413" s="333"/>
      <c r="B413" s="333"/>
      <c r="C413" s="333"/>
      <c r="D413" s="333"/>
      <c r="E413" s="333"/>
      <c r="F413" s="333"/>
      <c r="G413" s="333"/>
      <c r="H413" s="333"/>
      <c r="I413" s="333"/>
      <c r="J413" s="333"/>
      <c r="K413" s="333"/>
      <c r="L413" s="333"/>
      <c r="M413" s="333"/>
      <c r="N413" s="333"/>
      <c r="O413" s="333"/>
      <c r="P413" s="333"/>
      <c r="Q413" s="333"/>
      <c r="R413" s="333"/>
      <c r="S413" s="333"/>
      <c r="T413" s="333"/>
      <c r="U413" s="333"/>
      <c r="V413" s="333"/>
    </row>
    <row r="414" spans="1:22">
      <c r="A414" s="333"/>
      <c r="B414" s="333"/>
      <c r="C414" s="333"/>
      <c r="D414" s="333"/>
      <c r="E414" s="333"/>
      <c r="F414" s="333"/>
      <c r="G414" s="333"/>
      <c r="H414" s="333"/>
      <c r="I414" s="333"/>
      <c r="J414" s="333"/>
      <c r="K414" s="333"/>
      <c r="L414" s="333"/>
      <c r="M414" s="333"/>
      <c r="N414" s="333"/>
      <c r="O414" s="333"/>
      <c r="P414" s="333"/>
      <c r="Q414" s="333"/>
      <c r="R414" s="333"/>
      <c r="S414" s="333"/>
      <c r="T414" s="333"/>
      <c r="U414" s="333"/>
      <c r="V414" s="333"/>
    </row>
    <row r="415" spans="1:22">
      <c r="A415" s="333"/>
      <c r="B415" s="333"/>
      <c r="C415" s="333"/>
      <c r="D415" s="333"/>
      <c r="E415" s="333"/>
      <c r="F415" s="333"/>
      <c r="G415" s="333"/>
      <c r="H415" s="333"/>
      <c r="I415" s="333"/>
      <c r="J415" s="333"/>
      <c r="K415" s="333"/>
      <c r="L415" s="333"/>
      <c r="M415" s="333"/>
      <c r="N415" s="333"/>
      <c r="O415" s="333"/>
      <c r="P415" s="333"/>
      <c r="Q415" s="333"/>
      <c r="R415" s="333"/>
      <c r="S415" s="333"/>
      <c r="T415" s="333"/>
      <c r="U415" s="333"/>
      <c r="V415" s="333"/>
    </row>
    <row r="416" spans="1:22">
      <c r="A416" s="333"/>
      <c r="B416" s="333"/>
      <c r="C416" s="333"/>
      <c r="D416" s="333"/>
      <c r="E416" s="333"/>
      <c r="F416" s="333"/>
      <c r="G416" s="333"/>
      <c r="H416" s="333"/>
      <c r="I416" s="333"/>
      <c r="J416" s="333"/>
      <c r="K416" s="333"/>
      <c r="L416" s="333"/>
      <c r="M416" s="333"/>
      <c r="N416" s="333"/>
      <c r="O416" s="333"/>
      <c r="P416" s="333"/>
      <c r="Q416" s="333"/>
      <c r="R416" s="333"/>
      <c r="S416" s="333"/>
      <c r="T416" s="333"/>
      <c r="U416" s="333"/>
      <c r="V416" s="333"/>
    </row>
    <row r="417" spans="1:22">
      <c r="A417" s="333"/>
      <c r="B417" s="333"/>
      <c r="C417" s="333"/>
      <c r="D417" s="333"/>
      <c r="E417" s="333"/>
      <c r="F417" s="333"/>
      <c r="G417" s="333"/>
      <c r="H417" s="333"/>
      <c r="I417" s="333"/>
      <c r="J417" s="333"/>
      <c r="K417" s="333"/>
      <c r="L417" s="333"/>
      <c r="M417" s="333"/>
      <c r="N417" s="333"/>
      <c r="O417" s="333"/>
      <c r="P417" s="333"/>
      <c r="Q417" s="333"/>
      <c r="R417" s="333"/>
      <c r="S417" s="333"/>
      <c r="T417" s="333"/>
      <c r="U417" s="333"/>
      <c r="V417" s="333"/>
    </row>
    <row r="418" spans="1:22">
      <c r="A418" s="333"/>
      <c r="B418" s="333"/>
      <c r="C418" s="333"/>
      <c r="D418" s="333"/>
      <c r="E418" s="333"/>
      <c r="F418" s="333"/>
      <c r="G418" s="333"/>
      <c r="H418" s="333"/>
      <c r="I418" s="333"/>
      <c r="J418" s="333"/>
      <c r="K418" s="333"/>
      <c r="L418" s="333"/>
      <c r="M418" s="333"/>
      <c r="N418" s="333"/>
      <c r="O418" s="333"/>
      <c r="P418" s="333"/>
      <c r="Q418" s="333"/>
      <c r="R418" s="333"/>
      <c r="S418" s="333"/>
      <c r="T418" s="333"/>
      <c r="U418" s="333"/>
      <c r="V418" s="333"/>
    </row>
    <row r="419" spans="1:22">
      <c r="A419" s="333"/>
      <c r="B419" s="333"/>
      <c r="C419" s="333"/>
      <c r="D419" s="333"/>
      <c r="E419" s="333"/>
      <c r="F419" s="333"/>
      <c r="G419" s="333"/>
      <c r="H419" s="333"/>
      <c r="I419" s="333"/>
      <c r="J419" s="333"/>
      <c r="K419" s="333"/>
      <c r="L419" s="333"/>
      <c r="M419" s="333"/>
      <c r="N419" s="333"/>
      <c r="O419" s="333"/>
      <c r="P419" s="333"/>
      <c r="Q419" s="333"/>
      <c r="R419" s="333"/>
      <c r="S419" s="333"/>
      <c r="T419" s="333"/>
      <c r="U419" s="333"/>
      <c r="V419" s="333"/>
    </row>
    <row r="420" spans="1:22">
      <c r="A420" s="333"/>
      <c r="B420" s="333"/>
      <c r="C420" s="333"/>
      <c r="D420" s="333"/>
      <c r="E420" s="333"/>
      <c r="F420" s="333"/>
      <c r="G420" s="333"/>
      <c r="H420" s="333"/>
      <c r="I420" s="333"/>
      <c r="J420" s="333"/>
      <c r="K420" s="333"/>
      <c r="L420" s="333"/>
      <c r="M420" s="333"/>
      <c r="N420" s="333"/>
      <c r="O420" s="333"/>
      <c r="P420" s="333"/>
      <c r="Q420" s="333"/>
      <c r="R420" s="333"/>
      <c r="S420" s="333"/>
      <c r="T420" s="333"/>
      <c r="U420" s="333"/>
      <c r="V420" s="333"/>
    </row>
    <row r="421" spans="1:22">
      <c r="A421" s="333"/>
      <c r="B421" s="333"/>
      <c r="C421" s="333"/>
      <c r="D421" s="333"/>
      <c r="E421" s="333"/>
      <c r="F421" s="333"/>
      <c r="G421" s="333"/>
      <c r="H421" s="333"/>
      <c r="I421" s="333"/>
      <c r="J421" s="333"/>
      <c r="K421" s="333"/>
      <c r="L421" s="333"/>
      <c r="M421" s="333"/>
      <c r="N421" s="333"/>
      <c r="O421" s="333"/>
      <c r="P421" s="333"/>
      <c r="Q421" s="333"/>
      <c r="R421" s="333"/>
      <c r="S421" s="333"/>
      <c r="T421" s="333"/>
      <c r="U421" s="333"/>
      <c r="V421" s="333"/>
    </row>
    <row r="422" spans="1:22">
      <c r="A422" s="333"/>
      <c r="B422" s="333"/>
      <c r="C422" s="333"/>
      <c r="D422" s="333"/>
      <c r="E422" s="333"/>
      <c r="F422" s="333"/>
      <c r="G422" s="333"/>
      <c r="H422" s="333"/>
      <c r="I422" s="333"/>
      <c r="J422" s="333"/>
      <c r="K422" s="333"/>
      <c r="L422" s="333"/>
      <c r="M422" s="333"/>
      <c r="N422" s="333"/>
      <c r="O422" s="333"/>
      <c r="P422" s="333"/>
      <c r="Q422" s="333"/>
      <c r="R422" s="333"/>
      <c r="S422" s="333"/>
      <c r="T422" s="333"/>
      <c r="U422" s="333"/>
      <c r="V422" s="333"/>
    </row>
    <row r="423" spans="1:22">
      <c r="A423" s="333"/>
      <c r="B423" s="333"/>
      <c r="C423" s="333"/>
      <c r="D423" s="333"/>
      <c r="E423" s="333"/>
      <c r="F423" s="333"/>
      <c r="G423" s="333"/>
      <c r="H423" s="333"/>
      <c r="I423" s="333"/>
      <c r="J423" s="333"/>
      <c r="K423" s="333"/>
      <c r="L423" s="333"/>
      <c r="M423" s="333"/>
      <c r="N423" s="333"/>
      <c r="O423" s="333"/>
      <c r="P423" s="333"/>
      <c r="Q423" s="333"/>
      <c r="R423" s="333"/>
      <c r="S423" s="333"/>
      <c r="T423" s="333"/>
      <c r="U423" s="333"/>
      <c r="V423" s="333"/>
    </row>
    <row r="424" spans="1:22">
      <c r="A424" s="333"/>
      <c r="B424" s="333"/>
      <c r="C424" s="333"/>
      <c r="D424" s="333"/>
      <c r="E424" s="333"/>
      <c r="F424" s="333"/>
      <c r="G424" s="333"/>
      <c r="H424" s="333"/>
      <c r="I424" s="333"/>
      <c r="J424" s="333"/>
      <c r="K424" s="333"/>
      <c r="L424" s="333"/>
      <c r="M424" s="333"/>
      <c r="N424" s="333"/>
      <c r="O424" s="333"/>
      <c r="P424" s="333"/>
      <c r="Q424" s="333"/>
      <c r="R424" s="333"/>
      <c r="S424" s="333"/>
      <c r="T424" s="333"/>
      <c r="U424" s="333"/>
      <c r="V424" s="333"/>
    </row>
    <row r="425" spans="1:22">
      <c r="A425" s="333"/>
      <c r="B425" s="333"/>
      <c r="C425" s="333"/>
      <c r="D425" s="333"/>
      <c r="E425" s="333"/>
      <c r="F425" s="333"/>
      <c r="G425" s="333"/>
      <c r="H425" s="333"/>
      <c r="I425" s="333"/>
      <c r="J425" s="333"/>
      <c r="K425" s="333"/>
      <c r="L425" s="333"/>
      <c r="M425" s="333"/>
      <c r="N425" s="333"/>
      <c r="O425" s="333"/>
      <c r="P425" s="333"/>
      <c r="Q425" s="333"/>
      <c r="R425" s="333"/>
      <c r="S425" s="333"/>
      <c r="T425" s="333"/>
      <c r="U425" s="333"/>
      <c r="V425" s="333"/>
    </row>
    <row r="426" spans="1:22">
      <c r="A426" s="333"/>
      <c r="B426" s="333"/>
      <c r="C426" s="333"/>
      <c r="D426" s="333"/>
      <c r="E426" s="333"/>
      <c r="F426" s="333"/>
      <c r="G426" s="333"/>
      <c r="H426" s="333"/>
      <c r="I426" s="333"/>
      <c r="J426" s="333"/>
      <c r="K426" s="333"/>
      <c r="L426" s="333"/>
      <c r="M426" s="333"/>
      <c r="N426" s="333"/>
      <c r="O426" s="333"/>
      <c r="P426" s="333"/>
      <c r="Q426" s="333"/>
      <c r="R426" s="333"/>
      <c r="S426" s="333"/>
      <c r="T426" s="333"/>
      <c r="U426" s="333"/>
      <c r="V426" s="333"/>
    </row>
    <row r="427" spans="1:22">
      <c r="A427" s="333"/>
      <c r="B427" s="333"/>
      <c r="C427" s="333"/>
      <c r="D427" s="333"/>
      <c r="E427" s="333"/>
      <c r="F427" s="333"/>
      <c r="G427" s="333"/>
      <c r="H427" s="333"/>
      <c r="I427" s="333"/>
      <c r="J427" s="333"/>
      <c r="K427" s="333"/>
      <c r="L427" s="333"/>
      <c r="M427" s="333"/>
      <c r="N427" s="333"/>
      <c r="O427" s="333"/>
      <c r="P427" s="333"/>
      <c r="Q427" s="333"/>
      <c r="R427" s="333"/>
      <c r="S427" s="333"/>
      <c r="T427" s="333"/>
      <c r="U427" s="333"/>
      <c r="V427" s="333"/>
    </row>
    <row r="428" spans="1:22">
      <c r="A428" s="333"/>
      <c r="B428" s="333"/>
      <c r="C428" s="333"/>
      <c r="D428" s="333"/>
      <c r="E428" s="333"/>
      <c r="F428" s="333"/>
      <c r="G428" s="333"/>
      <c r="H428" s="333"/>
      <c r="I428" s="333"/>
      <c r="J428" s="333"/>
      <c r="K428" s="333"/>
      <c r="L428" s="333"/>
      <c r="M428" s="333"/>
      <c r="N428" s="333"/>
      <c r="O428" s="333"/>
      <c r="P428" s="333"/>
      <c r="Q428" s="333"/>
      <c r="R428" s="333"/>
      <c r="S428" s="333"/>
      <c r="T428" s="333"/>
      <c r="U428" s="333"/>
      <c r="V428" s="333"/>
    </row>
    <row r="429" spans="1:22">
      <c r="A429" s="333"/>
      <c r="B429" s="333"/>
      <c r="C429" s="333"/>
      <c r="D429" s="333"/>
      <c r="E429" s="333"/>
      <c r="F429" s="333"/>
      <c r="G429" s="333"/>
      <c r="H429" s="333"/>
      <c r="I429" s="333"/>
      <c r="J429" s="333"/>
      <c r="K429" s="333"/>
      <c r="L429" s="333"/>
      <c r="M429" s="333"/>
      <c r="N429" s="333"/>
      <c r="O429" s="333"/>
      <c r="P429" s="333"/>
      <c r="Q429" s="333"/>
      <c r="R429" s="333"/>
      <c r="S429" s="333"/>
      <c r="T429" s="333"/>
      <c r="U429" s="333"/>
      <c r="V429" s="333"/>
    </row>
    <row r="430" spans="1:22">
      <c r="A430" s="333"/>
      <c r="B430" s="333"/>
      <c r="C430" s="333"/>
      <c r="D430" s="333"/>
      <c r="E430" s="333"/>
      <c r="F430" s="333"/>
      <c r="G430" s="333"/>
      <c r="H430" s="333"/>
      <c r="I430" s="333"/>
      <c r="J430" s="333"/>
      <c r="K430" s="333"/>
      <c r="L430" s="333"/>
      <c r="M430" s="333"/>
      <c r="N430" s="333"/>
      <c r="O430" s="333"/>
      <c r="P430" s="333"/>
      <c r="Q430" s="333"/>
      <c r="R430" s="333"/>
      <c r="S430" s="333"/>
      <c r="T430" s="333"/>
      <c r="U430" s="333"/>
      <c r="V430" s="333"/>
    </row>
    <row r="431" spans="1:22">
      <c r="A431" s="333"/>
      <c r="B431" s="333"/>
      <c r="C431" s="333"/>
      <c r="D431" s="333"/>
      <c r="E431" s="333"/>
      <c r="F431" s="333"/>
      <c r="G431" s="333"/>
      <c r="H431" s="333"/>
      <c r="I431" s="333"/>
      <c r="J431" s="333"/>
      <c r="K431" s="333"/>
      <c r="L431" s="333"/>
      <c r="M431" s="333"/>
      <c r="N431" s="333"/>
      <c r="O431" s="333"/>
      <c r="P431" s="333"/>
      <c r="Q431" s="333"/>
      <c r="R431" s="333"/>
      <c r="S431" s="333"/>
      <c r="T431" s="333"/>
      <c r="U431" s="333"/>
      <c r="V431" s="333"/>
    </row>
    <row r="432" spans="1:22">
      <c r="A432" s="333"/>
      <c r="B432" s="333"/>
      <c r="C432" s="333"/>
      <c r="D432" s="333"/>
      <c r="E432" s="333"/>
      <c r="F432" s="333"/>
      <c r="G432" s="333"/>
      <c r="H432" s="333"/>
      <c r="I432" s="333"/>
      <c r="J432" s="333"/>
      <c r="K432" s="333"/>
      <c r="L432" s="333"/>
      <c r="M432" s="333"/>
      <c r="N432" s="333"/>
      <c r="O432" s="333"/>
      <c r="P432" s="333"/>
      <c r="Q432" s="333"/>
      <c r="R432" s="333"/>
      <c r="S432" s="333"/>
      <c r="T432" s="333"/>
      <c r="U432" s="333"/>
      <c r="V432" s="333"/>
    </row>
    <row r="433" spans="1:22">
      <c r="A433" s="333"/>
      <c r="B433" s="333"/>
      <c r="C433" s="333"/>
      <c r="D433" s="333"/>
      <c r="E433" s="333"/>
      <c r="F433" s="333"/>
      <c r="G433" s="333"/>
      <c r="H433" s="333"/>
      <c r="I433" s="333"/>
      <c r="J433" s="333"/>
      <c r="K433" s="333"/>
      <c r="L433" s="333"/>
      <c r="M433" s="333"/>
      <c r="N433" s="333"/>
      <c r="O433" s="333"/>
      <c r="P433" s="333"/>
      <c r="Q433" s="333"/>
      <c r="R433" s="333"/>
      <c r="S433" s="333"/>
      <c r="T433" s="333"/>
      <c r="U433" s="333"/>
      <c r="V433" s="333"/>
    </row>
    <row r="434" spans="1:22">
      <c r="A434" s="333"/>
      <c r="B434" s="333"/>
      <c r="C434" s="333"/>
      <c r="D434" s="333"/>
      <c r="E434" s="333"/>
      <c r="F434" s="333"/>
      <c r="G434" s="333"/>
      <c r="H434" s="333"/>
      <c r="I434" s="333"/>
      <c r="J434" s="333"/>
      <c r="K434" s="333"/>
      <c r="L434" s="333"/>
      <c r="M434" s="333"/>
      <c r="N434" s="333"/>
      <c r="O434" s="333"/>
      <c r="P434" s="333"/>
      <c r="Q434" s="333"/>
      <c r="R434" s="333"/>
      <c r="S434" s="333"/>
      <c r="T434" s="333"/>
      <c r="U434" s="333"/>
      <c r="V434" s="333"/>
    </row>
    <row r="435" spans="1:22">
      <c r="A435" s="333"/>
      <c r="B435" s="333"/>
      <c r="C435" s="333"/>
      <c r="D435" s="333"/>
      <c r="E435" s="333"/>
      <c r="F435" s="333"/>
      <c r="G435" s="333"/>
      <c r="H435" s="333"/>
      <c r="I435" s="333"/>
      <c r="J435" s="333"/>
      <c r="K435" s="333"/>
      <c r="L435" s="333"/>
      <c r="M435" s="333"/>
      <c r="N435" s="333"/>
      <c r="O435" s="333"/>
      <c r="P435" s="333"/>
      <c r="Q435" s="333"/>
      <c r="R435" s="333"/>
      <c r="S435" s="333"/>
      <c r="T435" s="333"/>
      <c r="U435" s="333"/>
      <c r="V435" s="333"/>
    </row>
    <row r="436" spans="1:22">
      <c r="A436" s="333"/>
      <c r="B436" s="333"/>
      <c r="C436" s="333"/>
      <c r="D436" s="333"/>
      <c r="E436" s="333"/>
      <c r="F436" s="333"/>
      <c r="G436" s="333"/>
      <c r="H436" s="333"/>
      <c r="I436" s="333"/>
      <c r="J436" s="333"/>
      <c r="K436" s="333"/>
      <c r="L436" s="333"/>
      <c r="M436" s="333"/>
      <c r="N436" s="333"/>
      <c r="O436" s="333"/>
      <c r="P436" s="333"/>
      <c r="Q436" s="333"/>
      <c r="R436" s="333"/>
      <c r="S436" s="333"/>
      <c r="T436" s="333"/>
      <c r="U436" s="333"/>
      <c r="V436" s="333"/>
    </row>
    <row r="437" spans="1:22">
      <c r="A437" s="333"/>
      <c r="B437" s="333"/>
      <c r="C437" s="333"/>
      <c r="D437" s="333"/>
      <c r="E437" s="333"/>
      <c r="F437" s="333"/>
      <c r="G437" s="333"/>
      <c r="H437" s="333"/>
      <c r="I437" s="333"/>
      <c r="J437" s="333"/>
      <c r="K437" s="333"/>
      <c r="L437" s="333"/>
      <c r="M437" s="333"/>
      <c r="N437" s="333"/>
      <c r="O437" s="333"/>
      <c r="P437" s="333"/>
      <c r="Q437" s="333"/>
      <c r="R437" s="333"/>
      <c r="S437" s="333"/>
      <c r="T437" s="333"/>
      <c r="U437" s="333"/>
      <c r="V437" s="333"/>
    </row>
    <row r="438" spans="1:22">
      <c r="A438" s="333"/>
      <c r="B438" s="333"/>
      <c r="C438" s="333"/>
      <c r="D438" s="333"/>
      <c r="E438" s="333"/>
      <c r="F438" s="333"/>
      <c r="G438" s="333"/>
      <c r="H438" s="333"/>
      <c r="I438" s="333"/>
      <c r="J438" s="333"/>
      <c r="K438" s="333"/>
      <c r="L438" s="333"/>
      <c r="M438" s="333"/>
      <c r="N438" s="333"/>
      <c r="O438" s="333"/>
      <c r="P438" s="333"/>
      <c r="Q438" s="333"/>
      <c r="R438" s="333"/>
      <c r="S438" s="333"/>
      <c r="T438" s="333"/>
      <c r="U438" s="333"/>
      <c r="V438" s="333"/>
    </row>
    <row r="439" spans="1:22">
      <c r="A439" s="333"/>
      <c r="B439" s="333"/>
      <c r="C439" s="333"/>
      <c r="D439" s="333"/>
      <c r="E439" s="333"/>
      <c r="F439" s="333"/>
      <c r="G439" s="333"/>
      <c r="H439" s="333"/>
      <c r="I439" s="333"/>
      <c r="J439" s="333"/>
      <c r="K439" s="333"/>
      <c r="L439" s="333"/>
      <c r="M439" s="333"/>
      <c r="N439" s="333"/>
      <c r="O439" s="333"/>
      <c r="P439" s="333"/>
      <c r="Q439" s="333"/>
      <c r="R439" s="333"/>
      <c r="S439" s="333"/>
      <c r="T439" s="333"/>
      <c r="U439" s="333"/>
      <c r="V439" s="333"/>
    </row>
    <row r="440" spans="1:22">
      <c r="A440" s="333"/>
      <c r="B440" s="333"/>
      <c r="C440" s="333"/>
      <c r="D440" s="333"/>
      <c r="E440" s="333"/>
      <c r="F440" s="333"/>
      <c r="G440" s="333"/>
      <c r="H440" s="333"/>
      <c r="I440" s="333"/>
      <c r="J440" s="333"/>
      <c r="K440" s="333"/>
      <c r="L440" s="333"/>
      <c r="M440" s="333"/>
      <c r="N440" s="333"/>
      <c r="O440" s="333"/>
      <c r="P440" s="333"/>
      <c r="Q440" s="333"/>
      <c r="R440" s="333"/>
      <c r="S440" s="333"/>
      <c r="T440" s="333"/>
      <c r="U440" s="333"/>
      <c r="V440" s="333"/>
    </row>
    <row r="441" spans="1:22">
      <c r="A441" s="333"/>
      <c r="B441" s="333"/>
      <c r="C441" s="333"/>
      <c r="D441" s="333"/>
      <c r="E441" s="333"/>
      <c r="F441" s="333"/>
      <c r="G441" s="333"/>
      <c r="H441" s="333"/>
      <c r="I441" s="333"/>
      <c r="J441" s="333"/>
      <c r="K441" s="333"/>
      <c r="L441" s="333"/>
      <c r="M441" s="333"/>
      <c r="N441" s="333"/>
      <c r="O441" s="333"/>
      <c r="P441" s="333"/>
      <c r="Q441" s="333"/>
      <c r="R441" s="333"/>
      <c r="S441" s="333"/>
      <c r="T441" s="333"/>
      <c r="U441" s="333"/>
      <c r="V441" s="333"/>
    </row>
    <row r="442" spans="1:22">
      <c r="A442" s="333"/>
      <c r="B442" s="333"/>
      <c r="C442" s="333"/>
      <c r="D442" s="333"/>
      <c r="E442" s="333"/>
      <c r="F442" s="333"/>
      <c r="G442" s="333"/>
      <c r="H442" s="333"/>
      <c r="I442" s="333"/>
      <c r="J442" s="333"/>
      <c r="K442" s="333"/>
      <c r="L442" s="333"/>
      <c r="M442" s="333"/>
      <c r="N442" s="333"/>
      <c r="O442" s="333"/>
      <c r="P442" s="333"/>
      <c r="Q442" s="333"/>
      <c r="R442" s="333"/>
      <c r="S442" s="333"/>
      <c r="T442" s="333"/>
      <c r="U442" s="333"/>
      <c r="V442" s="333"/>
    </row>
    <row r="443" spans="1:22">
      <c r="A443" s="333"/>
      <c r="B443" s="333"/>
      <c r="C443" s="333"/>
      <c r="D443" s="333"/>
      <c r="E443" s="333"/>
      <c r="F443" s="333"/>
      <c r="G443" s="333"/>
      <c r="H443" s="333"/>
      <c r="I443" s="333"/>
      <c r="J443" s="333"/>
      <c r="K443" s="333"/>
      <c r="L443" s="333"/>
      <c r="M443" s="333"/>
      <c r="N443" s="333"/>
      <c r="O443" s="333"/>
      <c r="P443" s="333"/>
      <c r="Q443" s="333"/>
      <c r="R443" s="333"/>
      <c r="S443" s="333"/>
      <c r="T443" s="333"/>
      <c r="U443" s="333"/>
      <c r="V443" s="333"/>
    </row>
    <row r="444" spans="1:22">
      <c r="A444" s="333"/>
      <c r="B444" s="333"/>
      <c r="C444" s="333"/>
      <c r="D444" s="333"/>
      <c r="E444" s="333"/>
      <c r="F444" s="333"/>
      <c r="G444" s="333"/>
      <c r="H444" s="333"/>
      <c r="I444" s="333"/>
      <c r="J444" s="333"/>
      <c r="K444" s="333"/>
      <c r="L444" s="333"/>
      <c r="M444" s="333"/>
      <c r="N444" s="333"/>
      <c r="O444" s="333"/>
      <c r="P444" s="333"/>
      <c r="Q444" s="333"/>
      <c r="R444" s="333"/>
      <c r="S444" s="333"/>
      <c r="T444" s="333"/>
      <c r="U444" s="333"/>
      <c r="V444" s="333"/>
    </row>
    <row r="445" spans="1:22">
      <c r="A445" s="333"/>
      <c r="B445" s="333"/>
      <c r="C445" s="333"/>
      <c r="D445" s="333"/>
      <c r="E445" s="333"/>
      <c r="F445" s="333"/>
      <c r="G445" s="333"/>
      <c r="H445" s="333"/>
      <c r="I445" s="333"/>
      <c r="J445" s="333"/>
      <c r="K445" s="333"/>
      <c r="L445" s="333"/>
      <c r="M445" s="333"/>
      <c r="N445" s="333"/>
      <c r="O445" s="333"/>
      <c r="P445" s="333"/>
      <c r="Q445" s="333"/>
      <c r="R445" s="333"/>
      <c r="S445" s="333"/>
      <c r="T445" s="333"/>
      <c r="U445" s="333"/>
      <c r="V445" s="333"/>
    </row>
    <row r="446" spans="1:22">
      <c r="A446" s="333"/>
      <c r="B446" s="333"/>
      <c r="C446" s="333"/>
      <c r="D446" s="333"/>
      <c r="E446" s="333"/>
      <c r="F446" s="333"/>
      <c r="G446" s="333"/>
      <c r="H446" s="333"/>
      <c r="I446" s="333"/>
      <c r="J446" s="333"/>
      <c r="K446" s="333"/>
      <c r="L446" s="333"/>
      <c r="M446" s="333"/>
      <c r="N446" s="333"/>
      <c r="O446" s="333"/>
      <c r="P446" s="333"/>
      <c r="Q446" s="333"/>
      <c r="R446" s="333"/>
      <c r="S446" s="333"/>
      <c r="T446" s="333"/>
      <c r="U446" s="333"/>
      <c r="V446" s="333"/>
    </row>
    <row r="447" spans="1:22">
      <c r="A447" s="333"/>
      <c r="B447" s="333"/>
      <c r="C447" s="333"/>
      <c r="D447" s="333"/>
      <c r="E447" s="333"/>
      <c r="F447" s="333"/>
      <c r="G447" s="333"/>
      <c r="H447" s="333"/>
      <c r="I447" s="333"/>
      <c r="J447" s="333"/>
      <c r="K447" s="333"/>
      <c r="L447" s="333"/>
      <c r="M447" s="333"/>
      <c r="N447" s="333"/>
      <c r="O447" s="333"/>
      <c r="P447" s="333"/>
      <c r="Q447" s="333"/>
      <c r="R447" s="333"/>
      <c r="S447" s="333"/>
      <c r="T447" s="333"/>
      <c r="U447" s="333"/>
      <c r="V447" s="333"/>
    </row>
    <row r="448" spans="1:22">
      <c r="A448" s="333"/>
      <c r="B448" s="333"/>
      <c r="C448" s="333"/>
      <c r="D448" s="333"/>
      <c r="E448" s="333"/>
      <c r="F448" s="333"/>
      <c r="G448" s="333"/>
      <c r="H448" s="333"/>
      <c r="I448" s="333"/>
      <c r="J448" s="333"/>
      <c r="K448" s="333"/>
      <c r="L448" s="333"/>
      <c r="M448" s="333"/>
      <c r="N448" s="333"/>
      <c r="O448" s="333"/>
      <c r="P448" s="333"/>
      <c r="Q448" s="333"/>
      <c r="R448" s="333"/>
      <c r="S448" s="333"/>
      <c r="T448" s="333"/>
      <c r="U448" s="333"/>
      <c r="V448" s="333"/>
    </row>
    <row r="449" spans="1:22">
      <c r="A449" s="333"/>
      <c r="B449" s="333"/>
      <c r="C449" s="333"/>
      <c r="D449" s="333"/>
      <c r="E449" s="333"/>
      <c r="F449" s="333"/>
      <c r="G449" s="333"/>
      <c r="H449" s="333"/>
      <c r="I449" s="333"/>
      <c r="J449" s="333"/>
      <c r="K449" s="333"/>
      <c r="L449" s="333"/>
      <c r="M449" s="333"/>
      <c r="N449" s="333"/>
      <c r="O449" s="333"/>
      <c r="P449" s="333"/>
      <c r="Q449" s="333"/>
      <c r="R449" s="333"/>
      <c r="S449" s="333"/>
      <c r="T449" s="333"/>
      <c r="U449" s="333"/>
      <c r="V449" s="333"/>
    </row>
    <row r="450" spans="1:22">
      <c r="A450" s="333"/>
      <c r="B450" s="333"/>
      <c r="C450" s="333"/>
      <c r="D450" s="333"/>
      <c r="E450" s="333"/>
      <c r="F450" s="333"/>
      <c r="G450" s="333"/>
      <c r="H450" s="333"/>
      <c r="I450" s="333"/>
      <c r="J450" s="333"/>
      <c r="K450" s="333"/>
      <c r="L450" s="333"/>
      <c r="M450" s="333"/>
      <c r="N450" s="333"/>
      <c r="O450" s="333"/>
      <c r="P450" s="333"/>
      <c r="Q450" s="333"/>
      <c r="R450" s="333"/>
      <c r="S450" s="333"/>
      <c r="T450" s="333"/>
      <c r="U450" s="333"/>
      <c r="V450" s="333"/>
    </row>
    <row r="451" spans="1:22">
      <c r="A451" s="333"/>
      <c r="B451" s="333"/>
      <c r="C451" s="333"/>
      <c r="D451" s="333"/>
      <c r="E451" s="333"/>
      <c r="F451" s="333"/>
      <c r="G451" s="333"/>
      <c r="H451" s="333"/>
      <c r="I451" s="333"/>
      <c r="J451" s="333"/>
      <c r="K451" s="333"/>
      <c r="L451" s="333"/>
      <c r="M451" s="333"/>
      <c r="N451" s="333"/>
      <c r="O451" s="333"/>
      <c r="P451" s="333"/>
      <c r="Q451" s="333"/>
      <c r="R451" s="333"/>
      <c r="S451" s="333"/>
      <c r="T451" s="333"/>
      <c r="U451" s="333"/>
      <c r="V451" s="333"/>
    </row>
    <row r="452" spans="1:22">
      <c r="A452" s="333"/>
      <c r="B452" s="333"/>
      <c r="C452" s="333"/>
      <c r="D452" s="333"/>
      <c r="E452" s="333"/>
      <c r="F452" s="333"/>
      <c r="G452" s="333"/>
      <c r="H452" s="333"/>
      <c r="I452" s="333"/>
      <c r="J452" s="333"/>
      <c r="K452" s="333"/>
      <c r="L452" s="333"/>
      <c r="M452" s="333"/>
      <c r="N452" s="333"/>
      <c r="O452" s="333"/>
      <c r="P452" s="333"/>
      <c r="Q452" s="333"/>
      <c r="R452" s="333"/>
      <c r="S452" s="333"/>
      <c r="T452" s="333"/>
      <c r="U452" s="333"/>
      <c r="V452" s="333"/>
    </row>
    <row r="453" spans="1:22">
      <c r="A453" s="333"/>
      <c r="B453" s="333"/>
      <c r="C453" s="333"/>
      <c r="D453" s="333"/>
      <c r="E453" s="333"/>
      <c r="F453" s="333"/>
      <c r="G453" s="333"/>
      <c r="H453" s="333"/>
      <c r="I453" s="333"/>
      <c r="J453" s="333"/>
      <c r="K453" s="333"/>
      <c r="L453" s="333"/>
      <c r="M453" s="333"/>
      <c r="N453" s="333"/>
      <c r="O453" s="333"/>
      <c r="P453" s="333"/>
      <c r="Q453" s="333"/>
      <c r="R453" s="333"/>
      <c r="S453" s="333"/>
      <c r="T453" s="333"/>
      <c r="U453" s="333"/>
      <c r="V453" s="333"/>
    </row>
    <row r="454" spans="1:22">
      <c r="A454" s="333"/>
      <c r="B454" s="333"/>
      <c r="C454" s="333"/>
      <c r="D454" s="333"/>
      <c r="E454" s="333"/>
      <c r="F454" s="333"/>
      <c r="G454" s="333"/>
      <c r="H454" s="333"/>
      <c r="I454" s="333"/>
      <c r="J454" s="333"/>
      <c r="K454" s="333"/>
      <c r="L454" s="333"/>
      <c r="M454" s="333"/>
      <c r="N454" s="333"/>
      <c r="O454" s="333"/>
      <c r="P454" s="333"/>
      <c r="Q454" s="333"/>
      <c r="R454" s="333"/>
      <c r="S454" s="333"/>
      <c r="T454" s="333"/>
      <c r="U454" s="333"/>
      <c r="V454" s="333"/>
    </row>
    <row r="455" spans="1:22">
      <c r="A455" s="333"/>
      <c r="B455" s="333"/>
      <c r="C455" s="333"/>
      <c r="D455" s="333"/>
      <c r="E455" s="333"/>
      <c r="F455" s="333"/>
      <c r="G455" s="333"/>
      <c r="H455" s="333"/>
      <c r="I455" s="333"/>
      <c r="J455" s="333"/>
      <c r="K455" s="333"/>
      <c r="L455" s="333"/>
      <c r="M455" s="333"/>
      <c r="N455" s="333"/>
      <c r="O455" s="333"/>
      <c r="P455" s="333"/>
      <c r="Q455" s="333"/>
      <c r="R455" s="333"/>
      <c r="S455" s="333"/>
      <c r="T455" s="333"/>
      <c r="U455" s="333"/>
      <c r="V455" s="333"/>
    </row>
    <row r="456" spans="1:22">
      <c r="A456" s="333"/>
      <c r="B456" s="333"/>
      <c r="C456" s="333"/>
      <c r="D456" s="333"/>
      <c r="E456" s="333"/>
      <c r="F456" s="333"/>
      <c r="G456" s="333"/>
      <c r="H456" s="333"/>
      <c r="I456" s="333"/>
      <c r="J456" s="333"/>
      <c r="K456" s="333"/>
      <c r="L456" s="333"/>
      <c r="M456" s="333"/>
      <c r="N456" s="333"/>
      <c r="O456" s="333"/>
      <c r="P456" s="333"/>
      <c r="Q456" s="333"/>
      <c r="R456" s="333"/>
      <c r="S456" s="333"/>
      <c r="T456" s="333"/>
      <c r="U456" s="333"/>
      <c r="V456" s="333"/>
    </row>
    <row r="457" spans="1:22">
      <c r="A457" s="333"/>
      <c r="B457" s="333"/>
      <c r="C457" s="333"/>
      <c r="D457" s="333"/>
      <c r="E457" s="333"/>
      <c r="F457" s="333"/>
      <c r="G457" s="333"/>
      <c r="H457" s="333"/>
      <c r="I457" s="333"/>
      <c r="J457" s="333"/>
      <c r="K457" s="333"/>
      <c r="L457" s="333"/>
      <c r="M457" s="333"/>
      <c r="N457" s="333"/>
      <c r="O457" s="333"/>
      <c r="P457" s="333"/>
      <c r="Q457" s="333"/>
      <c r="R457" s="333"/>
      <c r="S457" s="333"/>
      <c r="T457" s="333"/>
      <c r="U457" s="333"/>
      <c r="V457" s="333"/>
    </row>
    <row r="458" spans="1:22">
      <c r="A458" s="333"/>
      <c r="B458" s="333"/>
      <c r="C458" s="333"/>
      <c r="D458" s="333"/>
      <c r="E458" s="333"/>
      <c r="F458" s="333"/>
      <c r="G458" s="333"/>
      <c r="H458" s="333"/>
      <c r="I458" s="333"/>
      <c r="J458" s="333"/>
      <c r="K458" s="333"/>
      <c r="L458" s="333"/>
      <c r="M458" s="333"/>
      <c r="N458" s="333"/>
      <c r="O458" s="333"/>
      <c r="P458" s="333"/>
      <c r="Q458" s="333"/>
      <c r="R458" s="333"/>
      <c r="S458" s="333"/>
      <c r="T458" s="333"/>
      <c r="U458" s="333"/>
      <c r="V458" s="333"/>
    </row>
    <row r="459" spans="1:22">
      <c r="A459" s="333"/>
      <c r="B459" s="333"/>
      <c r="C459" s="333"/>
      <c r="D459" s="333"/>
      <c r="E459" s="333"/>
      <c r="F459" s="333"/>
      <c r="G459" s="333"/>
      <c r="H459" s="333"/>
      <c r="I459" s="333"/>
      <c r="J459" s="333"/>
      <c r="K459" s="333"/>
      <c r="L459" s="333"/>
      <c r="M459" s="333"/>
      <c r="N459" s="333"/>
      <c r="O459" s="333"/>
      <c r="P459" s="333"/>
      <c r="Q459" s="333"/>
      <c r="R459" s="333"/>
      <c r="S459" s="333"/>
      <c r="T459" s="333"/>
      <c r="U459" s="333"/>
      <c r="V459" s="333"/>
    </row>
    <row r="460" spans="1:22">
      <c r="A460" s="333"/>
      <c r="B460" s="333"/>
      <c r="C460" s="333"/>
      <c r="D460" s="333"/>
      <c r="E460" s="333"/>
      <c r="F460" s="333"/>
      <c r="G460" s="333"/>
      <c r="H460" s="333"/>
      <c r="I460" s="333"/>
      <c r="J460" s="333"/>
      <c r="K460" s="333"/>
      <c r="L460" s="333"/>
      <c r="M460" s="333"/>
      <c r="N460" s="333"/>
      <c r="O460" s="333"/>
      <c r="P460" s="333"/>
      <c r="Q460" s="333"/>
      <c r="R460" s="333"/>
      <c r="S460" s="333"/>
      <c r="T460" s="333"/>
      <c r="U460" s="333"/>
      <c r="V460" s="333"/>
    </row>
    <row r="461" spans="1:22">
      <c r="A461" s="333"/>
      <c r="B461" s="333"/>
      <c r="C461" s="333"/>
      <c r="D461" s="333"/>
      <c r="E461" s="333"/>
      <c r="F461" s="333"/>
      <c r="G461" s="333"/>
      <c r="H461" s="333"/>
      <c r="I461" s="333"/>
      <c r="J461" s="333"/>
      <c r="K461" s="333"/>
      <c r="L461" s="333"/>
      <c r="M461" s="333"/>
      <c r="N461" s="333"/>
      <c r="O461" s="333"/>
      <c r="P461" s="333"/>
      <c r="Q461" s="333"/>
      <c r="R461" s="333"/>
      <c r="S461" s="333"/>
      <c r="T461" s="333"/>
      <c r="U461" s="333"/>
      <c r="V461" s="333"/>
    </row>
    <row r="462" spans="1:22">
      <c r="A462" s="333"/>
      <c r="B462" s="333"/>
      <c r="C462" s="333"/>
      <c r="D462" s="333"/>
      <c r="E462" s="333"/>
      <c r="F462" s="333"/>
      <c r="G462" s="333"/>
      <c r="H462" s="333"/>
      <c r="I462" s="333"/>
      <c r="J462" s="333"/>
      <c r="K462" s="333"/>
      <c r="L462" s="333"/>
      <c r="M462" s="333"/>
      <c r="N462" s="333"/>
      <c r="O462" s="333"/>
      <c r="P462" s="333"/>
      <c r="Q462" s="333"/>
      <c r="R462" s="333"/>
      <c r="S462" s="333"/>
      <c r="T462" s="333"/>
      <c r="U462" s="333"/>
      <c r="V462" s="333"/>
    </row>
    <row r="463" spans="1:22">
      <c r="A463" s="333"/>
      <c r="B463" s="333"/>
      <c r="C463" s="333"/>
      <c r="D463" s="333"/>
      <c r="E463" s="333"/>
      <c r="F463" s="333"/>
      <c r="G463" s="333"/>
      <c r="H463" s="333"/>
      <c r="I463" s="333"/>
      <c r="J463" s="333"/>
      <c r="K463" s="333"/>
      <c r="L463" s="333"/>
      <c r="M463" s="333"/>
      <c r="N463" s="333"/>
      <c r="O463" s="333"/>
      <c r="P463" s="333"/>
      <c r="Q463" s="333"/>
      <c r="R463" s="333"/>
      <c r="S463" s="333"/>
      <c r="T463" s="333"/>
      <c r="U463" s="333"/>
      <c r="V463" s="333"/>
    </row>
    <row r="464" spans="1:22">
      <c r="A464" s="333"/>
      <c r="B464" s="333"/>
      <c r="C464" s="333"/>
      <c r="D464" s="333"/>
      <c r="E464" s="333"/>
      <c r="F464" s="333"/>
      <c r="G464" s="333"/>
      <c r="H464" s="333"/>
      <c r="I464" s="333"/>
      <c r="J464" s="333"/>
      <c r="K464" s="333"/>
      <c r="L464" s="333"/>
      <c r="M464" s="333"/>
      <c r="N464" s="333"/>
      <c r="O464" s="333"/>
      <c r="P464" s="333"/>
      <c r="Q464" s="333"/>
      <c r="R464" s="333"/>
      <c r="S464" s="333"/>
      <c r="T464" s="333"/>
      <c r="U464" s="333"/>
      <c r="V464" s="333"/>
    </row>
    <row r="465" spans="1:22">
      <c r="A465" s="333"/>
      <c r="B465" s="333"/>
      <c r="C465" s="333"/>
      <c r="D465" s="333"/>
      <c r="E465" s="333"/>
      <c r="F465" s="333"/>
      <c r="G465" s="333"/>
      <c r="H465" s="333"/>
      <c r="I465" s="333"/>
      <c r="J465" s="333"/>
      <c r="K465" s="333"/>
      <c r="L465" s="333"/>
      <c r="M465" s="333"/>
      <c r="N465" s="333"/>
      <c r="O465" s="333"/>
      <c r="P465" s="333"/>
      <c r="Q465" s="333"/>
      <c r="R465" s="333"/>
      <c r="S465" s="333"/>
      <c r="T465" s="333"/>
      <c r="U465" s="333"/>
      <c r="V465" s="333"/>
    </row>
    <row r="466" spans="1:22">
      <c r="A466" s="333"/>
      <c r="B466" s="333"/>
      <c r="C466" s="333"/>
      <c r="D466" s="333"/>
      <c r="E466" s="333"/>
      <c r="F466" s="333"/>
      <c r="G466" s="333"/>
      <c r="H466" s="333"/>
      <c r="I466" s="333"/>
      <c r="J466" s="333"/>
      <c r="K466" s="333"/>
      <c r="L466" s="333"/>
      <c r="M466" s="333"/>
      <c r="N466" s="333"/>
      <c r="O466" s="333"/>
      <c r="P466" s="333"/>
      <c r="Q466" s="333"/>
      <c r="R466" s="333"/>
      <c r="S466" s="333"/>
      <c r="T466" s="333"/>
      <c r="U466" s="333"/>
      <c r="V466" s="333"/>
    </row>
    <row r="467" spans="1:22">
      <c r="A467" s="333"/>
      <c r="B467" s="333"/>
      <c r="C467" s="333"/>
      <c r="D467" s="333"/>
      <c r="E467" s="333"/>
      <c r="F467" s="333"/>
      <c r="G467" s="333"/>
      <c r="H467" s="333"/>
      <c r="I467" s="333"/>
      <c r="J467" s="333"/>
      <c r="K467" s="333"/>
      <c r="L467" s="333"/>
      <c r="M467" s="333"/>
      <c r="N467" s="333"/>
      <c r="O467" s="333"/>
      <c r="P467" s="333"/>
      <c r="Q467" s="333"/>
      <c r="R467" s="333"/>
      <c r="S467" s="333"/>
      <c r="T467" s="333"/>
      <c r="U467" s="333"/>
      <c r="V467" s="333"/>
    </row>
    <row r="468" spans="1:22">
      <c r="A468" s="333"/>
      <c r="B468" s="333"/>
      <c r="C468" s="333"/>
      <c r="D468" s="333"/>
      <c r="E468" s="333"/>
      <c r="F468" s="333"/>
      <c r="G468" s="333"/>
      <c r="H468" s="333"/>
      <c r="I468" s="333"/>
      <c r="J468" s="333"/>
      <c r="K468" s="333"/>
      <c r="L468" s="333"/>
      <c r="M468" s="333"/>
      <c r="N468" s="333"/>
      <c r="O468" s="333"/>
      <c r="P468" s="333"/>
      <c r="Q468" s="333"/>
      <c r="R468" s="333"/>
      <c r="S468" s="333"/>
      <c r="T468" s="333"/>
      <c r="U468" s="333"/>
      <c r="V468" s="333"/>
    </row>
    <row r="469" spans="1:22">
      <c r="A469" s="333"/>
      <c r="B469" s="333"/>
      <c r="C469" s="333"/>
      <c r="D469" s="333"/>
      <c r="E469" s="333"/>
      <c r="F469" s="333"/>
      <c r="G469" s="333"/>
      <c r="H469" s="333"/>
      <c r="I469" s="333"/>
      <c r="J469" s="333"/>
      <c r="K469" s="333"/>
      <c r="L469" s="333"/>
      <c r="M469" s="333"/>
      <c r="N469" s="333"/>
      <c r="O469" s="333"/>
      <c r="P469" s="333"/>
      <c r="Q469" s="333"/>
      <c r="R469" s="333"/>
      <c r="S469" s="333"/>
      <c r="T469" s="333"/>
      <c r="U469" s="333"/>
      <c r="V469" s="333"/>
    </row>
    <row r="470" spans="1:22">
      <c r="A470" s="333"/>
      <c r="B470" s="333"/>
      <c r="C470" s="333"/>
      <c r="D470" s="333"/>
      <c r="E470" s="333"/>
      <c r="F470" s="333"/>
      <c r="G470" s="333"/>
      <c r="H470" s="333"/>
      <c r="I470" s="333"/>
      <c r="J470" s="333"/>
      <c r="K470" s="333"/>
      <c r="L470" s="333"/>
      <c r="M470" s="333"/>
      <c r="N470" s="333"/>
      <c r="O470" s="333"/>
      <c r="P470" s="333"/>
      <c r="Q470" s="333"/>
      <c r="R470" s="333"/>
      <c r="S470" s="333"/>
      <c r="T470" s="333"/>
      <c r="U470" s="333"/>
      <c r="V470" s="333"/>
    </row>
    <row r="471" spans="1:22">
      <c r="A471" s="333"/>
      <c r="B471" s="333"/>
      <c r="C471" s="333"/>
      <c r="D471" s="333"/>
      <c r="E471" s="333"/>
      <c r="F471" s="333"/>
      <c r="G471" s="333"/>
      <c r="H471" s="333"/>
      <c r="I471" s="333"/>
      <c r="J471" s="333"/>
      <c r="K471" s="333"/>
      <c r="L471" s="333"/>
      <c r="M471" s="333"/>
      <c r="N471" s="333"/>
      <c r="O471" s="333"/>
      <c r="P471" s="333"/>
      <c r="Q471" s="333"/>
      <c r="R471" s="333"/>
      <c r="S471" s="333"/>
      <c r="T471" s="333"/>
      <c r="U471" s="333"/>
      <c r="V471" s="333"/>
    </row>
    <row r="472" spans="1:22">
      <c r="A472" s="333"/>
      <c r="B472" s="333"/>
      <c r="C472" s="333"/>
      <c r="D472" s="333"/>
      <c r="E472" s="333"/>
      <c r="F472" s="333"/>
      <c r="G472" s="333"/>
      <c r="H472" s="333"/>
      <c r="I472" s="333"/>
      <c r="J472" s="333"/>
      <c r="K472" s="333"/>
      <c r="L472" s="333"/>
      <c r="M472" s="333"/>
      <c r="N472" s="333"/>
      <c r="O472" s="333"/>
      <c r="P472" s="333"/>
      <c r="Q472" s="333"/>
      <c r="R472" s="333"/>
      <c r="S472" s="333"/>
      <c r="T472" s="333"/>
      <c r="U472" s="333"/>
      <c r="V472" s="333"/>
    </row>
    <row r="473" spans="1:22">
      <c r="A473" s="333"/>
      <c r="B473" s="333"/>
      <c r="C473" s="333"/>
      <c r="D473" s="333"/>
      <c r="E473" s="333"/>
      <c r="F473" s="333"/>
      <c r="G473" s="333"/>
      <c r="H473" s="333"/>
      <c r="I473" s="333"/>
      <c r="J473" s="333"/>
      <c r="K473" s="333"/>
      <c r="L473" s="333"/>
      <c r="M473" s="333"/>
      <c r="N473" s="333"/>
      <c r="O473" s="333"/>
      <c r="P473" s="333"/>
      <c r="Q473" s="333"/>
      <c r="R473" s="333"/>
      <c r="S473" s="333"/>
      <c r="T473" s="333"/>
      <c r="U473" s="333"/>
      <c r="V473" s="333"/>
    </row>
    <row r="474" spans="1:22">
      <c r="A474" s="333"/>
      <c r="B474" s="333"/>
      <c r="C474" s="333"/>
      <c r="D474" s="333"/>
      <c r="E474" s="333"/>
      <c r="F474" s="333"/>
      <c r="G474" s="333"/>
      <c r="H474" s="333"/>
      <c r="I474" s="333"/>
      <c r="J474" s="333"/>
      <c r="K474" s="333"/>
      <c r="L474" s="333"/>
      <c r="M474" s="333"/>
      <c r="N474" s="333"/>
      <c r="O474" s="333"/>
      <c r="P474" s="333"/>
      <c r="Q474" s="333"/>
      <c r="R474" s="333"/>
      <c r="S474" s="333"/>
      <c r="T474" s="333"/>
      <c r="U474" s="333"/>
      <c r="V474" s="333"/>
    </row>
    <row r="475" spans="1:22">
      <c r="A475" s="333"/>
      <c r="B475" s="333"/>
      <c r="C475" s="333"/>
      <c r="D475" s="333"/>
      <c r="E475" s="333"/>
      <c r="F475" s="333"/>
      <c r="G475" s="333"/>
      <c r="H475" s="333"/>
      <c r="I475" s="333"/>
      <c r="J475" s="333"/>
      <c r="K475" s="333"/>
      <c r="L475" s="333"/>
      <c r="M475" s="333"/>
      <c r="N475" s="333"/>
      <c r="O475" s="333"/>
      <c r="P475" s="333"/>
      <c r="Q475" s="333"/>
      <c r="R475" s="333"/>
      <c r="S475" s="333"/>
      <c r="T475" s="333"/>
      <c r="U475" s="333"/>
      <c r="V475" s="333"/>
    </row>
    <row r="476" spans="1:22">
      <c r="A476" s="333"/>
      <c r="B476" s="333"/>
      <c r="C476" s="333"/>
      <c r="D476" s="333"/>
      <c r="E476" s="333"/>
      <c r="F476" s="333"/>
      <c r="G476" s="333"/>
      <c r="H476" s="333"/>
      <c r="I476" s="333"/>
      <c r="J476" s="333"/>
      <c r="K476" s="333"/>
      <c r="L476" s="333"/>
      <c r="M476" s="333"/>
      <c r="N476" s="333"/>
      <c r="O476" s="333"/>
      <c r="P476" s="333"/>
      <c r="Q476" s="333"/>
      <c r="R476" s="333"/>
      <c r="S476" s="333"/>
      <c r="T476" s="333"/>
      <c r="U476" s="333"/>
      <c r="V476" s="333"/>
    </row>
    <row r="477" spans="1:22">
      <c r="A477" s="333"/>
      <c r="B477" s="333"/>
      <c r="C477" s="333"/>
      <c r="D477" s="333"/>
      <c r="E477" s="333"/>
      <c r="F477" s="333"/>
      <c r="G477" s="333"/>
      <c r="H477" s="333"/>
      <c r="I477" s="333"/>
      <c r="J477" s="333"/>
      <c r="K477" s="333"/>
      <c r="L477" s="333"/>
      <c r="M477" s="333"/>
      <c r="N477" s="333"/>
      <c r="O477" s="333"/>
      <c r="P477" s="333"/>
      <c r="Q477" s="333"/>
      <c r="R477" s="333"/>
      <c r="S477" s="333"/>
      <c r="T477" s="333"/>
      <c r="U477" s="333"/>
      <c r="V477" s="333"/>
    </row>
    <row r="478" spans="1:22">
      <c r="A478" s="333"/>
      <c r="B478" s="333"/>
      <c r="C478" s="333"/>
      <c r="D478" s="333"/>
      <c r="E478" s="333"/>
      <c r="F478" s="333"/>
      <c r="G478" s="333"/>
      <c r="H478" s="333"/>
      <c r="I478" s="333"/>
      <c r="J478" s="333"/>
      <c r="K478" s="333"/>
      <c r="L478" s="333"/>
      <c r="M478" s="333"/>
      <c r="N478" s="333"/>
      <c r="O478" s="333"/>
      <c r="P478" s="333"/>
      <c r="Q478" s="333"/>
      <c r="R478" s="333"/>
      <c r="S478" s="333"/>
      <c r="T478" s="333"/>
      <c r="U478" s="333"/>
      <c r="V478" s="333"/>
    </row>
    <row r="479" spans="1:22">
      <c r="A479" s="333"/>
      <c r="B479" s="333"/>
      <c r="C479" s="333"/>
      <c r="D479" s="333"/>
      <c r="E479" s="333"/>
      <c r="F479" s="333"/>
      <c r="G479" s="333"/>
      <c r="H479" s="333"/>
      <c r="I479" s="333"/>
      <c r="J479" s="333"/>
      <c r="K479" s="333"/>
      <c r="L479" s="333"/>
      <c r="M479" s="333"/>
      <c r="N479" s="333"/>
      <c r="O479" s="333"/>
      <c r="P479" s="333"/>
      <c r="Q479" s="333"/>
      <c r="R479" s="333"/>
      <c r="S479" s="333"/>
      <c r="T479" s="333"/>
      <c r="U479" s="333"/>
      <c r="V479" s="333"/>
    </row>
    <row r="480" spans="1:22">
      <c r="A480" s="333"/>
      <c r="B480" s="333"/>
      <c r="C480" s="333"/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33"/>
      <c r="Q480" s="333"/>
      <c r="R480" s="333"/>
      <c r="S480" s="333"/>
      <c r="T480" s="333"/>
      <c r="U480" s="333"/>
      <c r="V480" s="333"/>
    </row>
    <row r="481" spans="1:22">
      <c r="A481" s="333"/>
      <c r="B481" s="333"/>
      <c r="C481" s="333"/>
      <c r="D481" s="333"/>
      <c r="E481" s="333"/>
      <c r="F481" s="333"/>
      <c r="G481" s="333"/>
      <c r="H481" s="333"/>
      <c r="I481" s="333"/>
      <c r="J481" s="333"/>
      <c r="K481" s="333"/>
      <c r="L481" s="333"/>
      <c r="M481" s="333"/>
      <c r="N481" s="333"/>
      <c r="O481" s="333"/>
      <c r="P481" s="333"/>
      <c r="Q481" s="333"/>
      <c r="R481" s="333"/>
      <c r="S481" s="333"/>
      <c r="T481" s="333"/>
      <c r="U481" s="333"/>
      <c r="V481" s="333"/>
    </row>
    <row r="482" spans="1:22">
      <c r="A482" s="333"/>
      <c r="B482" s="333"/>
      <c r="C482" s="333"/>
      <c r="D482" s="333"/>
      <c r="E482" s="333"/>
      <c r="F482" s="333"/>
      <c r="G482" s="333"/>
      <c r="H482" s="333"/>
      <c r="I482" s="333"/>
      <c r="J482" s="333"/>
      <c r="K482" s="333"/>
      <c r="L482" s="333"/>
      <c r="M482" s="333"/>
      <c r="N482" s="333"/>
      <c r="O482" s="333"/>
      <c r="P482" s="333"/>
      <c r="Q482" s="333"/>
      <c r="R482" s="333"/>
      <c r="S482" s="333"/>
      <c r="T482" s="333"/>
      <c r="U482" s="333"/>
      <c r="V482" s="333"/>
    </row>
    <row r="483" spans="1:22">
      <c r="A483" s="333"/>
      <c r="B483" s="333"/>
      <c r="C483" s="333"/>
      <c r="D483" s="333"/>
      <c r="E483" s="333"/>
      <c r="F483" s="333"/>
      <c r="G483" s="333"/>
      <c r="H483" s="333"/>
      <c r="I483" s="333"/>
      <c r="J483" s="333"/>
      <c r="K483" s="333"/>
      <c r="L483" s="333"/>
      <c r="M483" s="333"/>
      <c r="N483" s="333"/>
      <c r="O483" s="333"/>
      <c r="P483" s="333"/>
      <c r="Q483" s="333"/>
      <c r="R483" s="333"/>
      <c r="S483" s="333"/>
      <c r="T483" s="333"/>
      <c r="U483" s="333"/>
      <c r="V483" s="333"/>
    </row>
    <row r="484" spans="1:22">
      <c r="A484" s="333"/>
      <c r="B484" s="333"/>
      <c r="C484" s="333"/>
      <c r="D484" s="333"/>
      <c r="E484" s="333"/>
      <c r="F484" s="333"/>
      <c r="G484" s="333"/>
      <c r="H484" s="333"/>
      <c r="I484" s="333"/>
      <c r="J484" s="333"/>
      <c r="K484" s="333"/>
      <c r="L484" s="333"/>
      <c r="M484" s="333"/>
      <c r="N484" s="333"/>
      <c r="O484" s="333"/>
      <c r="P484" s="333"/>
      <c r="Q484" s="333"/>
      <c r="R484" s="333"/>
      <c r="S484" s="333"/>
      <c r="T484" s="333"/>
      <c r="U484" s="333"/>
      <c r="V484" s="333"/>
    </row>
    <row r="485" spans="1:22">
      <c r="A485" s="333"/>
      <c r="B485" s="333"/>
      <c r="C485" s="333"/>
      <c r="D485" s="333"/>
      <c r="E485" s="333"/>
      <c r="F485" s="333"/>
      <c r="G485" s="333"/>
      <c r="H485" s="333"/>
      <c r="I485" s="333"/>
      <c r="J485" s="333"/>
      <c r="K485" s="333"/>
      <c r="L485" s="333"/>
      <c r="M485" s="333"/>
      <c r="N485" s="333"/>
      <c r="O485" s="333"/>
      <c r="P485" s="333"/>
      <c r="Q485" s="333"/>
      <c r="R485" s="333"/>
      <c r="S485" s="333"/>
      <c r="T485" s="333"/>
      <c r="U485" s="333"/>
      <c r="V485" s="333"/>
    </row>
    <row r="486" spans="1:22">
      <c r="A486" s="333"/>
      <c r="B486" s="333"/>
      <c r="C486" s="333"/>
      <c r="D486" s="333"/>
      <c r="E486" s="333"/>
      <c r="F486" s="333"/>
      <c r="G486" s="333"/>
      <c r="H486" s="333"/>
      <c r="I486" s="333"/>
      <c r="J486" s="333"/>
      <c r="K486" s="333"/>
      <c r="L486" s="333"/>
      <c r="M486" s="333"/>
      <c r="N486" s="333"/>
      <c r="O486" s="333"/>
      <c r="P486" s="333"/>
      <c r="Q486" s="333"/>
      <c r="R486" s="333"/>
      <c r="S486" s="333"/>
      <c r="T486" s="333"/>
      <c r="U486" s="333"/>
      <c r="V486" s="333"/>
    </row>
    <row r="487" spans="1:22">
      <c r="A487" s="333"/>
      <c r="B487" s="333"/>
      <c r="C487" s="333"/>
      <c r="D487" s="333"/>
      <c r="E487" s="333"/>
      <c r="F487" s="333"/>
      <c r="G487" s="333"/>
      <c r="H487" s="333"/>
      <c r="I487" s="333"/>
      <c r="J487" s="333"/>
      <c r="K487" s="333"/>
      <c r="L487" s="333"/>
      <c r="M487" s="333"/>
      <c r="N487" s="333"/>
      <c r="O487" s="333"/>
      <c r="P487" s="333"/>
      <c r="Q487" s="333"/>
      <c r="R487" s="333"/>
      <c r="S487" s="333"/>
      <c r="T487" s="333"/>
      <c r="U487" s="333"/>
      <c r="V487" s="333"/>
    </row>
    <row r="488" spans="1:22">
      <c r="A488" s="333"/>
      <c r="B488" s="333"/>
      <c r="C488" s="333"/>
      <c r="D488" s="333"/>
      <c r="E488" s="333"/>
      <c r="F488" s="333"/>
      <c r="G488" s="333"/>
      <c r="H488" s="333"/>
      <c r="I488" s="333"/>
      <c r="J488" s="333"/>
      <c r="K488" s="333"/>
      <c r="L488" s="333"/>
      <c r="M488" s="333"/>
      <c r="N488" s="333"/>
      <c r="O488" s="333"/>
      <c r="P488" s="333"/>
      <c r="Q488" s="333"/>
      <c r="R488" s="333"/>
      <c r="S488" s="333"/>
      <c r="T488" s="333"/>
      <c r="U488" s="333"/>
      <c r="V488" s="333"/>
    </row>
    <row r="489" spans="1:22">
      <c r="A489" s="333"/>
      <c r="B489" s="333"/>
      <c r="C489" s="333"/>
      <c r="D489" s="333"/>
      <c r="E489" s="333"/>
      <c r="F489" s="333"/>
      <c r="G489" s="333"/>
      <c r="H489" s="333"/>
      <c r="I489" s="333"/>
      <c r="J489" s="333"/>
      <c r="K489" s="333"/>
      <c r="L489" s="333"/>
      <c r="M489" s="333"/>
      <c r="N489" s="333"/>
      <c r="O489" s="333"/>
      <c r="P489" s="333"/>
      <c r="Q489" s="333"/>
      <c r="R489" s="333"/>
      <c r="S489" s="333"/>
      <c r="T489" s="333"/>
      <c r="U489" s="333"/>
      <c r="V489" s="333"/>
    </row>
    <row r="490" spans="1:22">
      <c r="A490" s="333"/>
      <c r="B490" s="333"/>
      <c r="C490" s="333"/>
      <c r="D490" s="333"/>
      <c r="E490" s="333"/>
      <c r="F490" s="333"/>
      <c r="G490" s="333"/>
      <c r="H490" s="333"/>
      <c r="I490" s="333"/>
      <c r="J490" s="333"/>
      <c r="K490" s="333"/>
      <c r="L490" s="333"/>
      <c r="M490" s="333"/>
      <c r="N490" s="333"/>
      <c r="O490" s="333"/>
      <c r="P490" s="333"/>
      <c r="Q490" s="333"/>
      <c r="R490" s="333"/>
      <c r="S490" s="333"/>
      <c r="T490" s="333"/>
      <c r="U490" s="333"/>
      <c r="V490" s="333"/>
    </row>
    <row r="491" spans="1:22">
      <c r="A491" s="333"/>
      <c r="B491" s="333"/>
      <c r="C491" s="333"/>
      <c r="D491" s="333"/>
      <c r="E491" s="333"/>
      <c r="F491" s="333"/>
      <c r="G491" s="333"/>
      <c r="H491" s="333"/>
      <c r="I491" s="333"/>
      <c r="J491" s="333"/>
      <c r="K491" s="333"/>
      <c r="L491" s="333"/>
      <c r="M491" s="333"/>
      <c r="N491" s="333"/>
      <c r="O491" s="333"/>
      <c r="P491" s="333"/>
      <c r="Q491" s="333"/>
      <c r="R491" s="333"/>
      <c r="S491" s="333"/>
      <c r="T491" s="333"/>
      <c r="U491" s="333"/>
      <c r="V491" s="333"/>
    </row>
    <row r="492" spans="1:22">
      <c r="A492" s="333"/>
      <c r="B492" s="333"/>
      <c r="C492" s="333"/>
      <c r="D492" s="333"/>
      <c r="E492" s="333"/>
      <c r="F492" s="333"/>
      <c r="G492" s="333"/>
      <c r="H492" s="333"/>
      <c r="I492" s="333"/>
      <c r="J492" s="333"/>
      <c r="K492" s="333"/>
      <c r="L492" s="333"/>
      <c r="M492" s="333"/>
      <c r="N492" s="333"/>
      <c r="O492" s="333"/>
      <c r="P492" s="333"/>
      <c r="Q492" s="333"/>
      <c r="R492" s="333"/>
      <c r="S492" s="333"/>
      <c r="T492" s="333"/>
      <c r="U492" s="333"/>
      <c r="V492" s="333"/>
    </row>
    <row r="493" spans="1:22">
      <c r="A493" s="333"/>
      <c r="B493" s="333"/>
      <c r="C493" s="333"/>
      <c r="D493" s="333"/>
      <c r="E493" s="333"/>
      <c r="F493" s="333"/>
      <c r="G493" s="333"/>
      <c r="H493" s="333"/>
      <c r="I493" s="333"/>
      <c r="J493" s="333"/>
      <c r="K493" s="333"/>
      <c r="L493" s="333"/>
      <c r="M493" s="333"/>
      <c r="N493" s="333"/>
      <c r="O493" s="333"/>
      <c r="P493" s="333"/>
      <c r="Q493" s="333"/>
      <c r="R493" s="333"/>
      <c r="S493" s="333"/>
      <c r="T493" s="333"/>
      <c r="U493" s="333"/>
      <c r="V493" s="333"/>
    </row>
    <row r="494" spans="1:22">
      <c r="A494" s="333"/>
      <c r="B494" s="333"/>
      <c r="C494" s="333"/>
      <c r="D494" s="333"/>
      <c r="E494" s="333"/>
      <c r="F494" s="333"/>
      <c r="G494" s="333"/>
      <c r="H494" s="333"/>
      <c r="I494" s="333"/>
      <c r="J494" s="333"/>
      <c r="K494" s="333"/>
      <c r="L494" s="333"/>
      <c r="M494" s="333"/>
      <c r="N494" s="333"/>
      <c r="O494" s="333"/>
      <c r="P494" s="333"/>
      <c r="Q494" s="333"/>
      <c r="R494" s="333"/>
      <c r="S494" s="333"/>
      <c r="T494" s="333"/>
      <c r="U494" s="333"/>
      <c r="V494" s="333"/>
    </row>
    <row r="495" spans="1:22">
      <c r="A495" s="333"/>
      <c r="B495" s="333"/>
      <c r="C495" s="333"/>
      <c r="D495" s="333"/>
      <c r="E495" s="333"/>
      <c r="F495" s="333"/>
      <c r="G495" s="333"/>
      <c r="H495" s="333"/>
      <c r="I495" s="333"/>
      <c r="J495" s="333"/>
      <c r="K495" s="333"/>
      <c r="L495" s="333"/>
      <c r="M495" s="333"/>
      <c r="N495" s="333"/>
      <c r="O495" s="333"/>
      <c r="P495" s="333"/>
      <c r="Q495" s="333"/>
      <c r="R495" s="333"/>
      <c r="S495" s="333"/>
      <c r="T495" s="333"/>
      <c r="U495" s="333"/>
      <c r="V495" s="333"/>
    </row>
    <row r="496" spans="1:22">
      <c r="A496" s="333"/>
      <c r="B496" s="333"/>
      <c r="C496" s="333"/>
      <c r="D496" s="333"/>
      <c r="E496" s="333"/>
      <c r="F496" s="333"/>
      <c r="G496" s="333"/>
      <c r="H496" s="333"/>
      <c r="I496" s="333"/>
      <c r="J496" s="333"/>
      <c r="K496" s="333"/>
      <c r="L496" s="333"/>
      <c r="M496" s="333"/>
      <c r="N496" s="333"/>
      <c r="O496" s="333"/>
      <c r="P496" s="333"/>
      <c r="Q496" s="333"/>
      <c r="R496" s="333"/>
      <c r="S496" s="333"/>
      <c r="T496" s="333"/>
      <c r="U496" s="333"/>
      <c r="V496" s="333"/>
    </row>
    <row r="497" spans="1:22">
      <c r="A497" s="333"/>
      <c r="B497" s="333"/>
      <c r="C497" s="333"/>
      <c r="D497" s="333"/>
      <c r="E497" s="333"/>
      <c r="F497" s="333"/>
      <c r="G497" s="333"/>
      <c r="H497" s="333"/>
      <c r="I497" s="333"/>
      <c r="J497" s="333"/>
      <c r="K497" s="333"/>
      <c r="L497" s="333"/>
      <c r="M497" s="333"/>
      <c r="N497" s="333"/>
      <c r="O497" s="333"/>
      <c r="P497" s="333"/>
      <c r="Q497" s="333"/>
      <c r="R497" s="333"/>
      <c r="S497" s="333"/>
      <c r="T497" s="333"/>
      <c r="U497" s="333"/>
      <c r="V497" s="333"/>
    </row>
    <row r="498" spans="1:22">
      <c r="A498" s="333"/>
      <c r="B498" s="333"/>
      <c r="C498" s="333"/>
      <c r="D498" s="333"/>
      <c r="E498" s="333"/>
      <c r="F498" s="333"/>
      <c r="G498" s="333"/>
      <c r="H498" s="333"/>
      <c r="I498" s="333"/>
      <c r="J498" s="333"/>
      <c r="K498" s="333"/>
      <c r="L498" s="333"/>
      <c r="M498" s="333"/>
      <c r="N498" s="333"/>
      <c r="O498" s="333"/>
      <c r="P498" s="333"/>
      <c r="Q498" s="333"/>
      <c r="R498" s="333"/>
      <c r="S498" s="333"/>
      <c r="T498" s="333"/>
      <c r="U498" s="333"/>
      <c r="V498" s="333"/>
    </row>
    <row r="499" spans="1:22">
      <c r="A499" s="333"/>
      <c r="B499" s="333"/>
      <c r="C499" s="333"/>
      <c r="D499" s="333"/>
      <c r="E499" s="333"/>
      <c r="F499" s="333"/>
      <c r="G499" s="333"/>
      <c r="H499" s="333"/>
      <c r="I499" s="333"/>
      <c r="J499" s="333"/>
      <c r="K499" s="333"/>
      <c r="L499" s="333"/>
      <c r="M499" s="333"/>
      <c r="N499" s="333"/>
      <c r="O499" s="333"/>
      <c r="P499" s="333"/>
      <c r="Q499" s="333"/>
      <c r="R499" s="333"/>
      <c r="S499" s="333"/>
      <c r="T499" s="333"/>
      <c r="U499" s="333"/>
      <c r="V499" s="333"/>
    </row>
    <row r="500" spans="1:22">
      <c r="A500" s="333"/>
      <c r="B500" s="333"/>
      <c r="C500" s="333"/>
      <c r="D500" s="333"/>
      <c r="E500" s="333"/>
      <c r="F500" s="333"/>
      <c r="G500" s="333"/>
      <c r="H500" s="333"/>
      <c r="I500" s="333"/>
      <c r="J500" s="333"/>
      <c r="K500" s="333"/>
      <c r="L500" s="333"/>
      <c r="M500" s="333"/>
      <c r="N500" s="333"/>
      <c r="O500" s="333"/>
      <c r="P500" s="333"/>
      <c r="Q500" s="333"/>
      <c r="R500" s="333"/>
      <c r="S500" s="333"/>
      <c r="T500" s="333"/>
      <c r="U500" s="333"/>
      <c r="V500" s="333"/>
    </row>
    <row r="501" spans="1:22">
      <c r="A501" s="333"/>
      <c r="B501" s="333"/>
      <c r="C501" s="333"/>
      <c r="D501" s="333"/>
      <c r="E501" s="333"/>
      <c r="F501" s="333"/>
      <c r="G501" s="333"/>
      <c r="H501" s="333"/>
      <c r="I501" s="333"/>
      <c r="J501" s="333"/>
      <c r="K501" s="333"/>
      <c r="L501" s="333"/>
      <c r="M501" s="333"/>
      <c r="N501" s="333"/>
      <c r="O501" s="333"/>
      <c r="P501" s="333"/>
      <c r="Q501" s="333"/>
      <c r="R501" s="333"/>
      <c r="S501" s="333"/>
      <c r="T501" s="333"/>
      <c r="U501" s="333"/>
      <c r="V501" s="333"/>
    </row>
    <row r="502" spans="1:22">
      <c r="A502" s="333"/>
      <c r="B502" s="333"/>
      <c r="C502" s="333"/>
      <c r="D502" s="333"/>
      <c r="E502" s="333"/>
      <c r="F502" s="333"/>
      <c r="G502" s="333"/>
      <c r="H502" s="333"/>
      <c r="I502" s="333"/>
      <c r="J502" s="333"/>
      <c r="K502" s="333"/>
      <c r="L502" s="333"/>
      <c r="M502" s="333"/>
      <c r="N502" s="333"/>
      <c r="O502" s="333"/>
      <c r="P502" s="333"/>
      <c r="Q502" s="333"/>
      <c r="R502" s="333"/>
      <c r="S502" s="333"/>
      <c r="T502" s="333"/>
      <c r="U502" s="333"/>
      <c r="V502" s="333"/>
    </row>
    <row r="503" spans="1:22">
      <c r="A503" s="333"/>
      <c r="B503" s="333"/>
      <c r="C503" s="333"/>
      <c r="D503" s="333"/>
      <c r="E503" s="333"/>
      <c r="F503" s="333"/>
      <c r="G503" s="333"/>
      <c r="H503" s="333"/>
      <c r="I503" s="333"/>
      <c r="J503" s="333"/>
      <c r="K503" s="333"/>
      <c r="L503" s="333"/>
      <c r="M503" s="333"/>
      <c r="N503" s="333"/>
      <c r="O503" s="333"/>
      <c r="P503" s="333"/>
      <c r="Q503" s="333"/>
      <c r="R503" s="333"/>
      <c r="S503" s="333"/>
      <c r="T503" s="333"/>
      <c r="U503" s="333"/>
      <c r="V503" s="333"/>
    </row>
    <row r="504" spans="1:22">
      <c r="A504" s="333"/>
      <c r="B504" s="333"/>
      <c r="C504" s="333"/>
      <c r="D504" s="333"/>
      <c r="E504" s="333"/>
      <c r="F504" s="333"/>
      <c r="G504" s="333"/>
      <c r="H504" s="333"/>
      <c r="I504" s="333"/>
      <c r="J504" s="333"/>
      <c r="K504" s="333"/>
      <c r="L504" s="333"/>
      <c r="M504" s="333"/>
      <c r="N504" s="333"/>
      <c r="O504" s="333"/>
      <c r="P504" s="333"/>
      <c r="Q504" s="333"/>
      <c r="R504" s="333"/>
      <c r="S504" s="333"/>
      <c r="T504" s="333"/>
      <c r="U504" s="333"/>
      <c r="V504" s="333"/>
    </row>
    <row r="505" spans="1:22">
      <c r="A505" s="333"/>
      <c r="B505" s="333"/>
      <c r="C505" s="333"/>
      <c r="D505" s="333"/>
      <c r="E505" s="333"/>
      <c r="F505" s="333"/>
      <c r="G505" s="333"/>
      <c r="H505" s="333"/>
      <c r="I505" s="333"/>
      <c r="J505" s="333"/>
      <c r="K505" s="333"/>
      <c r="L505" s="333"/>
      <c r="M505" s="333"/>
      <c r="N505" s="333"/>
      <c r="O505" s="333"/>
      <c r="P505" s="333"/>
      <c r="Q505" s="333"/>
      <c r="R505" s="333"/>
      <c r="S505" s="333"/>
      <c r="T505" s="333"/>
      <c r="U505" s="333"/>
      <c r="V505" s="333"/>
    </row>
    <row r="506" spans="1:22">
      <c r="A506" s="333"/>
      <c r="B506" s="333"/>
      <c r="C506" s="333"/>
      <c r="D506" s="333"/>
      <c r="E506" s="333"/>
      <c r="F506" s="333"/>
      <c r="G506" s="333"/>
      <c r="H506" s="333"/>
      <c r="I506" s="333"/>
      <c r="J506" s="333"/>
      <c r="K506" s="333"/>
      <c r="L506" s="333"/>
      <c r="M506" s="333"/>
      <c r="N506" s="333"/>
      <c r="O506" s="333"/>
      <c r="P506" s="333"/>
      <c r="Q506" s="333"/>
      <c r="R506" s="333"/>
      <c r="S506" s="333"/>
      <c r="T506" s="333"/>
      <c r="U506" s="333"/>
      <c r="V506" s="333"/>
    </row>
    <row r="507" spans="1:22">
      <c r="A507" s="333"/>
      <c r="B507" s="333"/>
      <c r="C507" s="333"/>
      <c r="D507" s="333"/>
      <c r="E507" s="333"/>
      <c r="F507" s="333"/>
      <c r="G507" s="333"/>
      <c r="H507" s="333"/>
      <c r="I507" s="333"/>
      <c r="J507" s="333"/>
      <c r="K507" s="333"/>
      <c r="L507" s="333"/>
      <c r="M507" s="333"/>
      <c r="N507" s="333"/>
      <c r="O507" s="333"/>
      <c r="P507" s="333"/>
      <c r="Q507" s="333"/>
      <c r="R507" s="333"/>
      <c r="S507" s="333"/>
      <c r="T507" s="333"/>
      <c r="U507" s="333"/>
      <c r="V507" s="333"/>
    </row>
    <row r="508" spans="1:22">
      <c r="A508" s="333"/>
      <c r="B508" s="333"/>
      <c r="C508" s="333"/>
      <c r="D508" s="333"/>
      <c r="E508" s="333"/>
      <c r="F508" s="333"/>
      <c r="G508" s="333"/>
      <c r="H508" s="333"/>
      <c r="I508" s="333"/>
      <c r="J508" s="333"/>
      <c r="K508" s="333"/>
      <c r="L508" s="333"/>
      <c r="M508" s="333"/>
      <c r="N508" s="333"/>
      <c r="O508" s="333"/>
      <c r="P508" s="333"/>
      <c r="Q508" s="333"/>
      <c r="R508" s="333"/>
      <c r="S508" s="333"/>
      <c r="T508" s="333"/>
      <c r="U508" s="333"/>
      <c r="V508" s="333"/>
    </row>
    <row r="509" spans="1:22">
      <c r="A509" s="333"/>
      <c r="B509" s="333"/>
      <c r="C509" s="333"/>
      <c r="D509" s="333"/>
      <c r="E509" s="333"/>
      <c r="F509" s="333"/>
      <c r="G509" s="333"/>
      <c r="H509" s="333"/>
      <c r="I509" s="333"/>
      <c r="J509" s="333"/>
      <c r="K509" s="333"/>
      <c r="L509" s="333"/>
      <c r="M509" s="333"/>
      <c r="N509" s="333"/>
      <c r="O509" s="333"/>
      <c r="P509" s="333"/>
      <c r="Q509" s="333"/>
      <c r="R509" s="333"/>
      <c r="S509" s="333"/>
      <c r="T509" s="333"/>
      <c r="U509" s="333"/>
      <c r="V509" s="333"/>
    </row>
    <row r="510" spans="1:22">
      <c r="A510" s="333"/>
      <c r="B510" s="333"/>
      <c r="C510" s="333"/>
      <c r="D510" s="333"/>
      <c r="E510" s="333"/>
      <c r="F510" s="333"/>
      <c r="G510" s="333"/>
      <c r="H510" s="333"/>
      <c r="I510" s="333"/>
      <c r="J510" s="333"/>
      <c r="K510" s="333"/>
      <c r="L510" s="333"/>
      <c r="M510" s="333"/>
      <c r="N510" s="333"/>
      <c r="O510" s="333"/>
      <c r="P510" s="333"/>
      <c r="Q510" s="333"/>
      <c r="R510" s="333"/>
      <c r="S510" s="333"/>
      <c r="T510" s="333"/>
      <c r="U510" s="333"/>
      <c r="V510" s="333"/>
    </row>
    <row r="511" spans="1:22">
      <c r="A511" s="333"/>
      <c r="B511" s="333"/>
      <c r="C511" s="333"/>
      <c r="D511" s="333"/>
      <c r="E511" s="333"/>
      <c r="F511" s="333"/>
      <c r="G511" s="333"/>
      <c r="H511" s="333"/>
      <c r="I511" s="333"/>
      <c r="J511" s="333"/>
      <c r="K511" s="333"/>
      <c r="L511" s="333"/>
      <c r="M511" s="333"/>
      <c r="N511" s="333"/>
      <c r="O511" s="333"/>
      <c r="P511" s="333"/>
      <c r="Q511" s="333"/>
      <c r="R511" s="333"/>
      <c r="S511" s="333"/>
      <c r="T511" s="333"/>
      <c r="U511" s="333"/>
      <c r="V511" s="333"/>
    </row>
    <row r="512" spans="1:22">
      <c r="A512" s="333"/>
      <c r="B512" s="333"/>
      <c r="C512" s="333"/>
      <c r="D512" s="333"/>
      <c r="E512" s="333"/>
      <c r="F512" s="333"/>
      <c r="G512" s="333"/>
      <c r="H512" s="333"/>
      <c r="I512" s="333"/>
      <c r="J512" s="333"/>
      <c r="K512" s="333"/>
      <c r="L512" s="333"/>
      <c r="M512" s="333"/>
      <c r="N512" s="333"/>
      <c r="O512" s="333"/>
      <c r="P512" s="333"/>
      <c r="Q512" s="333"/>
      <c r="R512" s="333"/>
      <c r="S512" s="333"/>
      <c r="T512" s="333"/>
      <c r="U512" s="333"/>
      <c r="V512" s="333"/>
    </row>
    <row r="513" spans="1:22">
      <c r="A513" s="333"/>
      <c r="B513" s="333"/>
      <c r="C513" s="333"/>
      <c r="D513" s="333"/>
      <c r="E513" s="333"/>
      <c r="F513" s="333"/>
      <c r="G513" s="333"/>
      <c r="H513" s="333"/>
      <c r="I513" s="333"/>
      <c r="J513" s="333"/>
      <c r="K513" s="333"/>
      <c r="L513" s="333"/>
      <c r="M513" s="333"/>
      <c r="N513" s="333"/>
      <c r="O513" s="333"/>
      <c r="P513" s="333"/>
      <c r="Q513" s="333"/>
      <c r="R513" s="333"/>
      <c r="S513" s="333"/>
      <c r="T513" s="333"/>
      <c r="U513" s="333"/>
      <c r="V513" s="333"/>
    </row>
    <row r="514" spans="1:22">
      <c r="A514" s="333"/>
      <c r="B514" s="333"/>
      <c r="C514" s="333"/>
      <c r="D514" s="333"/>
      <c r="E514" s="333"/>
      <c r="F514" s="333"/>
      <c r="G514" s="333"/>
      <c r="H514" s="333"/>
      <c r="I514" s="333"/>
      <c r="J514" s="333"/>
      <c r="K514" s="333"/>
      <c r="L514" s="333"/>
      <c r="M514" s="333"/>
      <c r="N514" s="333"/>
      <c r="O514" s="333"/>
      <c r="P514" s="333"/>
      <c r="Q514" s="333"/>
      <c r="R514" s="333"/>
      <c r="S514" s="333"/>
      <c r="T514" s="333"/>
      <c r="U514" s="333"/>
      <c r="V514" s="333"/>
    </row>
    <row r="515" spans="1:22">
      <c r="A515" s="333"/>
      <c r="B515" s="333"/>
      <c r="C515" s="333"/>
      <c r="D515" s="333"/>
      <c r="E515" s="333"/>
      <c r="F515" s="333"/>
      <c r="G515" s="333"/>
      <c r="H515" s="333"/>
      <c r="I515" s="333"/>
      <c r="J515" s="333"/>
      <c r="K515" s="333"/>
      <c r="L515" s="333"/>
      <c r="M515" s="333"/>
      <c r="N515" s="333"/>
      <c r="O515" s="333"/>
      <c r="P515" s="333"/>
      <c r="Q515" s="333"/>
      <c r="R515" s="333"/>
      <c r="S515" s="333"/>
      <c r="T515" s="333"/>
      <c r="U515" s="333"/>
      <c r="V515" s="333"/>
    </row>
    <row r="516" spans="1:22">
      <c r="A516" s="333"/>
      <c r="B516" s="333"/>
      <c r="C516" s="333"/>
      <c r="D516" s="333"/>
      <c r="E516" s="333"/>
      <c r="F516" s="333"/>
      <c r="G516" s="333"/>
      <c r="H516" s="333"/>
      <c r="I516" s="333"/>
      <c r="J516" s="333"/>
      <c r="K516" s="333"/>
      <c r="L516" s="333"/>
      <c r="M516" s="333"/>
      <c r="N516" s="333"/>
      <c r="O516" s="333"/>
      <c r="P516" s="333"/>
      <c r="Q516" s="333"/>
      <c r="R516" s="333"/>
      <c r="S516" s="333"/>
      <c r="T516" s="333"/>
      <c r="U516" s="333"/>
      <c r="V516" s="333"/>
    </row>
    <row r="517" spans="1:22">
      <c r="A517" s="333"/>
      <c r="B517" s="333"/>
      <c r="C517" s="333"/>
      <c r="D517" s="333"/>
      <c r="E517" s="333"/>
      <c r="F517" s="333"/>
      <c r="G517" s="333"/>
      <c r="H517" s="333"/>
      <c r="I517" s="333"/>
      <c r="J517" s="333"/>
      <c r="K517" s="333"/>
      <c r="L517" s="333"/>
      <c r="M517" s="333"/>
      <c r="N517" s="333"/>
      <c r="O517" s="333"/>
      <c r="P517" s="333"/>
      <c r="Q517" s="333"/>
      <c r="R517" s="333"/>
      <c r="S517" s="333"/>
      <c r="T517" s="333"/>
      <c r="U517" s="333"/>
      <c r="V517" s="333"/>
    </row>
    <row r="518" spans="1:22">
      <c r="A518" s="333"/>
      <c r="B518" s="333"/>
      <c r="C518" s="333"/>
      <c r="D518" s="333"/>
      <c r="E518" s="333"/>
      <c r="F518" s="333"/>
      <c r="G518" s="333"/>
      <c r="H518" s="333"/>
      <c r="I518" s="333"/>
      <c r="J518" s="333"/>
      <c r="K518" s="333"/>
      <c r="L518" s="333"/>
      <c r="M518" s="333"/>
      <c r="N518" s="333"/>
      <c r="O518" s="333"/>
      <c r="P518" s="333"/>
      <c r="Q518" s="333"/>
      <c r="R518" s="333"/>
      <c r="S518" s="333"/>
      <c r="T518" s="333"/>
      <c r="U518" s="333"/>
      <c r="V518" s="333"/>
    </row>
    <row r="519" spans="1:22">
      <c r="A519" s="333"/>
      <c r="B519" s="333"/>
      <c r="C519" s="333"/>
      <c r="D519" s="333"/>
      <c r="E519" s="333"/>
      <c r="F519" s="333"/>
      <c r="G519" s="333"/>
      <c r="H519" s="333"/>
      <c r="I519" s="333"/>
      <c r="J519" s="333"/>
      <c r="K519" s="333"/>
      <c r="L519" s="333"/>
      <c r="M519" s="333"/>
      <c r="N519" s="333"/>
      <c r="O519" s="333"/>
      <c r="P519" s="333"/>
      <c r="Q519" s="333"/>
      <c r="R519" s="333"/>
      <c r="S519" s="333"/>
      <c r="T519" s="333"/>
      <c r="U519" s="333"/>
      <c r="V519" s="333"/>
    </row>
    <row r="520" spans="1:22">
      <c r="A520" s="333"/>
      <c r="B520" s="333"/>
      <c r="C520" s="333"/>
      <c r="D520" s="333"/>
      <c r="E520" s="333"/>
      <c r="F520" s="333"/>
      <c r="G520" s="333"/>
      <c r="H520" s="333"/>
      <c r="I520" s="333"/>
      <c r="J520" s="333"/>
      <c r="K520" s="333"/>
      <c r="L520" s="333"/>
      <c r="M520" s="333"/>
      <c r="N520" s="333"/>
      <c r="O520" s="333"/>
      <c r="P520" s="333"/>
      <c r="Q520" s="333"/>
      <c r="R520" s="333"/>
      <c r="S520" s="333"/>
      <c r="T520" s="333"/>
      <c r="U520" s="333"/>
      <c r="V520" s="333"/>
    </row>
    <row r="521" spans="1:22">
      <c r="A521" s="333"/>
      <c r="B521" s="333"/>
      <c r="C521" s="333"/>
      <c r="D521" s="333"/>
      <c r="E521" s="333"/>
      <c r="F521" s="333"/>
      <c r="G521" s="333"/>
      <c r="H521" s="333"/>
      <c r="I521" s="333"/>
      <c r="J521" s="333"/>
      <c r="K521" s="333"/>
      <c r="L521" s="333"/>
      <c r="M521" s="333"/>
      <c r="N521" s="333"/>
      <c r="O521" s="333"/>
      <c r="P521" s="333"/>
      <c r="Q521" s="333"/>
      <c r="R521" s="333"/>
      <c r="S521" s="333"/>
      <c r="T521" s="333"/>
      <c r="U521" s="333"/>
      <c r="V521" s="333"/>
    </row>
    <row r="522" spans="1:22">
      <c r="A522" s="333"/>
      <c r="B522" s="333"/>
      <c r="C522" s="333"/>
      <c r="D522" s="333"/>
      <c r="E522" s="333"/>
      <c r="F522" s="333"/>
      <c r="G522" s="333"/>
      <c r="H522" s="333"/>
      <c r="I522" s="333"/>
      <c r="J522" s="333"/>
      <c r="K522" s="333"/>
      <c r="L522" s="333"/>
      <c r="M522" s="333"/>
      <c r="N522" s="333"/>
      <c r="O522" s="333"/>
      <c r="P522" s="333"/>
      <c r="Q522" s="333"/>
      <c r="R522" s="333"/>
      <c r="S522" s="333"/>
      <c r="T522" s="333"/>
      <c r="U522" s="333"/>
      <c r="V522" s="333"/>
    </row>
    <row r="523" spans="1:22">
      <c r="A523" s="333"/>
      <c r="B523" s="333"/>
      <c r="C523" s="333"/>
      <c r="D523" s="333"/>
      <c r="E523" s="333"/>
      <c r="F523" s="333"/>
      <c r="G523" s="333"/>
      <c r="H523" s="333"/>
      <c r="I523" s="333"/>
      <c r="J523" s="333"/>
      <c r="K523" s="333"/>
      <c r="L523" s="333"/>
      <c r="M523" s="333"/>
      <c r="N523" s="333"/>
      <c r="O523" s="333"/>
      <c r="P523" s="333"/>
      <c r="Q523" s="333"/>
      <c r="R523" s="333"/>
      <c r="S523" s="333"/>
      <c r="T523" s="333"/>
      <c r="U523" s="333"/>
      <c r="V523" s="333"/>
    </row>
    <row r="524" spans="1:22">
      <c r="A524" s="333"/>
      <c r="B524" s="333"/>
      <c r="C524" s="333"/>
      <c r="D524" s="333"/>
      <c r="E524" s="333"/>
      <c r="F524" s="333"/>
      <c r="G524" s="333"/>
      <c r="H524" s="333"/>
      <c r="I524" s="333"/>
      <c r="J524" s="333"/>
      <c r="K524" s="333"/>
      <c r="L524" s="333"/>
      <c r="M524" s="333"/>
      <c r="N524" s="333"/>
      <c r="O524" s="333"/>
      <c r="P524" s="333"/>
      <c r="Q524" s="333"/>
      <c r="R524" s="333"/>
      <c r="S524" s="333"/>
      <c r="T524" s="333"/>
      <c r="U524" s="333"/>
      <c r="V524" s="333"/>
    </row>
    <row r="525" spans="1:22">
      <c r="A525" s="333"/>
      <c r="B525" s="333"/>
      <c r="C525" s="333"/>
      <c r="D525" s="333"/>
      <c r="E525" s="333"/>
      <c r="F525" s="333"/>
      <c r="G525" s="333"/>
      <c r="H525" s="333"/>
      <c r="I525" s="333"/>
      <c r="J525" s="333"/>
      <c r="K525" s="333"/>
      <c r="L525" s="333"/>
      <c r="M525" s="333"/>
      <c r="N525" s="333"/>
      <c r="O525" s="333"/>
      <c r="P525" s="333"/>
      <c r="Q525" s="333"/>
      <c r="R525" s="333"/>
      <c r="S525" s="333"/>
      <c r="T525" s="333"/>
      <c r="U525" s="333"/>
      <c r="V525" s="333"/>
    </row>
    <row r="526" spans="1:22">
      <c r="A526" s="333"/>
      <c r="B526" s="333"/>
      <c r="C526" s="333"/>
      <c r="D526" s="333"/>
      <c r="E526" s="333"/>
      <c r="F526" s="333"/>
      <c r="G526" s="333"/>
      <c r="H526" s="333"/>
      <c r="I526" s="333"/>
      <c r="J526" s="333"/>
      <c r="K526" s="333"/>
      <c r="L526" s="333"/>
      <c r="M526" s="333"/>
      <c r="N526" s="333"/>
      <c r="O526" s="333"/>
      <c r="P526" s="333"/>
      <c r="Q526" s="333"/>
      <c r="R526" s="333"/>
      <c r="S526" s="333"/>
      <c r="T526" s="333"/>
      <c r="U526" s="333"/>
      <c r="V526" s="333"/>
    </row>
    <row r="527" spans="1:22">
      <c r="A527" s="333"/>
      <c r="B527" s="333"/>
      <c r="C527" s="333"/>
      <c r="D527" s="333"/>
      <c r="E527" s="333"/>
      <c r="F527" s="333"/>
      <c r="G527" s="333"/>
      <c r="H527" s="333"/>
      <c r="I527" s="333"/>
      <c r="J527" s="333"/>
      <c r="K527" s="333"/>
      <c r="L527" s="333"/>
      <c r="M527" s="333"/>
      <c r="N527" s="333"/>
      <c r="O527" s="333"/>
      <c r="P527" s="333"/>
      <c r="Q527" s="333"/>
      <c r="R527" s="333"/>
      <c r="S527" s="333"/>
      <c r="T527" s="333"/>
      <c r="U527" s="333"/>
      <c r="V527" s="333"/>
    </row>
    <row r="528" spans="1:22">
      <c r="A528" s="333"/>
      <c r="B528" s="333"/>
      <c r="C528" s="333"/>
      <c r="D528" s="333"/>
      <c r="E528" s="333"/>
      <c r="F528" s="333"/>
      <c r="G528" s="333"/>
      <c r="H528" s="333"/>
      <c r="I528" s="333"/>
      <c r="J528" s="333"/>
      <c r="K528" s="333"/>
      <c r="L528" s="333"/>
      <c r="M528" s="333"/>
      <c r="N528" s="333"/>
      <c r="O528" s="333"/>
      <c r="P528" s="333"/>
      <c r="Q528" s="333"/>
      <c r="R528" s="333"/>
      <c r="S528" s="333"/>
      <c r="T528" s="333"/>
      <c r="U528" s="333"/>
      <c r="V528" s="333"/>
    </row>
    <row r="529" spans="1:22">
      <c r="A529" s="333"/>
      <c r="B529" s="333"/>
      <c r="C529" s="333"/>
      <c r="D529" s="333"/>
      <c r="E529" s="333"/>
      <c r="F529" s="333"/>
      <c r="G529" s="333"/>
      <c r="H529" s="333"/>
      <c r="I529" s="333"/>
      <c r="J529" s="333"/>
      <c r="K529" s="333"/>
      <c r="L529" s="333"/>
      <c r="M529" s="333"/>
      <c r="N529" s="333"/>
      <c r="O529" s="333"/>
      <c r="P529" s="333"/>
      <c r="Q529" s="333"/>
      <c r="R529" s="333"/>
      <c r="S529" s="333"/>
      <c r="T529" s="333"/>
      <c r="U529" s="333"/>
      <c r="V529" s="333"/>
    </row>
    <row r="530" spans="1:22">
      <c r="A530" s="333"/>
      <c r="B530" s="333"/>
      <c r="C530" s="333"/>
      <c r="D530" s="333"/>
      <c r="E530" s="333"/>
      <c r="F530" s="333"/>
      <c r="G530" s="333"/>
      <c r="H530" s="333"/>
      <c r="I530" s="333"/>
      <c r="J530" s="333"/>
      <c r="K530" s="333"/>
      <c r="L530" s="333"/>
      <c r="M530" s="333"/>
      <c r="N530" s="333"/>
      <c r="O530" s="333"/>
      <c r="P530" s="333"/>
      <c r="Q530" s="333"/>
      <c r="R530" s="333"/>
      <c r="S530" s="333"/>
      <c r="T530" s="333"/>
      <c r="U530" s="333"/>
      <c r="V530" s="333"/>
    </row>
    <row r="531" spans="1:22">
      <c r="A531" s="333"/>
      <c r="B531" s="333"/>
      <c r="C531" s="333"/>
      <c r="D531" s="333"/>
      <c r="E531" s="333"/>
      <c r="F531" s="333"/>
      <c r="G531" s="333"/>
      <c r="H531" s="333"/>
      <c r="I531" s="333"/>
      <c r="J531" s="333"/>
      <c r="K531" s="333"/>
      <c r="L531" s="333"/>
      <c r="M531" s="333"/>
      <c r="N531" s="333"/>
      <c r="O531" s="333"/>
      <c r="P531" s="333"/>
      <c r="Q531" s="333"/>
      <c r="R531" s="333"/>
      <c r="S531" s="333"/>
      <c r="T531" s="333"/>
      <c r="U531" s="333"/>
      <c r="V531" s="333"/>
    </row>
    <row r="532" spans="1:22">
      <c r="A532" s="333"/>
      <c r="B532" s="333"/>
      <c r="C532" s="333"/>
      <c r="D532" s="333"/>
      <c r="E532" s="333"/>
      <c r="F532" s="333"/>
      <c r="G532" s="333"/>
      <c r="H532" s="333"/>
      <c r="I532" s="333"/>
      <c r="J532" s="333"/>
      <c r="K532" s="333"/>
      <c r="L532" s="333"/>
      <c r="M532" s="333"/>
      <c r="N532" s="333"/>
      <c r="O532" s="333"/>
      <c r="P532" s="333"/>
      <c r="Q532" s="333"/>
      <c r="R532" s="333"/>
      <c r="S532" s="333"/>
      <c r="T532" s="333"/>
      <c r="U532" s="333"/>
      <c r="V532" s="333"/>
    </row>
    <row r="533" spans="1:22">
      <c r="A533" s="333"/>
      <c r="B533" s="333"/>
      <c r="C533" s="333"/>
      <c r="D533" s="333"/>
      <c r="E533" s="333"/>
      <c r="F533" s="333"/>
      <c r="G533" s="333"/>
      <c r="H533" s="333"/>
      <c r="I533" s="333"/>
      <c r="J533" s="333"/>
      <c r="K533" s="333"/>
      <c r="L533" s="333"/>
      <c r="M533" s="333"/>
      <c r="N533" s="333"/>
      <c r="O533" s="333"/>
      <c r="P533" s="333"/>
      <c r="Q533" s="333"/>
      <c r="R533" s="333"/>
      <c r="S533" s="333"/>
      <c r="T533" s="333"/>
      <c r="U533" s="333"/>
      <c r="V533" s="333"/>
    </row>
    <row r="534" spans="1:22">
      <c r="A534" s="333"/>
      <c r="B534" s="333"/>
      <c r="C534" s="333"/>
      <c r="D534" s="333"/>
      <c r="E534" s="333"/>
      <c r="F534" s="333"/>
      <c r="G534" s="333"/>
      <c r="H534" s="333"/>
      <c r="I534" s="333"/>
      <c r="J534" s="333"/>
      <c r="K534" s="333"/>
      <c r="L534" s="333"/>
      <c r="M534" s="333"/>
      <c r="N534" s="333"/>
      <c r="O534" s="333"/>
      <c r="P534" s="333"/>
      <c r="Q534" s="333"/>
      <c r="R534" s="333"/>
      <c r="S534" s="333"/>
      <c r="T534" s="333"/>
      <c r="U534" s="333"/>
      <c r="V534" s="333"/>
    </row>
    <row r="535" spans="1:22">
      <c r="A535" s="333"/>
      <c r="B535" s="333"/>
      <c r="C535" s="333"/>
      <c r="D535" s="333"/>
      <c r="E535" s="333"/>
      <c r="F535" s="333"/>
      <c r="G535" s="333"/>
      <c r="H535" s="333"/>
      <c r="I535" s="333"/>
      <c r="J535" s="333"/>
      <c r="K535" s="333"/>
      <c r="L535" s="333"/>
      <c r="M535" s="333"/>
      <c r="N535" s="333"/>
      <c r="O535" s="333"/>
      <c r="P535" s="333"/>
      <c r="Q535" s="333"/>
      <c r="R535" s="333"/>
      <c r="S535" s="333"/>
      <c r="T535" s="333"/>
      <c r="U535" s="333"/>
      <c r="V535" s="333"/>
    </row>
    <row r="536" spans="1:22">
      <c r="A536" s="333"/>
      <c r="B536" s="333"/>
      <c r="C536" s="333"/>
      <c r="D536" s="333"/>
      <c r="E536" s="333"/>
      <c r="F536" s="333"/>
      <c r="G536" s="333"/>
      <c r="H536" s="333"/>
      <c r="I536" s="333"/>
      <c r="J536" s="333"/>
      <c r="K536" s="333"/>
      <c r="L536" s="333"/>
      <c r="M536" s="333"/>
      <c r="N536" s="333"/>
      <c r="O536" s="333"/>
      <c r="P536" s="333"/>
      <c r="Q536" s="333"/>
      <c r="R536" s="333"/>
      <c r="S536" s="333"/>
      <c r="T536" s="333"/>
      <c r="U536" s="333"/>
      <c r="V536" s="333"/>
    </row>
    <row r="537" spans="1:22">
      <c r="A537" s="333"/>
      <c r="B537" s="333"/>
      <c r="C537" s="333"/>
      <c r="D537" s="333"/>
      <c r="E537" s="333"/>
      <c r="F537" s="333"/>
      <c r="G537" s="333"/>
      <c r="H537" s="333"/>
      <c r="I537" s="333"/>
      <c r="J537" s="333"/>
      <c r="K537" s="333"/>
      <c r="L537" s="333"/>
      <c r="M537" s="333"/>
      <c r="N537" s="333"/>
      <c r="O537" s="333"/>
      <c r="P537" s="333"/>
      <c r="Q537" s="333"/>
      <c r="R537" s="333"/>
      <c r="S537" s="333"/>
      <c r="T537" s="333"/>
      <c r="U537" s="333"/>
      <c r="V537" s="333"/>
    </row>
    <row r="538" spans="1:22">
      <c r="A538" s="333"/>
      <c r="B538" s="333"/>
      <c r="C538" s="333"/>
      <c r="D538" s="333"/>
      <c r="E538" s="333"/>
      <c r="F538" s="333"/>
      <c r="G538" s="333"/>
      <c r="H538" s="333"/>
      <c r="I538" s="333"/>
      <c r="J538" s="333"/>
      <c r="K538" s="333"/>
      <c r="L538" s="333"/>
      <c r="M538" s="333"/>
      <c r="N538" s="333"/>
      <c r="O538" s="333"/>
      <c r="P538" s="333"/>
      <c r="Q538" s="333"/>
      <c r="R538" s="333"/>
      <c r="S538" s="333"/>
      <c r="T538" s="333"/>
      <c r="U538" s="333"/>
      <c r="V538" s="333"/>
    </row>
    <row r="539" spans="1:22">
      <c r="A539" s="333"/>
      <c r="B539" s="333"/>
      <c r="C539" s="333"/>
      <c r="D539" s="333"/>
      <c r="E539" s="333"/>
      <c r="F539" s="333"/>
      <c r="G539" s="333"/>
      <c r="H539" s="333"/>
      <c r="I539" s="333"/>
      <c r="J539" s="333"/>
      <c r="K539" s="333"/>
      <c r="L539" s="333"/>
      <c r="M539" s="333"/>
      <c r="N539" s="333"/>
      <c r="O539" s="333"/>
      <c r="P539" s="333"/>
      <c r="Q539" s="333"/>
      <c r="R539" s="333"/>
      <c r="S539" s="333"/>
      <c r="T539" s="333"/>
      <c r="U539" s="333"/>
      <c r="V539" s="333"/>
    </row>
    <row r="540" spans="1:22">
      <c r="A540" s="333"/>
      <c r="B540" s="333"/>
      <c r="C540" s="333"/>
      <c r="D540" s="333"/>
      <c r="E540" s="333"/>
      <c r="F540" s="333"/>
      <c r="G540" s="333"/>
      <c r="H540" s="333"/>
      <c r="I540" s="333"/>
      <c r="J540" s="333"/>
      <c r="K540" s="333"/>
      <c r="L540" s="333"/>
      <c r="M540" s="333"/>
      <c r="N540" s="333"/>
      <c r="O540" s="333"/>
      <c r="P540" s="333"/>
      <c r="Q540" s="333"/>
      <c r="R540" s="333"/>
      <c r="S540" s="333"/>
      <c r="T540" s="333"/>
      <c r="U540" s="333"/>
      <c r="V540" s="333"/>
    </row>
    <row r="541" spans="1:22">
      <c r="A541" s="333"/>
      <c r="B541" s="333"/>
      <c r="C541" s="333"/>
      <c r="D541" s="333"/>
      <c r="E541" s="333"/>
      <c r="F541" s="333"/>
      <c r="G541" s="333"/>
      <c r="H541" s="333"/>
      <c r="I541" s="333"/>
      <c r="J541" s="333"/>
      <c r="K541" s="333"/>
      <c r="L541" s="333"/>
      <c r="M541" s="333"/>
      <c r="N541" s="333"/>
      <c r="O541" s="333"/>
      <c r="P541" s="333"/>
      <c r="Q541" s="333"/>
      <c r="R541" s="333"/>
      <c r="S541" s="333"/>
      <c r="T541" s="333"/>
      <c r="U541" s="333"/>
      <c r="V541" s="333"/>
    </row>
    <row r="542" spans="1:22">
      <c r="A542" s="333"/>
      <c r="B542" s="333"/>
      <c r="C542" s="333"/>
      <c r="D542" s="333"/>
      <c r="E542" s="333"/>
      <c r="F542" s="333"/>
      <c r="G542" s="333"/>
      <c r="H542" s="333"/>
      <c r="I542" s="333"/>
      <c r="J542" s="333"/>
      <c r="K542" s="333"/>
      <c r="L542" s="333"/>
      <c r="M542" s="333"/>
      <c r="N542" s="333"/>
      <c r="O542" s="333"/>
      <c r="P542" s="333"/>
      <c r="Q542" s="333"/>
      <c r="R542" s="333"/>
      <c r="S542" s="333"/>
      <c r="T542" s="333"/>
      <c r="U542" s="333"/>
      <c r="V542" s="333"/>
    </row>
    <row r="543" spans="1:22">
      <c r="A543" s="333"/>
      <c r="B543" s="333"/>
      <c r="C543" s="333"/>
      <c r="D543" s="333"/>
      <c r="E543" s="333"/>
      <c r="F543" s="333"/>
      <c r="G543" s="333"/>
      <c r="H543" s="333"/>
      <c r="I543" s="333"/>
      <c r="J543" s="333"/>
      <c r="K543" s="333"/>
      <c r="L543" s="333"/>
      <c r="M543" s="333"/>
      <c r="N543" s="333"/>
      <c r="O543" s="333"/>
      <c r="P543" s="333"/>
      <c r="Q543" s="333"/>
      <c r="R543" s="333"/>
      <c r="S543" s="333"/>
      <c r="T543" s="333"/>
      <c r="U543" s="333"/>
      <c r="V543" s="333"/>
    </row>
    <row r="544" spans="1:22">
      <c r="A544" s="333"/>
      <c r="B544" s="333"/>
      <c r="C544" s="333"/>
      <c r="D544" s="333"/>
      <c r="E544" s="333"/>
      <c r="F544" s="333"/>
      <c r="G544" s="333"/>
      <c r="H544" s="333"/>
      <c r="I544" s="333"/>
      <c r="J544" s="333"/>
      <c r="K544" s="333"/>
      <c r="L544" s="333"/>
      <c r="M544" s="333"/>
      <c r="N544" s="333"/>
      <c r="O544" s="333"/>
      <c r="P544" s="333"/>
      <c r="Q544" s="333"/>
      <c r="R544" s="333"/>
      <c r="S544" s="333"/>
      <c r="T544" s="333"/>
      <c r="U544" s="333"/>
      <c r="V544" s="333"/>
    </row>
    <row r="545" spans="1:22">
      <c r="A545" s="333"/>
      <c r="B545" s="333"/>
      <c r="C545" s="333"/>
      <c r="D545" s="333"/>
      <c r="E545" s="333"/>
      <c r="F545" s="333"/>
      <c r="G545" s="333"/>
      <c r="H545" s="333"/>
      <c r="I545" s="333"/>
      <c r="J545" s="333"/>
      <c r="K545" s="333"/>
      <c r="L545" s="333"/>
      <c r="M545" s="333"/>
      <c r="N545" s="333"/>
      <c r="O545" s="333"/>
      <c r="P545" s="333"/>
      <c r="Q545" s="333"/>
      <c r="R545" s="333"/>
      <c r="S545" s="333"/>
      <c r="T545" s="333"/>
      <c r="U545" s="333"/>
      <c r="V545" s="333"/>
    </row>
    <row r="546" spans="1:22">
      <c r="A546" s="333"/>
      <c r="B546" s="333"/>
      <c r="C546" s="333"/>
      <c r="D546" s="333"/>
      <c r="E546" s="333"/>
      <c r="F546" s="333"/>
      <c r="G546" s="333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</row>
    <row r="547" spans="1:22">
      <c r="A547" s="333"/>
      <c r="B547" s="333"/>
      <c r="C547" s="333"/>
      <c r="D547" s="333"/>
      <c r="E547" s="333"/>
      <c r="F547" s="333"/>
      <c r="G547" s="333"/>
      <c r="H547" s="333"/>
      <c r="I547" s="333"/>
      <c r="J547" s="333"/>
      <c r="K547" s="333"/>
      <c r="L547" s="333"/>
      <c r="M547" s="333"/>
      <c r="N547" s="333"/>
      <c r="O547" s="333"/>
      <c r="P547" s="333"/>
      <c r="Q547" s="333"/>
      <c r="R547" s="333"/>
      <c r="S547" s="333"/>
      <c r="T547" s="333"/>
      <c r="U547" s="333"/>
      <c r="V547" s="333"/>
    </row>
    <row r="548" spans="1:22">
      <c r="A548" s="333"/>
      <c r="B548" s="333"/>
      <c r="C548" s="333"/>
      <c r="D548" s="333"/>
      <c r="E548" s="333"/>
      <c r="F548" s="333"/>
      <c r="G548" s="333"/>
      <c r="H548" s="333"/>
      <c r="I548" s="333"/>
      <c r="J548" s="333"/>
      <c r="K548" s="333"/>
      <c r="L548" s="333"/>
      <c r="M548" s="333"/>
      <c r="N548" s="333"/>
      <c r="O548" s="333"/>
      <c r="P548" s="333"/>
      <c r="Q548" s="333"/>
      <c r="R548" s="333"/>
      <c r="S548" s="333"/>
      <c r="T548" s="333"/>
      <c r="U548" s="333"/>
      <c r="V548" s="333"/>
    </row>
    <row r="549" spans="1:22">
      <c r="A549" s="333"/>
      <c r="B549" s="333"/>
      <c r="C549" s="333"/>
      <c r="D549" s="333"/>
      <c r="E549" s="333"/>
      <c r="F549" s="333"/>
      <c r="G549" s="333"/>
      <c r="H549" s="333"/>
      <c r="I549" s="333"/>
      <c r="J549" s="333"/>
      <c r="K549" s="333"/>
      <c r="L549" s="333"/>
      <c r="M549" s="333"/>
      <c r="N549" s="333"/>
      <c r="O549" s="333"/>
      <c r="P549" s="333"/>
      <c r="Q549" s="333"/>
      <c r="R549" s="333"/>
      <c r="S549" s="333"/>
      <c r="T549" s="333"/>
      <c r="U549" s="333"/>
      <c r="V549" s="333"/>
    </row>
    <row r="550" spans="1:22">
      <c r="A550" s="333"/>
      <c r="B550" s="333"/>
      <c r="C550" s="333"/>
      <c r="D550" s="333"/>
      <c r="E550" s="333"/>
      <c r="F550" s="333"/>
      <c r="G550" s="333"/>
      <c r="H550" s="333"/>
      <c r="I550" s="333"/>
      <c r="J550" s="333"/>
      <c r="K550" s="333"/>
      <c r="L550" s="333"/>
      <c r="M550" s="333"/>
      <c r="N550" s="333"/>
      <c r="O550" s="333"/>
      <c r="P550" s="333"/>
      <c r="Q550" s="333"/>
      <c r="R550" s="333"/>
      <c r="S550" s="333"/>
      <c r="T550" s="333"/>
      <c r="U550" s="333"/>
      <c r="V550" s="333"/>
    </row>
    <row r="551" spans="1:22">
      <c r="A551" s="333"/>
      <c r="B551" s="333"/>
      <c r="C551" s="333"/>
      <c r="D551" s="333"/>
      <c r="E551" s="333"/>
      <c r="F551" s="333"/>
      <c r="G551" s="333"/>
      <c r="H551" s="333"/>
      <c r="I551" s="333"/>
      <c r="J551" s="333"/>
      <c r="K551" s="333"/>
      <c r="L551" s="333"/>
      <c r="M551" s="333"/>
      <c r="N551" s="333"/>
      <c r="O551" s="333"/>
      <c r="P551" s="333"/>
      <c r="Q551" s="333"/>
      <c r="R551" s="333"/>
      <c r="S551" s="333"/>
      <c r="T551" s="333"/>
      <c r="U551" s="333"/>
      <c r="V551" s="333"/>
    </row>
    <row r="552" spans="1:22">
      <c r="A552" s="333"/>
      <c r="B552" s="333"/>
      <c r="C552" s="333"/>
      <c r="D552" s="333"/>
      <c r="E552" s="333"/>
      <c r="F552" s="333"/>
      <c r="G552" s="333"/>
      <c r="H552" s="333"/>
      <c r="I552" s="333"/>
      <c r="J552" s="333"/>
      <c r="K552" s="333"/>
      <c r="L552" s="333"/>
      <c r="M552" s="333"/>
      <c r="N552" s="333"/>
      <c r="O552" s="333"/>
      <c r="P552" s="333"/>
      <c r="Q552" s="333"/>
      <c r="R552" s="333"/>
      <c r="S552" s="333"/>
      <c r="T552" s="333"/>
      <c r="U552" s="333"/>
      <c r="V552" s="333"/>
    </row>
    <row r="553" spans="1:22">
      <c r="A553" s="333"/>
      <c r="B553" s="333"/>
      <c r="C553" s="333"/>
      <c r="D553" s="333"/>
      <c r="E553" s="333"/>
      <c r="F553" s="333"/>
      <c r="G553" s="333"/>
      <c r="H553" s="333"/>
      <c r="I553" s="333"/>
      <c r="J553" s="333"/>
      <c r="K553" s="333"/>
      <c r="L553" s="333"/>
      <c r="M553" s="333"/>
      <c r="N553" s="333"/>
      <c r="O553" s="333"/>
      <c r="P553" s="333"/>
      <c r="Q553" s="333"/>
      <c r="R553" s="333"/>
      <c r="S553" s="333"/>
      <c r="T553" s="333"/>
      <c r="U553" s="333"/>
      <c r="V553" s="333"/>
    </row>
    <row r="554" spans="1:22">
      <c r="A554" s="333"/>
      <c r="B554" s="333"/>
      <c r="C554" s="333"/>
      <c r="D554" s="333"/>
      <c r="E554" s="333"/>
      <c r="F554" s="333"/>
      <c r="G554" s="333"/>
      <c r="H554" s="333"/>
      <c r="I554" s="333"/>
      <c r="J554" s="333"/>
      <c r="K554" s="333"/>
      <c r="L554" s="333"/>
      <c r="M554" s="333"/>
      <c r="N554" s="333"/>
      <c r="O554" s="333"/>
      <c r="P554" s="333"/>
      <c r="Q554" s="333"/>
      <c r="R554" s="333"/>
      <c r="S554" s="333"/>
      <c r="T554" s="333"/>
      <c r="U554" s="333"/>
      <c r="V554" s="333"/>
    </row>
    <row r="555" spans="1:22">
      <c r="A555" s="333"/>
      <c r="B555" s="333"/>
      <c r="C555" s="333"/>
      <c r="D555" s="333"/>
      <c r="E555" s="333"/>
      <c r="F555" s="333"/>
      <c r="G555" s="333"/>
      <c r="H555" s="333"/>
      <c r="I555" s="333"/>
      <c r="J555" s="333"/>
      <c r="K555" s="333"/>
      <c r="L555" s="333"/>
      <c r="M555" s="333"/>
      <c r="N555" s="333"/>
      <c r="O555" s="333"/>
      <c r="P555" s="333"/>
      <c r="Q555" s="333"/>
      <c r="R555" s="333"/>
      <c r="S555" s="333"/>
      <c r="T555" s="333"/>
      <c r="U555" s="333"/>
      <c r="V555" s="333"/>
    </row>
    <row r="556" spans="1:22">
      <c r="A556" s="333"/>
      <c r="B556" s="333"/>
      <c r="C556" s="333"/>
      <c r="D556" s="333"/>
      <c r="E556" s="333"/>
      <c r="F556" s="333"/>
      <c r="G556" s="333"/>
      <c r="H556" s="333"/>
      <c r="I556" s="333"/>
      <c r="J556" s="333"/>
      <c r="K556" s="333"/>
      <c r="L556" s="333"/>
      <c r="M556" s="333"/>
      <c r="N556" s="333"/>
      <c r="O556" s="333"/>
      <c r="P556" s="333"/>
      <c r="Q556" s="333"/>
      <c r="R556" s="333"/>
      <c r="S556" s="333"/>
      <c r="T556" s="333"/>
      <c r="U556" s="333"/>
      <c r="V556" s="333"/>
    </row>
    <row r="557" spans="1:22">
      <c r="A557" s="333"/>
      <c r="B557" s="333"/>
      <c r="C557" s="333"/>
      <c r="D557" s="333"/>
      <c r="E557" s="333"/>
      <c r="F557" s="333"/>
      <c r="G557" s="333"/>
      <c r="H557" s="333"/>
      <c r="I557" s="333"/>
      <c r="J557" s="333"/>
      <c r="K557" s="333"/>
      <c r="L557" s="333"/>
      <c r="M557" s="333"/>
      <c r="N557" s="333"/>
      <c r="O557" s="333"/>
      <c r="P557" s="333"/>
      <c r="Q557" s="333"/>
      <c r="R557" s="333"/>
      <c r="S557" s="333"/>
      <c r="T557" s="333"/>
      <c r="U557" s="333"/>
      <c r="V557" s="333"/>
    </row>
    <row r="558" spans="1:22">
      <c r="A558" s="333"/>
      <c r="B558" s="333"/>
      <c r="C558" s="333"/>
      <c r="D558" s="333"/>
      <c r="E558" s="333"/>
      <c r="F558" s="333"/>
      <c r="G558" s="333"/>
      <c r="H558" s="333"/>
      <c r="I558" s="333"/>
      <c r="J558" s="333"/>
      <c r="K558" s="333"/>
      <c r="L558" s="333"/>
      <c r="M558" s="333"/>
      <c r="N558" s="333"/>
      <c r="O558" s="333"/>
      <c r="P558" s="333"/>
      <c r="Q558" s="333"/>
      <c r="R558" s="333"/>
      <c r="S558" s="333"/>
      <c r="T558" s="333"/>
      <c r="U558" s="333"/>
      <c r="V558" s="333"/>
    </row>
    <row r="559" spans="1:22">
      <c r="A559" s="333"/>
      <c r="B559" s="333"/>
      <c r="C559" s="333"/>
      <c r="D559" s="333"/>
      <c r="E559" s="333"/>
      <c r="F559" s="333"/>
      <c r="G559" s="333"/>
      <c r="H559" s="333"/>
      <c r="I559" s="333"/>
      <c r="J559" s="333"/>
      <c r="K559" s="333"/>
      <c r="L559" s="333"/>
      <c r="M559" s="333"/>
      <c r="N559" s="333"/>
      <c r="O559" s="333"/>
      <c r="P559" s="333"/>
      <c r="Q559" s="333"/>
      <c r="R559" s="333"/>
      <c r="S559" s="333"/>
      <c r="T559" s="333"/>
      <c r="U559" s="333"/>
      <c r="V559" s="333"/>
    </row>
    <row r="560" spans="1:22">
      <c r="A560" s="333"/>
      <c r="B560" s="333"/>
      <c r="C560" s="333"/>
      <c r="D560" s="333"/>
      <c r="E560" s="333"/>
      <c r="F560" s="333"/>
      <c r="G560" s="333"/>
      <c r="H560" s="333"/>
      <c r="I560" s="333"/>
      <c r="J560" s="333"/>
      <c r="K560" s="333"/>
      <c r="L560" s="333"/>
      <c r="M560" s="333"/>
      <c r="N560" s="333"/>
      <c r="O560" s="333"/>
      <c r="P560" s="333"/>
      <c r="Q560" s="333"/>
      <c r="R560" s="333"/>
      <c r="S560" s="333"/>
      <c r="T560" s="333"/>
      <c r="U560" s="333"/>
      <c r="V560" s="333"/>
    </row>
    <row r="561" spans="1:22">
      <c r="A561" s="333"/>
      <c r="B561" s="333"/>
      <c r="C561" s="333"/>
      <c r="D561" s="333"/>
      <c r="E561" s="333"/>
      <c r="F561" s="333"/>
      <c r="G561" s="333"/>
      <c r="H561" s="333"/>
      <c r="I561" s="333"/>
      <c r="J561" s="333"/>
      <c r="K561" s="333"/>
      <c r="L561" s="333"/>
      <c r="M561" s="333"/>
      <c r="N561" s="333"/>
      <c r="O561" s="333"/>
      <c r="P561" s="333"/>
      <c r="Q561" s="333"/>
      <c r="R561" s="333"/>
      <c r="S561" s="333"/>
      <c r="T561" s="333"/>
      <c r="U561" s="333"/>
      <c r="V561" s="333"/>
    </row>
    <row r="562" spans="1:22">
      <c r="A562" s="333"/>
      <c r="B562" s="333"/>
      <c r="C562" s="333"/>
      <c r="D562" s="333"/>
      <c r="E562" s="333"/>
      <c r="F562" s="333"/>
      <c r="G562" s="333"/>
      <c r="H562" s="333"/>
      <c r="I562" s="333"/>
      <c r="J562" s="333"/>
      <c r="K562" s="333"/>
      <c r="L562" s="333"/>
      <c r="M562" s="333"/>
      <c r="N562" s="333"/>
      <c r="O562" s="333"/>
      <c r="P562" s="333"/>
      <c r="Q562" s="333"/>
      <c r="R562" s="333"/>
      <c r="S562" s="333"/>
      <c r="T562" s="333"/>
      <c r="U562" s="333"/>
      <c r="V562" s="333"/>
    </row>
    <row r="563" spans="1:22">
      <c r="A563" s="333"/>
      <c r="B563" s="333"/>
      <c r="C563" s="333"/>
      <c r="D563" s="333"/>
      <c r="E563" s="333"/>
      <c r="F563" s="333"/>
      <c r="G563" s="333"/>
      <c r="H563" s="333"/>
      <c r="I563" s="333"/>
      <c r="J563" s="333"/>
      <c r="K563" s="333"/>
      <c r="L563" s="333"/>
      <c r="M563" s="333"/>
      <c r="N563" s="333"/>
      <c r="O563" s="333"/>
      <c r="P563" s="333"/>
      <c r="Q563" s="333"/>
      <c r="R563" s="333"/>
      <c r="S563" s="333"/>
      <c r="T563" s="333"/>
      <c r="U563" s="333"/>
      <c r="V563" s="333"/>
    </row>
    <row r="564" spans="1:22">
      <c r="A564" s="333"/>
      <c r="B564" s="333"/>
      <c r="C564" s="333"/>
      <c r="D564" s="333"/>
      <c r="E564" s="333"/>
      <c r="F564" s="333"/>
      <c r="G564" s="333"/>
      <c r="H564" s="333"/>
      <c r="I564" s="333"/>
      <c r="J564" s="333"/>
      <c r="K564" s="333"/>
      <c r="L564" s="333"/>
      <c r="M564" s="333"/>
      <c r="N564" s="333"/>
      <c r="O564" s="333"/>
      <c r="P564" s="333"/>
      <c r="Q564" s="333"/>
      <c r="R564" s="333"/>
      <c r="S564" s="333"/>
      <c r="T564" s="333"/>
      <c r="U564" s="333"/>
      <c r="V564" s="333"/>
    </row>
    <row r="565" spans="1:22">
      <c r="A565" s="333"/>
      <c r="B565" s="333"/>
      <c r="C565" s="333"/>
      <c r="D565" s="333"/>
      <c r="E565" s="333"/>
      <c r="F565" s="333"/>
      <c r="G565" s="333"/>
      <c r="H565" s="333"/>
      <c r="I565" s="333"/>
      <c r="J565" s="333"/>
      <c r="K565" s="333"/>
      <c r="L565" s="333"/>
      <c r="M565" s="333"/>
      <c r="N565" s="333"/>
      <c r="O565" s="333"/>
      <c r="P565" s="333"/>
      <c r="Q565" s="333"/>
      <c r="R565" s="333"/>
      <c r="S565" s="333"/>
      <c r="T565" s="333"/>
      <c r="U565" s="333"/>
      <c r="V565" s="333"/>
    </row>
    <row r="566" spans="1:22">
      <c r="A566" s="333"/>
      <c r="B566" s="333"/>
      <c r="C566" s="333"/>
      <c r="D566" s="333"/>
      <c r="E566" s="333"/>
      <c r="F566" s="333"/>
      <c r="G566" s="333"/>
      <c r="H566" s="333"/>
      <c r="I566" s="333"/>
      <c r="J566" s="333"/>
      <c r="K566" s="333"/>
      <c r="L566" s="333"/>
      <c r="M566" s="333"/>
      <c r="N566" s="333"/>
      <c r="O566" s="333"/>
      <c r="P566" s="333"/>
      <c r="Q566" s="333"/>
      <c r="R566" s="333"/>
      <c r="S566" s="333"/>
      <c r="T566" s="333"/>
      <c r="U566" s="333"/>
      <c r="V566" s="333"/>
    </row>
    <row r="567" spans="1:22">
      <c r="A567" s="333"/>
      <c r="B567" s="333"/>
      <c r="C567" s="333"/>
      <c r="D567" s="333"/>
      <c r="E567" s="333"/>
      <c r="F567" s="333"/>
      <c r="G567" s="333"/>
      <c r="H567" s="333"/>
      <c r="I567" s="333"/>
      <c r="J567" s="333"/>
      <c r="K567" s="333"/>
      <c r="L567" s="333"/>
      <c r="M567" s="333"/>
      <c r="N567" s="333"/>
      <c r="O567" s="333"/>
      <c r="P567" s="333"/>
      <c r="Q567" s="333"/>
      <c r="R567" s="333"/>
      <c r="S567" s="333"/>
      <c r="T567" s="333"/>
      <c r="U567" s="333"/>
      <c r="V567" s="333"/>
    </row>
    <row r="568" spans="1:22">
      <c r="A568" s="333"/>
      <c r="B568" s="333"/>
      <c r="C568" s="333"/>
      <c r="D568" s="333"/>
      <c r="E568" s="333"/>
      <c r="F568" s="333"/>
      <c r="G568" s="333"/>
      <c r="H568" s="333"/>
      <c r="I568" s="333"/>
      <c r="J568" s="333"/>
      <c r="K568" s="333"/>
      <c r="L568" s="333"/>
      <c r="M568" s="333"/>
      <c r="N568" s="333"/>
      <c r="O568" s="333"/>
      <c r="P568" s="333"/>
      <c r="Q568" s="333"/>
      <c r="R568" s="333"/>
      <c r="S568" s="333"/>
      <c r="T568" s="333"/>
      <c r="U568" s="333"/>
      <c r="V568" s="333"/>
    </row>
    <row r="569" spans="1:22">
      <c r="A569" s="333"/>
      <c r="B569" s="333"/>
      <c r="C569" s="333"/>
      <c r="D569" s="333"/>
      <c r="E569" s="333"/>
      <c r="F569" s="333"/>
      <c r="G569" s="333"/>
      <c r="H569" s="333"/>
      <c r="I569" s="333"/>
      <c r="J569" s="333"/>
      <c r="K569" s="333"/>
      <c r="L569" s="333"/>
      <c r="M569" s="333"/>
      <c r="N569" s="333"/>
      <c r="O569" s="333"/>
      <c r="P569" s="333"/>
      <c r="Q569" s="333"/>
      <c r="R569" s="333"/>
      <c r="S569" s="333"/>
      <c r="T569" s="333"/>
      <c r="U569" s="333"/>
      <c r="V569" s="333"/>
    </row>
    <row r="570" spans="1:22">
      <c r="A570" s="333"/>
      <c r="B570" s="333"/>
      <c r="C570" s="333"/>
      <c r="D570" s="333"/>
      <c r="E570" s="333"/>
      <c r="F570" s="333"/>
      <c r="G570" s="333"/>
      <c r="H570" s="333"/>
      <c r="I570" s="333"/>
      <c r="J570" s="333"/>
      <c r="K570" s="333"/>
      <c r="L570" s="333"/>
      <c r="M570" s="333"/>
      <c r="N570" s="333"/>
      <c r="O570" s="333"/>
      <c r="P570" s="333"/>
      <c r="Q570" s="333"/>
      <c r="R570" s="333"/>
      <c r="S570" s="333"/>
      <c r="T570" s="333"/>
      <c r="U570" s="333"/>
      <c r="V570" s="333"/>
    </row>
    <row r="571" spans="1:22">
      <c r="A571" s="333"/>
      <c r="B571" s="333"/>
      <c r="C571" s="333"/>
      <c r="D571" s="333"/>
      <c r="E571" s="333"/>
      <c r="F571" s="333"/>
      <c r="G571" s="333"/>
      <c r="H571" s="333"/>
      <c r="I571" s="333"/>
      <c r="J571" s="333"/>
      <c r="K571" s="333"/>
      <c r="L571" s="333"/>
      <c r="M571" s="333"/>
      <c r="N571" s="333"/>
      <c r="O571" s="333"/>
      <c r="P571" s="333"/>
      <c r="Q571" s="333"/>
      <c r="R571" s="333"/>
      <c r="S571" s="333"/>
      <c r="T571" s="333"/>
      <c r="U571" s="333"/>
      <c r="V571" s="333"/>
    </row>
    <row r="572" spans="1:22">
      <c r="A572" s="333"/>
      <c r="B572" s="333"/>
      <c r="C572" s="333"/>
      <c r="D572" s="333"/>
      <c r="E572" s="333"/>
      <c r="F572" s="333"/>
      <c r="G572" s="333"/>
      <c r="H572" s="333"/>
      <c r="I572" s="333"/>
      <c r="J572" s="333"/>
      <c r="K572" s="333"/>
      <c r="L572" s="333"/>
      <c r="M572" s="333"/>
      <c r="N572" s="333"/>
      <c r="O572" s="333"/>
      <c r="P572" s="333"/>
      <c r="Q572" s="333"/>
      <c r="R572" s="333"/>
      <c r="S572" s="333"/>
      <c r="T572" s="333"/>
      <c r="U572" s="333"/>
      <c r="V572" s="333"/>
    </row>
    <row r="573" spans="1:22">
      <c r="A573" s="333"/>
      <c r="B573" s="333"/>
      <c r="C573" s="333"/>
      <c r="D573" s="333"/>
      <c r="E573" s="333"/>
      <c r="F573" s="333"/>
      <c r="G573" s="333"/>
      <c r="H573" s="333"/>
      <c r="I573" s="333"/>
      <c r="J573" s="333"/>
      <c r="K573" s="333"/>
      <c r="L573" s="333"/>
      <c r="M573" s="333"/>
      <c r="N573" s="333"/>
      <c r="O573" s="333"/>
      <c r="P573" s="333"/>
      <c r="Q573" s="333"/>
      <c r="R573" s="333"/>
      <c r="S573" s="333"/>
      <c r="T573" s="333"/>
      <c r="U573" s="333"/>
      <c r="V573" s="333"/>
    </row>
    <row r="574" spans="1:22">
      <c r="A574" s="333"/>
      <c r="B574" s="333"/>
      <c r="C574" s="333"/>
      <c r="D574" s="333"/>
      <c r="E574" s="333"/>
      <c r="F574" s="333"/>
      <c r="G574" s="333"/>
      <c r="H574" s="333"/>
      <c r="I574" s="333"/>
      <c r="J574" s="333"/>
      <c r="K574" s="333"/>
      <c r="L574" s="333"/>
      <c r="M574" s="333"/>
      <c r="N574" s="333"/>
      <c r="O574" s="333"/>
      <c r="P574" s="333"/>
      <c r="Q574" s="333"/>
      <c r="R574" s="333"/>
      <c r="S574" s="333"/>
      <c r="T574" s="333"/>
      <c r="U574" s="333"/>
      <c r="V574" s="333"/>
    </row>
    <row r="575" spans="1:22">
      <c r="A575" s="333"/>
      <c r="B575" s="333"/>
      <c r="C575" s="333"/>
      <c r="D575" s="333"/>
      <c r="E575" s="333"/>
      <c r="F575" s="333"/>
      <c r="G575" s="333"/>
      <c r="H575" s="333"/>
      <c r="I575" s="333"/>
      <c r="J575" s="333"/>
      <c r="K575" s="333"/>
      <c r="L575" s="333"/>
      <c r="M575" s="333"/>
      <c r="N575" s="333"/>
      <c r="O575" s="333"/>
      <c r="P575" s="333"/>
      <c r="Q575" s="333"/>
      <c r="R575" s="333"/>
      <c r="S575" s="333"/>
      <c r="T575" s="333"/>
      <c r="U575" s="333"/>
      <c r="V575" s="333"/>
    </row>
    <row r="576" spans="1:22">
      <c r="A576" s="333"/>
      <c r="B576" s="333"/>
      <c r="C576" s="333"/>
      <c r="D576" s="333"/>
      <c r="E576" s="333"/>
      <c r="F576" s="333"/>
      <c r="G576" s="333"/>
      <c r="H576" s="333"/>
      <c r="I576" s="333"/>
      <c r="J576" s="333"/>
      <c r="K576" s="333"/>
      <c r="L576" s="333"/>
      <c r="M576" s="333"/>
      <c r="N576" s="333"/>
      <c r="O576" s="333"/>
      <c r="P576" s="333"/>
      <c r="Q576" s="333"/>
      <c r="R576" s="333"/>
      <c r="S576" s="333"/>
      <c r="T576" s="333"/>
      <c r="U576" s="333"/>
      <c r="V576" s="333"/>
    </row>
    <row r="577" spans="1:22">
      <c r="A577" s="333"/>
      <c r="B577" s="333"/>
      <c r="C577" s="333"/>
      <c r="D577" s="333"/>
      <c r="E577" s="333"/>
      <c r="F577" s="333"/>
      <c r="G577" s="333"/>
      <c r="H577" s="333"/>
      <c r="I577" s="333"/>
      <c r="J577" s="333"/>
      <c r="K577" s="333"/>
      <c r="L577" s="333"/>
      <c r="M577" s="333"/>
      <c r="N577" s="333"/>
      <c r="O577" s="333"/>
      <c r="P577" s="333"/>
      <c r="Q577" s="333"/>
      <c r="R577" s="333"/>
      <c r="S577" s="333"/>
      <c r="T577" s="333"/>
      <c r="U577" s="333"/>
      <c r="V577" s="333"/>
    </row>
    <row r="578" spans="1:22">
      <c r="A578" s="333"/>
      <c r="B578" s="333"/>
      <c r="C578" s="333"/>
      <c r="D578" s="333"/>
      <c r="E578" s="333"/>
      <c r="F578" s="333"/>
      <c r="G578" s="333"/>
      <c r="H578" s="333"/>
      <c r="I578" s="333"/>
      <c r="J578" s="333"/>
      <c r="K578" s="333"/>
      <c r="L578" s="333"/>
      <c r="M578" s="333"/>
      <c r="N578" s="333"/>
      <c r="O578" s="333"/>
      <c r="P578" s="333"/>
      <c r="Q578" s="333"/>
      <c r="R578" s="333"/>
      <c r="S578" s="333"/>
      <c r="T578" s="333"/>
      <c r="U578" s="333"/>
      <c r="V578" s="333"/>
    </row>
    <row r="579" spans="1:22">
      <c r="A579" s="333"/>
      <c r="B579" s="333"/>
      <c r="C579" s="333"/>
      <c r="D579" s="333"/>
      <c r="E579" s="333"/>
      <c r="F579" s="333"/>
      <c r="G579" s="333"/>
      <c r="H579" s="333"/>
      <c r="I579" s="333"/>
      <c r="J579" s="333"/>
      <c r="K579" s="333"/>
      <c r="L579" s="333"/>
      <c r="M579" s="333"/>
      <c r="N579" s="333"/>
      <c r="O579" s="333"/>
      <c r="P579" s="333"/>
      <c r="Q579" s="333"/>
      <c r="R579" s="333"/>
      <c r="S579" s="333"/>
      <c r="T579" s="333"/>
      <c r="U579" s="333"/>
      <c r="V579" s="333"/>
    </row>
    <row r="580" spans="1:22">
      <c r="A580" s="333"/>
      <c r="B580" s="333"/>
      <c r="C580" s="333"/>
      <c r="D580" s="333"/>
      <c r="E580" s="333"/>
      <c r="F580" s="333"/>
      <c r="G580" s="333"/>
      <c r="H580" s="333"/>
      <c r="I580" s="333"/>
      <c r="J580" s="333"/>
      <c r="K580" s="333"/>
      <c r="L580" s="333"/>
      <c r="M580" s="333"/>
      <c r="N580" s="333"/>
      <c r="O580" s="333"/>
      <c r="P580" s="333"/>
      <c r="Q580" s="333"/>
      <c r="R580" s="333"/>
      <c r="S580" s="333"/>
      <c r="T580" s="333"/>
      <c r="U580" s="333"/>
      <c r="V580" s="333"/>
    </row>
    <row r="581" spans="1:22">
      <c r="A581" s="333"/>
      <c r="B581" s="333"/>
      <c r="C581" s="333"/>
      <c r="D581" s="333"/>
      <c r="E581" s="333"/>
      <c r="F581" s="333"/>
      <c r="G581" s="333"/>
      <c r="H581" s="333"/>
      <c r="I581" s="333"/>
      <c r="J581" s="333"/>
      <c r="K581" s="333"/>
      <c r="L581" s="333"/>
      <c r="M581" s="333"/>
      <c r="N581" s="333"/>
      <c r="O581" s="333"/>
      <c r="P581" s="333"/>
      <c r="Q581" s="333"/>
      <c r="R581" s="333"/>
      <c r="S581" s="333"/>
      <c r="T581" s="333"/>
      <c r="U581" s="333"/>
      <c r="V581" s="333"/>
    </row>
    <row r="582" spans="1:22">
      <c r="A582" s="333"/>
      <c r="B582" s="333"/>
      <c r="C582" s="333"/>
      <c r="D582" s="333"/>
      <c r="E582" s="333"/>
      <c r="F582" s="333"/>
      <c r="G582" s="333"/>
      <c r="H582" s="333"/>
      <c r="I582" s="333"/>
      <c r="J582" s="333"/>
      <c r="K582" s="333"/>
      <c r="L582" s="333"/>
      <c r="M582" s="333"/>
      <c r="N582" s="333"/>
      <c r="O582" s="333"/>
      <c r="P582" s="333"/>
      <c r="Q582" s="333"/>
      <c r="R582" s="333"/>
      <c r="S582" s="333"/>
      <c r="T582" s="333"/>
      <c r="U582" s="333"/>
      <c r="V582" s="333"/>
    </row>
    <row r="583" spans="1:22">
      <c r="A583" s="333"/>
      <c r="B583" s="333"/>
      <c r="C583" s="333"/>
      <c r="D583" s="333"/>
      <c r="E583" s="333"/>
      <c r="F583" s="333"/>
      <c r="G583" s="333"/>
      <c r="H583" s="333"/>
      <c r="I583" s="333"/>
      <c r="J583" s="333"/>
      <c r="K583" s="333"/>
      <c r="L583" s="333"/>
      <c r="M583" s="333"/>
      <c r="N583" s="333"/>
      <c r="O583" s="333"/>
      <c r="P583" s="333"/>
      <c r="Q583" s="333"/>
      <c r="R583" s="333"/>
      <c r="S583" s="333"/>
      <c r="T583" s="333"/>
      <c r="U583" s="333"/>
      <c r="V583" s="333"/>
    </row>
    <row r="584" spans="1:22">
      <c r="A584" s="333"/>
      <c r="B584" s="333"/>
      <c r="C584" s="333"/>
      <c r="D584" s="333"/>
      <c r="E584" s="333"/>
      <c r="F584" s="333"/>
      <c r="G584" s="333"/>
      <c r="H584" s="333"/>
      <c r="I584" s="333"/>
      <c r="J584" s="333"/>
      <c r="K584" s="333"/>
      <c r="L584" s="333"/>
      <c r="M584" s="333"/>
      <c r="N584" s="333"/>
      <c r="O584" s="333"/>
      <c r="P584" s="333"/>
      <c r="Q584" s="333"/>
      <c r="R584" s="333"/>
      <c r="S584" s="333"/>
      <c r="T584" s="333"/>
      <c r="U584" s="333"/>
      <c r="V584" s="333"/>
    </row>
    <row r="585" spans="1:22">
      <c r="A585" s="333"/>
      <c r="B585" s="333"/>
      <c r="C585" s="333"/>
      <c r="D585" s="333"/>
      <c r="E585" s="333"/>
      <c r="F585" s="333"/>
      <c r="G585" s="333"/>
      <c r="H585" s="333"/>
      <c r="I585" s="333"/>
      <c r="J585" s="333"/>
      <c r="K585" s="333"/>
      <c r="L585" s="333"/>
      <c r="M585" s="333"/>
      <c r="N585" s="333"/>
      <c r="O585" s="333"/>
      <c r="P585" s="333"/>
      <c r="Q585" s="333"/>
      <c r="R585" s="333"/>
      <c r="S585" s="333"/>
      <c r="T585" s="333"/>
      <c r="U585" s="333"/>
      <c r="V585" s="333"/>
    </row>
    <row r="586" spans="1:22">
      <c r="A586" s="333"/>
      <c r="B586" s="333"/>
      <c r="C586" s="333"/>
      <c r="D586" s="333"/>
      <c r="E586" s="333"/>
      <c r="F586" s="333"/>
      <c r="G586" s="333"/>
      <c r="H586" s="333"/>
      <c r="I586" s="333"/>
      <c r="J586" s="333"/>
      <c r="K586" s="333"/>
      <c r="L586" s="333"/>
      <c r="M586" s="333"/>
      <c r="N586" s="333"/>
      <c r="O586" s="333"/>
      <c r="P586" s="333"/>
      <c r="Q586" s="333"/>
      <c r="R586" s="333"/>
      <c r="S586" s="333"/>
      <c r="T586" s="333"/>
      <c r="U586" s="333"/>
      <c r="V586" s="333"/>
    </row>
    <row r="587" spans="1:22">
      <c r="A587" s="333"/>
      <c r="B587" s="333"/>
      <c r="C587" s="333"/>
      <c r="D587" s="333"/>
      <c r="E587" s="333"/>
      <c r="F587" s="333"/>
      <c r="G587" s="333"/>
      <c r="H587" s="333"/>
      <c r="I587" s="333"/>
      <c r="J587" s="333"/>
      <c r="K587" s="333"/>
      <c r="L587" s="333"/>
      <c r="M587" s="333"/>
      <c r="N587" s="333"/>
      <c r="O587" s="333"/>
      <c r="P587" s="333"/>
      <c r="Q587" s="333"/>
      <c r="R587" s="333"/>
      <c r="S587" s="333"/>
      <c r="T587" s="333"/>
      <c r="U587" s="333"/>
      <c r="V587" s="333"/>
    </row>
    <row r="588" spans="1:22">
      <c r="A588" s="333"/>
      <c r="B588" s="333"/>
      <c r="C588" s="333"/>
      <c r="D588" s="333"/>
      <c r="E588" s="333"/>
      <c r="F588" s="333"/>
      <c r="G588" s="333"/>
      <c r="H588" s="333"/>
      <c r="I588" s="333"/>
      <c r="J588" s="333"/>
      <c r="K588" s="333"/>
      <c r="L588" s="333"/>
      <c r="M588" s="333"/>
      <c r="N588" s="333"/>
      <c r="O588" s="333"/>
      <c r="P588" s="333"/>
      <c r="Q588" s="333"/>
      <c r="R588" s="333"/>
      <c r="S588" s="333"/>
      <c r="T588" s="333"/>
      <c r="U588" s="333"/>
      <c r="V588" s="333"/>
    </row>
    <row r="589" spans="1:22">
      <c r="A589" s="333"/>
      <c r="B589" s="333"/>
      <c r="C589" s="333"/>
      <c r="D589" s="333"/>
      <c r="E589" s="333"/>
      <c r="F589" s="333"/>
      <c r="G589" s="333"/>
      <c r="H589" s="333"/>
      <c r="I589" s="333"/>
      <c r="J589" s="333"/>
      <c r="K589" s="333"/>
      <c r="L589" s="333"/>
      <c r="M589" s="333"/>
      <c r="N589" s="333"/>
      <c r="O589" s="333"/>
      <c r="P589" s="333"/>
      <c r="Q589" s="333"/>
      <c r="R589" s="333"/>
      <c r="S589" s="333"/>
      <c r="T589" s="333"/>
      <c r="U589" s="333"/>
      <c r="V589" s="333"/>
    </row>
    <row r="590" spans="1:22">
      <c r="A590" s="333"/>
      <c r="B590" s="333"/>
      <c r="C590" s="333"/>
      <c r="D590" s="333"/>
      <c r="E590" s="333"/>
      <c r="F590" s="333"/>
      <c r="G590" s="333"/>
      <c r="H590" s="333"/>
      <c r="I590" s="333"/>
      <c r="J590" s="333"/>
      <c r="K590" s="333"/>
      <c r="L590" s="333"/>
      <c r="M590" s="333"/>
      <c r="N590" s="333"/>
      <c r="O590" s="333"/>
      <c r="P590" s="333"/>
      <c r="Q590" s="333"/>
      <c r="R590" s="333"/>
      <c r="S590" s="333"/>
      <c r="T590" s="333"/>
      <c r="U590" s="333"/>
      <c r="V590" s="333"/>
    </row>
    <row r="591" spans="1:22">
      <c r="A591" s="333"/>
      <c r="B591" s="333"/>
      <c r="C591" s="333"/>
      <c r="D591" s="333"/>
      <c r="E591" s="333"/>
      <c r="F591" s="333"/>
      <c r="G591" s="333"/>
      <c r="H591" s="333"/>
      <c r="I591" s="333"/>
      <c r="J591" s="333"/>
      <c r="K591" s="333"/>
      <c r="L591" s="333"/>
      <c r="M591" s="333"/>
      <c r="N591" s="333"/>
      <c r="O591" s="333"/>
      <c r="P591" s="333"/>
      <c r="Q591" s="333"/>
      <c r="R591" s="333"/>
      <c r="S591" s="333"/>
      <c r="T591" s="333"/>
      <c r="U591" s="333"/>
      <c r="V591" s="333"/>
    </row>
    <row r="592" spans="1:22">
      <c r="A592" s="333"/>
      <c r="B592" s="333"/>
      <c r="C592" s="333"/>
      <c r="D592" s="333"/>
      <c r="E592" s="333"/>
      <c r="F592" s="333"/>
      <c r="G592" s="333"/>
      <c r="H592" s="333"/>
      <c r="I592" s="333"/>
      <c r="J592" s="333"/>
      <c r="K592" s="333"/>
      <c r="L592" s="333"/>
      <c r="M592" s="333"/>
      <c r="N592" s="333"/>
      <c r="O592" s="333"/>
      <c r="P592" s="333"/>
      <c r="Q592" s="333"/>
      <c r="R592" s="333"/>
      <c r="S592" s="333"/>
      <c r="T592" s="333"/>
      <c r="U592" s="333"/>
      <c r="V592" s="333"/>
    </row>
    <row r="593" spans="1:22">
      <c r="A593" s="333"/>
      <c r="B593" s="333"/>
      <c r="C593" s="333"/>
      <c r="D593" s="333"/>
      <c r="E593" s="333"/>
      <c r="F593" s="333"/>
      <c r="G593" s="333"/>
      <c r="H593" s="333"/>
      <c r="I593" s="333"/>
      <c r="J593" s="333"/>
      <c r="K593" s="333"/>
      <c r="L593" s="333"/>
      <c r="M593" s="333"/>
      <c r="N593" s="333"/>
      <c r="O593" s="333"/>
      <c r="P593" s="333"/>
      <c r="Q593" s="333"/>
      <c r="R593" s="333"/>
      <c r="S593" s="333"/>
      <c r="T593" s="333"/>
      <c r="U593" s="333"/>
      <c r="V593" s="333"/>
    </row>
    <row r="594" spans="1:22">
      <c r="A594" s="333"/>
      <c r="B594" s="333"/>
      <c r="C594" s="333"/>
      <c r="D594" s="333"/>
      <c r="E594" s="333"/>
      <c r="F594" s="333"/>
      <c r="G594" s="333"/>
      <c r="H594" s="333"/>
      <c r="I594" s="333"/>
      <c r="J594" s="333"/>
      <c r="K594" s="333"/>
      <c r="L594" s="333"/>
      <c r="M594" s="333"/>
      <c r="N594" s="333"/>
      <c r="O594" s="333"/>
      <c r="P594" s="333"/>
      <c r="Q594" s="333"/>
      <c r="R594" s="333"/>
      <c r="S594" s="333"/>
      <c r="T594" s="333"/>
      <c r="U594" s="333"/>
      <c r="V594" s="333"/>
    </row>
    <row r="595" spans="1:22">
      <c r="A595" s="333"/>
      <c r="B595" s="333"/>
      <c r="C595" s="333"/>
      <c r="D595" s="333"/>
      <c r="E595" s="333"/>
      <c r="F595" s="333"/>
      <c r="G595" s="333"/>
      <c r="H595" s="333"/>
      <c r="I595" s="333"/>
      <c r="J595" s="333"/>
      <c r="K595" s="333"/>
      <c r="L595" s="333"/>
      <c r="M595" s="333"/>
      <c r="N595" s="333"/>
      <c r="O595" s="333"/>
      <c r="P595" s="333"/>
      <c r="Q595" s="333"/>
      <c r="R595" s="333"/>
      <c r="S595" s="333"/>
      <c r="T595" s="333"/>
      <c r="U595" s="333"/>
      <c r="V595" s="333"/>
    </row>
    <row r="596" spans="1:22">
      <c r="A596" s="333"/>
      <c r="B596" s="333"/>
      <c r="C596" s="333"/>
      <c r="D596" s="333"/>
      <c r="E596" s="333"/>
      <c r="F596" s="333"/>
      <c r="G596" s="333"/>
      <c r="H596" s="333"/>
      <c r="I596" s="333"/>
      <c r="J596" s="333"/>
      <c r="K596" s="333"/>
      <c r="L596" s="333"/>
      <c r="M596" s="333"/>
      <c r="N596" s="333"/>
      <c r="O596" s="333"/>
      <c r="P596" s="333"/>
      <c r="Q596" s="333"/>
      <c r="R596" s="333"/>
      <c r="S596" s="333"/>
      <c r="T596" s="333"/>
      <c r="U596" s="333"/>
      <c r="V596" s="333"/>
    </row>
    <row r="597" spans="1:22">
      <c r="A597" s="333"/>
      <c r="B597" s="333"/>
      <c r="C597" s="333"/>
      <c r="D597" s="333"/>
      <c r="E597" s="333"/>
      <c r="F597" s="333"/>
      <c r="G597" s="333"/>
      <c r="H597" s="333"/>
      <c r="I597" s="333"/>
      <c r="J597" s="333"/>
      <c r="K597" s="333"/>
      <c r="L597" s="333"/>
      <c r="M597" s="333"/>
      <c r="N597" s="333"/>
      <c r="O597" s="333"/>
      <c r="P597" s="333"/>
      <c r="Q597" s="333"/>
      <c r="R597" s="333"/>
      <c r="S597" s="333"/>
      <c r="T597" s="333"/>
      <c r="U597" s="333"/>
      <c r="V597" s="333"/>
    </row>
    <row r="598" spans="1:22">
      <c r="A598" s="333"/>
      <c r="B598" s="333"/>
      <c r="C598" s="333"/>
      <c r="D598" s="333"/>
      <c r="E598" s="333"/>
      <c r="F598" s="333"/>
      <c r="G598" s="333"/>
      <c r="H598" s="333"/>
      <c r="I598" s="333"/>
      <c r="J598" s="333"/>
      <c r="K598" s="333"/>
      <c r="L598" s="333"/>
      <c r="M598" s="333"/>
      <c r="N598" s="333"/>
      <c r="O598" s="333"/>
      <c r="P598" s="333"/>
      <c r="Q598" s="333"/>
      <c r="R598" s="333"/>
      <c r="S598" s="333"/>
      <c r="T598" s="333"/>
      <c r="U598" s="333"/>
      <c r="V598" s="333"/>
    </row>
    <row r="599" spans="1:22">
      <c r="A599" s="333"/>
      <c r="B599" s="333"/>
      <c r="C599" s="333"/>
      <c r="D599" s="333"/>
      <c r="E599" s="333"/>
      <c r="F599" s="333"/>
      <c r="G599" s="333"/>
      <c r="H599" s="333"/>
      <c r="I599" s="333"/>
      <c r="J599" s="333"/>
      <c r="K599" s="333"/>
      <c r="L599" s="333"/>
      <c r="M599" s="333"/>
      <c r="N599" s="333"/>
      <c r="O599" s="333"/>
      <c r="P599" s="333"/>
      <c r="Q599" s="333"/>
      <c r="R599" s="333"/>
      <c r="S599" s="333"/>
      <c r="T599" s="333"/>
      <c r="U599" s="333"/>
      <c r="V599" s="333"/>
    </row>
    <row r="600" spans="1:22">
      <c r="A600" s="333"/>
      <c r="B600" s="333"/>
      <c r="C600" s="333"/>
      <c r="D600" s="333"/>
      <c r="E600" s="333"/>
      <c r="F600" s="333"/>
      <c r="G600" s="333"/>
      <c r="H600" s="333"/>
      <c r="I600" s="333"/>
      <c r="J600" s="333"/>
      <c r="K600" s="333"/>
      <c r="L600" s="333"/>
      <c r="M600" s="333"/>
      <c r="N600" s="333"/>
      <c r="O600" s="333"/>
      <c r="P600" s="333"/>
      <c r="Q600" s="333"/>
      <c r="R600" s="333"/>
      <c r="S600" s="333"/>
      <c r="T600" s="333"/>
      <c r="U600" s="333"/>
      <c r="V600" s="333"/>
    </row>
    <row r="601" spans="1:22">
      <c r="A601" s="333"/>
      <c r="B601" s="333"/>
      <c r="C601" s="333"/>
      <c r="D601" s="333"/>
      <c r="E601" s="333"/>
      <c r="F601" s="333"/>
      <c r="G601" s="333"/>
      <c r="H601" s="333"/>
      <c r="I601" s="333"/>
      <c r="J601" s="333"/>
      <c r="K601" s="333"/>
      <c r="L601" s="333"/>
      <c r="M601" s="333"/>
      <c r="N601" s="333"/>
      <c r="O601" s="333"/>
      <c r="P601" s="333"/>
      <c r="Q601" s="333"/>
      <c r="R601" s="333"/>
      <c r="S601" s="333"/>
      <c r="T601" s="333"/>
      <c r="U601" s="333"/>
      <c r="V601" s="333"/>
    </row>
    <row r="602" spans="1:22">
      <c r="A602" s="333"/>
      <c r="B602" s="333"/>
      <c r="C602" s="333"/>
      <c r="D602" s="333"/>
      <c r="E602" s="333"/>
      <c r="F602" s="333"/>
      <c r="G602" s="333"/>
      <c r="H602" s="333"/>
      <c r="I602" s="333"/>
      <c r="J602" s="333"/>
      <c r="K602" s="333"/>
      <c r="L602" s="333"/>
      <c r="M602" s="333"/>
      <c r="N602" s="333"/>
      <c r="O602" s="333"/>
      <c r="P602" s="333"/>
      <c r="Q602" s="333"/>
      <c r="R602" s="333"/>
      <c r="S602" s="333"/>
      <c r="T602" s="333"/>
      <c r="U602" s="333"/>
      <c r="V602" s="333"/>
    </row>
    <row r="603" spans="1:22">
      <c r="A603" s="333"/>
      <c r="B603" s="333"/>
      <c r="C603" s="333"/>
      <c r="D603" s="333"/>
      <c r="E603" s="333"/>
      <c r="F603" s="333"/>
      <c r="G603" s="333"/>
      <c r="H603" s="333"/>
      <c r="I603" s="333"/>
      <c r="J603" s="333"/>
      <c r="K603" s="333"/>
      <c r="L603" s="333"/>
      <c r="M603" s="333"/>
      <c r="N603" s="333"/>
      <c r="O603" s="333"/>
      <c r="P603" s="333"/>
      <c r="Q603" s="333"/>
      <c r="R603" s="333"/>
      <c r="S603" s="333"/>
      <c r="T603" s="333"/>
      <c r="U603" s="333"/>
      <c r="V603" s="333"/>
    </row>
    <row r="604" spans="1:22">
      <c r="A604" s="333"/>
      <c r="B604" s="333"/>
      <c r="C604" s="333"/>
      <c r="D604" s="333"/>
      <c r="E604" s="333"/>
      <c r="F604" s="333"/>
      <c r="G604" s="333"/>
      <c r="H604" s="333"/>
      <c r="I604" s="333"/>
      <c r="J604" s="333"/>
      <c r="K604" s="333"/>
      <c r="L604" s="333"/>
      <c r="M604" s="333"/>
      <c r="N604" s="333"/>
      <c r="O604" s="333"/>
      <c r="P604" s="333"/>
      <c r="Q604" s="333"/>
      <c r="R604" s="333"/>
      <c r="S604" s="333"/>
      <c r="T604" s="333"/>
      <c r="U604" s="333"/>
      <c r="V604" s="333"/>
    </row>
    <row r="605" spans="1:22">
      <c r="A605" s="333"/>
      <c r="B605" s="333"/>
      <c r="C605" s="333"/>
      <c r="D605" s="333"/>
      <c r="E605" s="333"/>
      <c r="F605" s="333"/>
      <c r="G605" s="333"/>
      <c r="H605" s="333"/>
      <c r="I605" s="333"/>
      <c r="J605" s="333"/>
      <c r="K605" s="333"/>
      <c r="L605" s="333"/>
      <c r="M605" s="333"/>
      <c r="N605" s="333"/>
      <c r="O605" s="333"/>
      <c r="P605" s="333"/>
      <c r="Q605" s="333"/>
      <c r="R605" s="333"/>
      <c r="S605" s="333"/>
      <c r="T605" s="333"/>
      <c r="U605" s="333"/>
      <c r="V605" s="333"/>
    </row>
    <row r="606" spans="1:22">
      <c r="A606" s="333"/>
      <c r="B606" s="333"/>
      <c r="C606" s="333"/>
      <c r="D606" s="333"/>
      <c r="E606" s="333"/>
      <c r="F606" s="333"/>
      <c r="G606" s="333"/>
      <c r="H606" s="333"/>
      <c r="I606" s="333"/>
      <c r="J606" s="333"/>
      <c r="K606" s="333"/>
      <c r="L606" s="333"/>
      <c r="M606" s="333"/>
      <c r="N606" s="333"/>
      <c r="O606" s="333"/>
      <c r="P606" s="333"/>
      <c r="Q606" s="333"/>
      <c r="R606" s="333"/>
      <c r="S606" s="333"/>
      <c r="T606" s="333"/>
      <c r="U606" s="333"/>
      <c r="V606" s="333"/>
    </row>
    <row r="607" spans="1:22">
      <c r="A607" s="333"/>
      <c r="B607" s="333"/>
      <c r="C607" s="333"/>
      <c r="D607" s="333"/>
      <c r="E607" s="333"/>
      <c r="F607" s="333"/>
      <c r="G607" s="333"/>
      <c r="H607" s="333"/>
      <c r="I607" s="333"/>
      <c r="J607" s="333"/>
      <c r="K607" s="333"/>
      <c r="L607" s="333"/>
      <c r="M607" s="333"/>
      <c r="N607" s="333"/>
      <c r="O607" s="333"/>
      <c r="P607" s="333"/>
      <c r="Q607" s="333"/>
      <c r="R607" s="333"/>
      <c r="S607" s="333"/>
      <c r="T607" s="333"/>
      <c r="U607" s="333"/>
      <c r="V607" s="333"/>
    </row>
    <row r="608" spans="1:22">
      <c r="A608" s="333"/>
      <c r="B608" s="333"/>
      <c r="C608" s="333"/>
      <c r="D608" s="333"/>
      <c r="E608" s="333"/>
      <c r="F608" s="333"/>
      <c r="G608" s="333"/>
      <c r="H608" s="333"/>
      <c r="I608" s="333"/>
      <c r="J608" s="333"/>
      <c r="K608" s="333"/>
      <c r="L608" s="333"/>
      <c r="M608" s="333"/>
      <c r="N608" s="333"/>
      <c r="O608" s="333"/>
      <c r="P608" s="333"/>
      <c r="Q608" s="333"/>
      <c r="R608" s="333"/>
      <c r="S608" s="333"/>
      <c r="T608" s="333"/>
      <c r="U608" s="333"/>
      <c r="V608" s="333"/>
    </row>
    <row r="609" spans="1:22">
      <c r="A609" s="333"/>
      <c r="B609" s="333"/>
      <c r="C609" s="333"/>
      <c r="D609" s="333"/>
      <c r="E609" s="333"/>
      <c r="F609" s="333"/>
      <c r="G609" s="333"/>
      <c r="H609" s="333"/>
      <c r="I609" s="333"/>
      <c r="J609" s="333"/>
      <c r="K609" s="333"/>
      <c r="L609" s="333"/>
      <c r="M609" s="333"/>
      <c r="N609" s="333"/>
      <c r="O609" s="333"/>
      <c r="P609" s="333"/>
      <c r="Q609" s="333"/>
      <c r="R609" s="333"/>
      <c r="S609" s="333"/>
      <c r="T609" s="333"/>
      <c r="U609" s="333"/>
      <c r="V609" s="333"/>
    </row>
    <row r="610" spans="1:22">
      <c r="A610" s="333"/>
      <c r="B610" s="333"/>
      <c r="C610" s="333"/>
      <c r="D610" s="333"/>
      <c r="E610" s="333"/>
      <c r="F610" s="333"/>
      <c r="G610" s="333"/>
      <c r="H610" s="333"/>
      <c r="I610" s="333"/>
      <c r="J610" s="333"/>
      <c r="K610" s="333"/>
      <c r="L610" s="333"/>
      <c r="M610" s="333"/>
      <c r="N610" s="333"/>
      <c r="O610" s="333"/>
      <c r="P610" s="333"/>
      <c r="Q610" s="333"/>
      <c r="R610" s="333"/>
      <c r="S610" s="333"/>
      <c r="T610" s="333"/>
      <c r="U610" s="333"/>
      <c r="V610" s="333"/>
    </row>
    <row r="611" spans="1:22">
      <c r="A611" s="333"/>
      <c r="B611" s="333"/>
      <c r="C611" s="333"/>
      <c r="D611" s="333"/>
      <c r="E611" s="333"/>
      <c r="F611" s="333"/>
      <c r="G611" s="333"/>
      <c r="H611" s="333"/>
      <c r="I611" s="333"/>
      <c r="J611" s="333"/>
      <c r="K611" s="333"/>
      <c r="L611" s="333"/>
      <c r="M611" s="333"/>
      <c r="N611" s="333"/>
      <c r="O611" s="333"/>
      <c r="P611" s="333"/>
      <c r="Q611" s="333"/>
      <c r="R611" s="333"/>
      <c r="S611" s="333"/>
      <c r="T611" s="333"/>
      <c r="U611" s="333"/>
      <c r="V611" s="333"/>
    </row>
    <row r="612" spans="1:22">
      <c r="A612" s="333"/>
      <c r="B612" s="333"/>
      <c r="C612" s="333"/>
      <c r="D612" s="333"/>
      <c r="E612" s="333"/>
      <c r="F612" s="333"/>
      <c r="G612" s="333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</row>
    <row r="613" spans="1:22">
      <c r="A613" s="333"/>
      <c r="B613" s="333"/>
      <c r="C613" s="333"/>
      <c r="D613" s="333"/>
      <c r="E613" s="333"/>
      <c r="F613" s="333"/>
      <c r="G613" s="333"/>
      <c r="H613" s="333"/>
      <c r="I613" s="333"/>
      <c r="J613" s="333"/>
      <c r="K613" s="333"/>
      <c r="L613" s="333"/>
      <c r="M613" s="333"/>
      <c r="N613" s="333"/>
      <c r="O613" s="333"/>
      <c r="P613" s="333"/>
      <c r="Q613" s="333"/>
      <c r="R613" s="333"/>
      <c r="S613" s="333"/>
      <c r="T613" s="333"/>
      <c r="U613" s="333"/>
      <c r="V613" s="333"/>
    </row>
    <row r="614" spans="1:22">
      <c r="A614" s="333"/>
      <c r="B614" s="333"/>
      <c r="C614" s="333"/>
      <c r="D614" s="333"/>
      <c r="E614" s="333"/>
      <c r="F614" s="333"/>
      <c r="G614" s="333"/>
      <c r="H614" s="333"/>
      <c r="I614" s="333"/>
      <c r="J614" s="333"/>
      <c r="K614" s="333"/>
      <c r="L614" s="333"/>
      <c r="M614" s="333"/>
      <c r="N614" s="333"/>
      <c r="O614" s="333"/>
      <c r="P614" s="333"/>
      <c r="Q614" s="333"/>
      <c r="R614" s="333"/>
      <c r="S614" s="333"/>
      <c r="T614" s="333"/>
      <c r="U614" s="333"/>
      <c r="V614" s="333"/>
    </row>
    <row r="615" spans="1:22">
      <c r="A615" s="333"/>
      <c r="B615" s="333"/>
      <c r="C615" s="333"/>
      <c r="D615" s="333"/>
      <c r="E615" s="333"/>
      <c r="F615" s="333"/>
      <c r="G615" s="333"/>
      <c r="H615" s="333"/>
      <c r="I615" s="333"/>
      <c r="J615" s="333"/>
      <c r="K615" s="333"/>
      <c r="L615" s="333"/>
      <c r="M615" s="333"/>
      <c r="N615" s="333"/>
      <c r="O615" s="333"/>
      <c r="P615" s="333"/>
      <c r="Q615" s="333"/>
      <c r="R615" s="333"/>
      <c r="S615" s="333"/>
      <c r="T615" s="333"/>
      <c r="U615" s="333"/>
      <c r="V615" s="333"/>
    </row>
    <row r="616" spans="1:22">
      <c r="A616" s="333"/>
      <c r="B616" s="333"/>
      <c r="C616" s="333"/>
      <c r="D616" s="333"/>
      <c r="E616" s="333"/>
      <c r="F616" s="333"/>
      <c r="G616" s="333"/>
      <c r="H616" s="333"/>
      <c r="I616" s="333"/>
      <c r="J616" s="333"/>
      <c r="K616" s="333"/>
      <c r="L616" s="333"/>
      <c r="M616" s="333"/>
      <c r="N616" s="333"/>
      <c r="O616" s="333"/>
      <c r="P616" s="333"/>
      <c r="Q616" s="333"/>
      <c r="R616" s="333"/>
      <c r="S616" s="333"/>
      <c r="T616" s="333"/>
      <c r="U616" s="333"/>
      <c r="V616" s="333"/>
    </row>
    <row r="617" spans="1:22">
      <c r="A617" s="333"/>
      <c r="B617" s="333"/>
      <c r="C617" s="333"/>
      <c r="D617" s="333"/>
      <c r="E617" s="333"/>
      <c r="F617" s="333"/>
      <c r="G617" s="333"/>
      <c r="H617" s="333"/>
      <c r="I617" s="333"/>
      <c r="J617" s="333"/>
      <c r="K617" s="333"/>
      <c r="L617" s="333"/>
      <c r="M617" s="333"/>
      <c r="N617" s="333"/>
      <c r="O617" s="333"/>
      <c r="P617" s="333"/>
      <c r="Q617" s="333"/>
      <c r="R617" s="333"/>
      <c r="S617" s="333"/>
      <c r="T617" s="333"/>
      <c r="U617" s="333"/>
      <c r="V617" s="333"/>
    </row>
    <row r="618" spans="1:22">
      <c r="A618" s="333"/>
      <c r="B618" s="333"/>
      <c r="C618" s="333"/>
      <c r="D618" s="333"/>
      <c r="E618" s="333"/>
      <c r="F618" s="333"/>
      <c r="G618" s="333"/>
      <c r="H618" s="333"/>
      <c r="I618" s="333"/>
      <c r="J618" s="333"/>
      <c r="K618" s="333"/>
      <c r="L618" s="333"/>
      <c r="M618" s="333"/>
      <c r="N618" s="333"/>
      <c r="O618" s="333"/>
      <c r="P618" s="333"/>
      <c r="Q618" s="333"/>
      <c r="R618" s="333"/>
      <c r="S618" s="333"/>
      <c r="T618" s="333"/>
      <c r="U618" s="333"/>
      <c r="V618" s="333"/>
    </row>
    <row r="619" spans="1:22">
      <c r="A619" s="333"/>
      <c r="B619" s="333"/>
      <c r="C619" s="333"/>
      <c r="D619" s="333"/>
      <c r="E619" s="333"/>
      <c r="F619" s="333"/>
      <c r="G619" s="333"/>
      <c r="H619" s="333"/>
      <c r="I619" s="333"/>
      <c r="J619" s="333"/>
      <c r="K619" s="333"/>
      <c r="L619" s="333"/>
      <c r="M619" s="333"/>
      <c r="N619" s="333"/>
      <c r="O619" s="333"/>
      <c r="P619" s="333"/>
      <c r="Q619" s="333"/>
      <c r="R619" s="333"/>
      <c r="S619" s="333"/>
      <c r="T619" s="333"/>
      <c r="U619" s="333"/>
      <c r="V619" s="333"/>
    </row>
    <row r="620" spans="1:22">
      <c r="A620" s="333"/>
      <c r="B620" s="333"/>
      <c r="C620" s="333"/>
      <c r="D620" s="333"/>
      <c r="E620" s="333"/>
      <c r="F620" s="333"/>
      <c r="G620" s="333"/>
      <c r="H620" s="333"/>
      <c r="I620" s="333"/>
      <c r="J620" s="333"/>
      <c r="K620" s="333"/>
      <c r="L620" s="333"/>
      <c r="M620" s="333"/>
      <c r="N620" s="333"/>
      <c r="O620" s="333"/>
      <c r="P620" s="333"/>
      <c r="Q620" s="333"/>
      <c r="R620" s="333"/>
      <c r="S620" s="333"/>
      <c r="T620" s="333"/>
      <c r="U620" s="333"/>
      <c r="V620" s="333"/>
    </row>
    <row r="621" spans="1:22">
      <c r="A621" s="333"/>
      <c r="B621" s="333"/>
      <c r="C621" s="333"/>
      <c r="D621" s="333"/>
      <c r="E621" s="333"/>
      <c r="F621" s="333"/>
      <c r="G621" s="333"/>
      <c r="H621" s="333"/>
      <c r="I621" s="333"/>
      <c r="J621" s="333"/>
      <c r="K621" s="333"/>
      <c r="L621" s="333"/>
      <c r="M621" s="333"/>
      <c r="N621" s="333"/>
      <c r="O621" s="333"/>
      <c r="P621" s="333"/>
      <c r="Q621" s="333"/>
      <c r="R621" s="333"/>
      <c r="S621" s="333"/>
      <c r="T621" s="333"/>
      <c r="U621" s="333"/>
      <c r="V621" s="333"/>
    </row>
    <row r="622" spans="1:22">
      <c r="A622" s="333"/>
      <c r="B622" s="333"/>
      <c r="C622" s="333"/>
      <c r="D622" s="333"/>
      <c r="E622" s="333"/>
      <c r="F622" s="333"/>
      <c r="G622" s="333"/>
      <c r="H622" s="333"/>
      <c r="I622" s="333"/>
      <c r="J622" s="333"/>
      <c r="K622" s="333"/>
      <c r="L622" s="333"/>
      <c r="M622" s="333"/>
      <c r="N622" s="333"/>
      <c r="O622" s="333"/>
      <c r="P622" s="333"/>
      <c r="Q622" s="333"/>
      <c r="R622" s="333"/>
      <c r="S622" s="333"/>
      <c r="T622" s="333"/>
      <c r="U622" s="333"/>
      <c r="V622" s="333"/>
    </row>
    <row r="623" spans="1:22">
      <c r="A623" s="333"/>
      <c r="B623" s="333"/>
      <c r="C623" s="333"/>
      <c r="D623" s="333"/>
      <c r="E623" s="333"/>
      <c r="F623" s="333"/>
      <c r="G623" s="333"/>
      <c r="H623" s="333"/>
      <c r="I623" s="333"/>
      <c r="J623" s="333"/>
      <c r="K623" s="333"/>
      <c r="L623" s="333"/>
      <c r="M623" s="333"/>
      <c r="N623" s="333"/>
      <c r="O623" s="333"/>
      <c r="P623" s="333"/>
      <c r="Q623" s="333"/>
      <c r="R623" s="333"/>
      <c r="S623" s="333"/>
      <c r="T623" s="333"/>
      <c r="U623" s="333"/>
      <c r="V623" s="333"/>
    </row>
    <row r="624" spans="1:22">
      <c r="A624" s="333"/>
      <c r="B624" s="333"/>
      <c r="C624" s="333"/>
      <c r="D624" s="333"/>
      <c r="E624" s="333"/>
      <c r="F624" s="333"/>
      <c r="G624" s="333"/>
      <c r="H624" s="333"/>
      <c r="I624" s="333"/>
      <c r="J624" s="333"/>
      <c r="K624" s="333"/>
      <c r="L624" s="333"/>
      <c r="M624" s="333"/>
      <c r="N624" s="333"/>
      <c r="O624" s="333"/>
      <c r="P624" s="333"/>
      <c r="Q624" s="333"/>
      <c r="R624" s="333"/>
      <c r="S624" s="333"/>
      <c r="T624" s="333"/>
      <c r="U624" s="333"/>
      <c r="V624" s="333"/>
    </row>
    <row r="625" spans="1:22">
      <c r="A625" s="333"/>
      <c r="B625" s="333"/>
      <c r="C625" s="333"/>
      <c r="D625" s="333"/>
      <c r="E625" s="333"/>
      <c r="F625" s="333"/>
      <c r="G625" s="333"/>
      <c r="H625" s="333"/>
      <c r="I625" s="333"/>
      <c r="J625" s="333"/>
      <c r="K625" s="333"/>
      <c r="L625" s="333"/>
      <c r="M625" s="333"/>
      <c r="N625" s="333"/>
      <c r="O625" s="333"/>
      <c r="P625" s="333"/>
      <c r="Q625" s="333"/>
      <c r="R625" s="333"/>
      <c r="S625" s="333"/>
      <c r="T625" s="333"/>
      <c r="U625" s="333"/>
      <c r="V625" s="333"/>
    </row>
    <row r="626" spans="1:22">
      <c r="A626" s="333"/>
      <c r="B626" s="333"/>
      <c r="C626" s="333"/>
      <c r="D626" s="333"/>
      <c r="E626" s="333"/>
      <c r="F626" s="333"/>
      <c r="G626" s="333"/>
      <c r="H626" s="333"/>
      <c r="I626" s="333"/>
      <c r="J626" s="333"/>
      <c r="K626" s="333"/>
      <c r="L626" s="333"/>
      <c r="M626" s="333"/>
      <c r="N626" s="333"/>
      <c r="O626" s="333"/>
      <c r="P626" s="333"/>
      <c r="Q626" s="333"/>
      <c r="R626" s="333"/>
      <c r="S626" s="333"/>
      <c r="T626" s="333"/>
      <c r="U626" s="333"/>
      <c r="V626" s="333"/>
    </row>
    <row r="627" spans="1:22">
      <c r="A627" s="333"/>
      <c r="B627" s="333"/>
      <c r="C627" s="333"/>
      <c r="D627" s="333"/>
      <c r="E627" s="333"/>
      <c r="F627" s="333"/>
      <c r="G627" s="333"/>
      <c r="H627" s="333"/>
      <c r="I627" s="333"/>
      <c r="J627" s="333"/>
      <c r="K627" s="333"/>
      <c r="L627" s="333"/>
      <c r="M627" s="333"/>
      <c r="N627" s="333"/>
      <c r="O627" s="333"/>
      <c r="P627" s="333"/>
      <c r="Q627" s="333"/>
      <c r="R627" s="333"/>
      <c r="S627" s="333"/>
      <c r="T627" s="333"/>
      <c r="U627" s="333"/>
      <c r="V627" s="333"/>
    </row>
    <row r="628" spans="1:22">
      <c r="A628" s="333"/>
      <c r="B628" s="333"/>
      <c r="C628" s="333"/>
      <c r="D628" s="333"/>
      <c r="E628" s="333"/>
      <c r="F628" s="333"/>
      <c r="G628" s="333"/>
      <c r="H628" s="333"/>
      <c r="I628" s="333"/>
      <c r="J628" s="333"/>
      <c r="K628" s="333"/>
      <c r="L628" s="333"/>
      <c r="M628" s="333"/>
      <c r="N628" s="333"/>
      <c r="O628" s="333"/>
      <c r="P628" s="333"/>
      <c r="Q628" s="333"/>
      <c r="R628" s="333"/>
      <c r="S628" s="333"/>
      <c r="T628" s="333"/>
      <c r="U628" s="333"/>
      <c r="V628" s="333"/>
    </row>
    <row r="629" spans="1:22">
      <c r="A629" s="333"/>
      <c r="B629" s="333"/>
      <c r="C629" s="333"/>
      <c r="D629" s="333"/>
      <c r="E629" s="333"/>
      <c r="F629" s="333"/>
      <c r="G629" s="333"/>
      <c r="H629" s="333"/>
      <c r="I629" s="333"/>
      <c r="J629" s="333"/>
      <c r="K629" s="333"/>
      <c r="L629" s="333"/>
      <c r="M629" s="333"/>
      <c r="N629" s="333"/>
      <c r="O629" s="333"/>
      <c r="P629" s="333"/>
      <c r="Q629" s="333"/>
      <c r="R629" s="333"/>
      <c r="S629" s="333"/>
      <c r="T629" s="333"/>
      <c r="U629" s="333"/>
      <c r="V629" s="333"/>
    </row>
    <row r="630" spans="1:22">
      <c r="A630" s="333"/>
      <c r="B630" s="333"/>
      <c r="C630" s="333"/>
      <c r="D630" s="333"/>
      <c r="E630" s="333"/>
      <c r="F630" s="333"/>
      <c r="G630" s="333"/>
      <c r="H630" s="333"/>
      <c r="I630" s="333"/>
      <c r="J630" s="333"/>
      <c r="K630" s="333"/>
      <c r="L630" s="333"/>
      <c r="M630" s="333"/>
      <c r="N630" s="333"/>
      <c r="O630" s="333"/>
      <c r="P630" s="333"/>
      <c r="Q630" s="333"/>
      <c r="R630" s="333"/>
      <c r="S630" s="333"/>
      <c r="T630" s="333"/>
      <c r="U630" s="333"/>
      <c r="V630" s="333"/>
    </row>
    <row r="631" spans="1:22">
      <c r="A631" s="333"/>
      <c r="B631" s="333"/>
      <c r="C631" s="333"/>
      <c r="D631" s="333"/>
      <c r="E631" s="333"/>
      <c r="F631" s="333"/>
      <c r="G631" s="333"/>
      <c r="H631" s="333"/>
      <c r="I631" s="333"/>
      <c r="J631" s="333"/>
      <c r="K631" s="333"/>
      <c r="L631" s="333"/>
      <c r="M631" s="333"/>
      <c r="N631" s="333"/>
      <c r="O631" s="333"/>
      <c r="P631" s="333"/>
      <c r="Q631" s="333"/>
      <c r="R631" s="333"/>
      <c r="S631" s="333"/>
      <c r="T631" s="333"/>
      <c r="U631" s="333"/>
      <c r="V631" s="333"/>
    </row>
    <row r="632" spans="1:22">
      <c r="A632" s="333"/>
      <c r="B632" s="333"/>
      <c r="C632" s="333"/>
      <c r="D632" s="333"/>
      <c r="E632" s="333"/>
      <c r="F632" s="333"/>
      <c r="G632" s="333"/>
      <c r="H632" s="333"/>
      <c r="I632" s="333"/>
      <c r="J632" s="333"/>
      <c r="K632" s="333"/>
      <c r="L632" s="333"/>
      <c r="M632" s="333"/>
      <c r="N632" s="333"/>
      <c r="O632" s="333"/>
      <c r="P632" s="333"/>
      <c r="Q632" s="333"/>
      <c r="R632" s="333"/>
      <c r="S632" s="333"/>
      <c r="T632" s="333"/>
      <c r="U632" s="333"/>
      <c r="V632" s="333"/>
    </row>
    <row r="633" spans="1:22">
      <c r="A633" s="333"/>
      <c r="B633" s="333"/>
      <c r="C633" s="333"/>
      <c r="D633" s="333"/>
      <c r="E633" s="333"/>
      <c r="F633" s="333"/>
      <c r="G633" s="333"/>
      <c r="H633" s="333"/>
      <c r="I633" s="333"/>
      <c r="J633" s="333"/>
      <c r="K633" s="333"/>
      <c r="L633" s="333"/>
      <c r="M633" s="333"/>
      <c r="N633" s="333"/>
      <c r="O633" s="333"/>
      <c r="P633" s="333"/>
      <c r="Q633" s="333"/>
      <c r="R633" s="333"/>
      <c r="S633" s="333"/>
      <c r="T633" s="333"/>
      <c r="U633" s="333"/>
      <c r="V633" s="333"/>
    </row>
    <row r="634" spans="1:22">
      <c r="A634" s="333"/>
      <c r="B634" s="333"/>
      <c r="C634" s="333"/>
      <c r="D634" s="333"/>
      <c r="E634" s="333"/>
      <c r="F634" s="333"/>
      <c r="G634" s="333"/>
      <c r="H634" s="333"/>
      <c r="I634" s="333"/>
      <c r="J634" s="333"/>
      <c r="K634" s="333"/>
      <c r="L634" s="333"/>
      <c r="M634" s="333"/>
      <c r="N634" s="333"/>
      <c r="O634" s="333"/>
      <c r="P634" s="333"/>
      <c r="Q634" s="333"/>
      <c r="R634" s="333"/>
      <c r="S634" s="333"/>
      <c r="T634" s="333"/>
      <c r="U634" s="333"/>
      <c r="V634" s="333"/>
    </row>
    <row r="635" spans="1:22">
      <c r="A635" s="333"/>
      <c r="B635" s="333"/>
      <c r="C635" s="333"/>
      <c r="D635" s="333"/>
      <c r="E635" s="333"/>
      <c r="F635" s="333"/>
      <c r="G635" s="333"/>
      <c r="H635" s="333"/>
      <c r="I635" s="333"/>
      <c r="J635" s="333"/>
      <c r="K635" s="333"/>
      <c r="L635" s="333"/>
      <c r="M635" s="333"/>
      <c r="N635" s="333"/>
      <c r="O635" s="333"/>
      <c r="P635" s="333"/>
      <c r="Q635" s="333"/>
      <c r="R635" s="333"/>
      <c r="S635" s="333"/>
      <c r="T635" s="333"/>
      <c r="U635" s="333"/>
      <c r="V635" s="333"/>
    </row>
    <row r="636" spans="1:22">
      <c r="A636" s="333"/>
      <c r="B636" s="333"/>
      <c r="C636" s="333"/>
      <c r="D636" s="333"/>
      <c r="E636" s="333"/>
      <c r="F636" s="333"/>
      <c r="G636" s="333"/>
      <c r="H636" s="333"/>
      <c r="I636" s="333"/>
      <c r="J636" s="333"/>
      <c r="K636" s="333"/>
      <c r="L636" s="333"/>
      <c r="M636" s="333"/>
      <c r="N636" s="333"/>
      <c r="O636" s="333"/>
      <c r="P636" s="333"/>
      <c r="Q636" s="333"/>
      <c r="R636" s="333"/>
      <c r="S636" s="333"/>
      <c r="T636" s="333"/>
      <c r="U636" s="333"/>
      <c r="V636" s="333"/>
    </row>
    <row r="637" spans="1:22">
      <c r="A637" s="333"/>
      <c r="B637" s="333"/>
      <c r="C637" s="333"/>
      <c r="D637" s="333"/>
      <c r="E637" s="333"/>
      <c r="F637" s="333"/>
      <c r="G637" s="333"/>
      <c r="H637" s="333"/>
      <c r="I637" s="333"/>
      <c r="J637" s="333"/>
      <c r="K637" s="333"/>
      <c r="L637" s="333"/>
      <c r="M637" s="333"/>
      <c r="N637" s="333"/>
      <c r="O637" s="333"/>
      <c r="P637" s="333"/>
      <c r="Q637" s="333"/>
      <c r="R637" s="333"/>
      <c r="S637" s="333"/>
      <c r="T637" s="333"/>
      <c r="U637" s="333"/>
      <c r="V637" s="333"/>
    </row>
    <row r="638" spans="1:22">
      <c r="A638" s="333"/>
      <c r="B638" s="333"/>
      <c r="C638" s="333"/>
      <c r="D638" s="333"/>
      <c r="E638" s="333"/>
      <c r="F638" s="333"/>
      <c r="G638" s="333"/>
      <c r="H638" s="333"/>
      <c r="I638" s="333"/>
      <c r="J638" s="333"/>
      <c r="K638" s="333"/>
      <c r="L638" s="333"/>
      <c r="M638" s="333"/>
      <c r="N638" s="333"/>
      <c r="O638" s="333"/>
      <c r="P638" s="333"/>
      <c r="Q638" s="333"/>
      <c r="R638" s="333"/>
      <c r="S638" s="333"/>
      <c r="T638" s="333"/>
      <c r="U638" s="333"/>
      <c r="V638" s="333"/>
    </row>
    <row r="639" spans="1:22">
      <c r="A639" s="333"/>
      <c r="B639" s="333"/>
      <c r="C639" s="333"/>
      <c r="D639" s="333"/>
      <c r="E639" s="333"/>
      <c r="F639" s="333"/>
      <c r="G639" s="333"/>
      <c r="H639" s="333"/>
      <c r="I639" s="333"/>
      <c r="J639" s="333"/>
      <c r="K639" s="333"/>
      <c r="L639" s="333"/>
      <c r="M639" s="333"/>
      <c r="N639" s="333"/>
      <c r="O639" s="333"/>
      <c r="P639" s="333"/>
      <c r="Q639" s="333"/>
      <c r="R639" s="333"/>
      <c r="S639" s="333"/>
      <c r="T639" s="333"/>
      <c r="U639" s="333"/>
      <c r="V639" s="333"/>
    </row>
    <row r="640" spans="1:22">
      <c r="A640" s="333"/>
      <c r="B640" s="333"/>
      <c r="C640" s="333"/>
      <c r="D640" s="333"/>
      <c r="E640" s="333"/>
      <c r="F640" s="333"/>
      <c r="G640" s="333"/>
      <c r="H640" s="333"/>
      <c r="I640" s="333"/>
      <c r="J640" s="333"/>
      <c r="K640" s="333"/>
      <c r="L640" s="333"/>
      <c r="M640" s="333"/>
      <c r="N640" s="333"/>
      <c r="O640" s="333"/>
      <c r="P640" s="333"/>
      <c r="Q640" s="333"/>
      <c r="R640" s="333"/>
      <c r="S640" s="333"/>
      <c r="T640" s="333"/>
      <c r="U640" s="333"/>
      <c r="V640" s="333"/>
    </row>
    <row r="641" spans="1:22">
      <c r="A641" s="333"/>
      <c r="B641" s="333"/>
      <c r="C641" s="333"/>
      <c r="D641" s="333"/>
      <c r="E641" s="333"/>
      <c r="F641" s="333"/>
      <c r="G641" s="333"/>
      <c r="H641" s="333"/>
      <c r="I641" s="333"/>
      <c r="J641" s="333"/>
      <c r="K641" s="333"/>
      <c r="L641" s="333"/>
      <c r="M641" s="333"/>
      <c r="N641" s="333"/>
      <c r="O641" s="333"/>
      <c r="P641" s="333"/>
      <c r="Q641" s="333"/>
      <c r="R641" s="333"/>
      <c r="S641" s="333"/>
      <c r="T641" s="333"/>
      <c r="U641" s="333"/>
      <c r="V641" s="333"/>
    </row>
    <row r="642" spans="1:22">
      <c r="A642" s="333"/>
      <c r="B642" s="333"/>
      <c r="C642" s="333"/>
      <c r="D642" s="333"/>
      <c r="E642" s="333"/>
      <c r="F642" s="333"/>
      <c r="G642" s="333"/>
      <c r="H642" s="333"/>
      <c r="I642" s="333"/>
      <c r="J642" s="333"/>
      <c r="K642" s="333"/>
      <c r="L642" s="333"/>
      <c r="M642" s="333"/>
      <c r="N642" s="333"/>
      <c r="O642" s="333"/>
      <c r="P642" s="333"/>
      <c r="Q642" s="333"/>
      <c r="R642" s="333"/>
      <c r="S642" s="333"/>
      <c r="T642" s="333"/>
      <c r="U642" s="333"/>
      <c r="V642" s="333"/>
    </row>
    <row r="643" spans="1:22">
      <c r="A643" s="333"/>
      <c r="B643" s="333"/>
      <c r="C643" s="333"/>
      <c r="D643" s="333"/>
      <c r="E643" s="333"/>
      <c r="F643" s="333"/>
      <c r="G643" s="333"/>
      <c r="H643" s="333"/>
      <c r="I643" s="333"/>
      <c r="J643" s="333"/>
      <c r="K643" s="333"/>
      <c r="L643" s="333"/>
      <c r="M643" s="333"/>
      <c r="N643" s="333"/>
      <c r="O643" s="333"/>
      <c r="P643" s="333"/>
      <c r="Q643" s="333"/>
      <c r="R643" s="333"/>
      <c r="S643" s="333"/>
      <c r="T643" s="333"/>
      <c r="U643" s="333"/>
      <c r="V643" s="333"/>
    </row>
    <row r="644" spans="1:22">
      <c r="A644" s="333"/>
      <c r="B644" s="333"/>
      <c r="C644" s="333"/>
      <c r="D644" s="333"/>
      <c r="E644" s="333"/>
      <c r="F644" s="333"/>
      <c r="G644" s="333"/>
      <c r="H644" s="333"/>
      <c r="I644" s="333"/>
      <c r="J644" s="333"/>
      <c r="K644" s="333"/>
      <c r="L644" s="333"/>
      <c r="M644" s="333"/>
      <c r="N644" s="333"/>
      <c r="O644" s="333"/>
      <c r="P644" s="333"/>
      <c r="Q644" s="333"/>
      <c r="R644" s="333"/>
      <c r="S644" s="333"/>
      <c r="T644" s="333"/>
      <c r="U644" s="333"/>
      <c r="V644" s="333"/>
    </row>
    <row r="645" spans="1:22">
      <c r="A645" s="333"/>
      <c r="B645" s="333"/>
      <c r="C645" s="333"/>
      <c r="D645" s="333"/>
      <c r="E645" s="333"/>
      <c r="F645" s="333"/>
      <c r="G645" s="333"/>
      <c r="H645" s="333"/>
      <c r="I645" s="333"/>
      <c r="J645" s="333"/>
      <c r="K645" s="333"/>
      <c r="L645" s="333"/>
      <c r="M645" s="333"/>
      <c r="N645" s="333"/>
      <c r="O645" s="333"/>
      <c r="P645" s="333"/>
      <c r="Q645" s="333"/>
      <c r="R645" s="333"/>
      <c r="S645" s="333"/>
      <c r="T645" s="333"/>
      <c r="U645" s="333"/>
      <c r="V645" s="333"/>
    </row>
    <row r="646" spans="1:22">
      <c r="A646" s="333"/>
      <c r="B646" s="333"/>
      <c r="C646" s="333"/>
      <c r="D646" s="333"/>
      <c r="E646" s="333"/>
      <c r="F646" s="333"/>
      <c r="G646" s="333"/>
      <c r="H646" s="333"/>
      <c r="I646" s="333"/>
      <c r="J646" s="333"/>
      <c r="K646" s="333"/>
      <c r="L646" s="333"/>
      <c r="M646" s="333"/>
      <c r="N646" s="333"/>
      <c r="O646" s="333"/>
      <c r="P646" s="333"/>
      <c r="Q646" s="333"/>
      <c r="R646" s="333"/>
      <c r="S646" s="333"/>
      <c r="T646" s="333"/>
      <c r="U646" s="333"/>
      <c r="V646" s="333"/>
    </row>
    <row r="647" spans="1:22">
      <c r="A647" s="333"/>
      <c r="B647" s="333"/>
      <c r="C647" s="333"/>
      <c r="D647" s="333"/>
      <c r="E647" s="333"/>
      <c r="F647" s="333"/>
      <c r="G647" s="333"/>
      <c r="H647" s="333"/>
      <c r="I647" s="333"/>
      <c r="J647" s="333"/>
      <c r="K647" s="333"/>
      <c r="L647" s="333"/>
      <c r="M647" s="333"/>
      <c r="N647" s="333"/>
      <c r="O647" s="333"/>
      <c r="P647" s="333"/>
      <c r="Q647" s="333"/>
      <c r="R647" s="333"/>
      <c r="S647" s="333"/>
      <c r="T647" s="333"/>
      <c r="U647" s="333"/>
      <c r="V647" s="333"/>
    </row>
    <row r="648" spans="1:22">
      <c r="A648" s="333"/>
      <c r="B648" s="333"/>
      <c r="C648" s="333"/>
      <c r="D648" s="333"/>
      <c r="E648" s="333"/>
      <c r="F648" s="333"/>
      <c r="G648" s="333"/>
      <c r="H648" s="333"/>
      <c r="I648" s="333"/>
      <c r="J648" s="333"/>
      <c r="K648" s="333"/>
      <c r="L648" s="333"/>
      <c r="M648" s="333"/>
      <c r="N648" s="333"/>
      <c r="O648" s="333"/>
      <c r="P648" s="333"/>
      <c r="Q648" s="333"/>
      <c r="R648" s="333"/>
      <c r="S648" s="333"/>
      <c r="T648" s="333"/>
      <c r="U648" s="333"/>
      <c r="V648" s="333"/>
    </row>
    <row r="649" spans="1:22">
      <c r="A649" s="333"/>
      <c r="B649" s="333"/>
      <c r="C649" s="333"/>
      <c r="D649" s="333"/>
      <c r="E649" s="333"/>
      <c r="F649" s="333"/>
      <c r="G649" s="333"/>
      <c r="H649" s="333"/>
      <c r="I649" s="333"/>
      <c r="J649" s="333"/>
      <c r="K649" s="333"/>
      <c r="L649" s="333"/>
      <c r="M649" s="333"/>
      <c r="N649" s="333"/>
      <c r="O649" s="333"/>
      <c r="P649" s="333"/>
      <c r="Q649" s="333"/>
      <c r="R649" s="333"/>
      <c r="S649" s="333"/>
      <c r="T649" s="333"/>
      <c r="U649" s="333"/>
      <c r="V649" s="333"/>
    </row>
    <row r="650" spans="1:22">
      <c r="A650" s="333"/>
      <c r="B650" s="333"/>
      <c r="C650" s="333"/>
      <c r="D650" s="333"/>
      <c r="E650" s="333"/>
      <c r="F650" s="333"/>
      <c r="G650" s="333"/>
      <c r="H650" s="333"/>
      <c r="I650" s="333"/>
      <c r="J650" s="333"/>
      <c r="K650" s="333"/>
      <c r="L650" s="333"/>
      <c r="M650" s="333"/>
      <c r="N650" s="333"/>
      <c r="O650" s="333"/>
      <c r="P650" s="333"/>
      <c r="Q650" s="333"/>
      <c r="R650" s="333"/>
      <c r="S650" s="333"/>
      <c r="T650" s="333"/>
      <c r="U650" s="333"/>
      <c r="V650" s="333"/>
    </row>
    <row r="651" spans="1:22">
      <c r="A651" s="333"/>
      <c r="B651" s="333"/>
      <c r="C651" s="333"/>
      <c r="D651" s="333"/>
      <c r="E651" s="333"/>
      <c r="F651" s="333"/>
      <c r="G651" s="333"/>
      <c r="H651" s="333"/>
      <c r="I651" s="333"/>
      <c r="J651" s="333"/>
      <c r="K651" s="333"/>
      <c r="L651" s="333"/>
      <c r="M651" s="333"/>
      <c r="N651" s="333"/>
      <c r="O651" s="333"/>
      <c r="P651" s="333"/>
      <c r="Q651" s="333"/>
      <c r="R651" s="333"/>
      <c r="S651" s="333"/>
      <c r="T651" s="333"/>
      <c r="U651" s="333"/>
      <c r="V651" s="333"/>
    </row>
    <row r="652" spans="1:22">
      <c r="A652" s="333"/>
      <c r="B652" s="333"/>
      <c r="C652" s="333"/>
      <c r="D652" s="333"/>
      <c r="E652" s="333"/>
      <c r="F652" s="333"/>
      <c r="G652" s="333"/>
      <c r="H652" s="333"/>
      <c r="I652" s="333"/>
      <c r="J652" s="333"/>
      <c r="K652" s="333"/>
      <c r="L652" s="333"/>
      <c r="M652" s="333"/>
      <c r="N652" s="333"/>
      <c r="O652" s="333"/>
      <c r="P652" s="333"/>
      <c r="Q652" s="333"/>
      <c r="R652" s="333"/>
      <c r="S652" s="333"/>
      <c r="T652" s="333"/>
      <c r="U652" s="333"/>
      <c r="V652" s="333"/>
    </row>
    <row r="653" spans="1:22">
      <c r="A653" s="333"/>
      <c r="B653" s="333"/>
      <c r="C653" s="333"/>
      <c r="D653" s="333"/>
      <c r="E653" s="333"/>
      <c r="F653" s="333"/>
      <c r="G653" s="333"/>
      <c r="H653" s="333"/>
      <c r="I653" s="333"/>
      <c r="J653" s="333"/>
      <c r="K653" s="333"/>
      <c r="L653" s="333"/>
      <c r="M653" s="333"/>
      <c r="N653" s="333"/>
      <c r="O653" s="333"/>
      <c r="P653" s="333"/>
      <c r="Q653" s="333"/>
      <c r="R653" s="333"/>
      <c r="S653" s="333"/>
      <c r="T653" s="333"/>
      <c r="U653" s="333"/>
      <c r="V653" s="333"/>
    </row>
    <row r="654" spans="1:22">
      <c r="A654" s="333"/>
      <c r="B654" s="333"/>
      <c r="C654" s="333"/>
      <c r="D654" s="333"/>
      <c r="E654" s="333"/>
      <c r="F654" s="333"/>
      <c r="G654" s="333"/>
      <c r="H654" s="333"/>
      <c r="I654" s="333"/>
      <c r="J654" s="333"/>
      <c r="K654" s="333"/>
      <c r="L654" s="333"/>
      <c r="M654" s="333"/>
      <c r="N654" s="333"/>
      <c r="O654" s="333"/>
      <c r="P654" s="333"/>
      <c r="Q654" s="333"/>
      <c r="R654" s="333"/>
      <c r="S654" s="333"/>
      <c r="T654" s="333"/>
      <c r="U654" s="333"/>
      <c r="V654" s="333"/>
    </row>
    <row r="655" spans="1:22">
      <c r="A655" s="333"/>
      <c r="B655" s="333"/>
      <c r="C655" s="333"/>
      <c r="D655" s="333"/>
      <c r="E655" s="333"/>
      <c r="F655" s="333"/>
      <c r="G655" s="333"/>
      <c r="H655" s="333"/>
      <c r="I655" s="333"/>
      <c r="J655" s="333"/>
      <c r="K655" s="333"/>
      <c r="L655" s="333"/>
      <c r="M655" s="333"/>
      <c r="N655" s="333"/>
      <c r="O655" s="333"/>
      <c r="P655" s="333"/>
      <c r="Q655" s="333"/>
      <c r="R655" s="333"/>
      <c r="S655" s="333"/>
      <c r="T655" s="333"/>
      <c r="U655" s="333"/>
      <c r="V655" s="333"/>
    </row>
    <row r="656" spans="1:22">
      <c r="A656" s="333"/>
      <c r="B656" s="333"/>
      <c r="C656" s="333"/>
      <c r="D656" s="333"/>
      <c r="E656" s="333"/>
      <c r="F656" s="333"/>
      <c r="G656" s="333"/>
      <c r="H656" s="333"/>
      <c r="I656" s="333"/>
      <c r="J656" s="333"/>
      <c r="K656" s="333"/>
      <c r="L656" s="333"/>
      <c r="M656" s="333"/>
      <c r="N656" s="333"/>
      <c r="O656" s="333"/>
      <c r="P656" s="333"/>
      <c r="Q656" s="333"/>
      <c r="R656" s="333"/>
      <c r="S656" s="333"/>
      <c r="T656" s="333"/>
      <c r="U656" s="333"/>
      <c r="V656" s="333"/>
    </row>
    <row r="657" spans="1:22">
      <c r="A657" s="333"/>
      <c r="B657" s="333"/>
      <c r="C657" s="333"/>
      <c r="D657" s="333"/>
      <c r="E657" s="333"/>
      <c r="F657" s="333"/>
      <c r="G657" s="333"/>
      <c r="H657" s="333"/>
      <c r="I657" s="333"/>
      <c r="J657" s="333"/>
      <c r="K657" s="333"/>
      <c r="L657" s="333"/>
      <c r="M657" s="333"/>
      <c r="N657" s="333"/>
      <c r="O657" s="333"/>
      <c r="P657" s="333"/>
      <c r="Q657" s="333"/>
      <c r="R657" s="333"/>
      <c r="S657" s="333"/>
      <c r="T657" s="333"/>
      <c r="U657" s="333"/>
      <c r="V657" s="333"/>
    </row>
    <row r="658" spans="1:22">
      <c r="A658" s="333"/>
      <c r="B658" s="333"/>
      <c r="C658" s="333"/>
      <c r="D658" s="333"/>
      <c r="E658" s="333"/>
      <c r="F658" s="333"/>
      <c r="G658" s="333"/>
      <c r="H658" s="333"/>
      <c r="I658" s="333"/>
      <c r="J658" s="333"/>
      <c r="K658" s="333"/>
      <c r="L658" s="333"/>
      <c r="M658" s="333"/>
      <c r="N658" s="333"/>
      <c r="O658" s="333"/>
      <c r="P658" s="333"/>
      <c r="Q658" s="333"/>
      <c r="R658" s="333"/>
      <c r="S658" s="333"/>
      <c r="T658" s="333"/>
      <c r="U658" s="333"/>
      <c r="V658" s="333"/>
    </row>
    <row r="659" spans="1:22">
      <c r="A659" s="333"/>
      <c r="B659" s="333"/>
      <c r="C659" s="333"/>
      <c r="D659" s="333"/>
      <c r="E659" s="333"/>
      <c r="F659" s="333"/>
      <c r="G659" s="333"/>
      <c r="H659" s="333"/>
      <c r="I659" s="333"/>
      <c r="J659" s="333"/>
      <c r="K659" s="333"/>
      <c r="L659" s="333"/>
      <c r="M659" s="333"/>
      <c r="N659" s="333"/>
      <c r="O659" s="333"/>
      <c r="P659" s="333"/>
      <c r="Q659" s="333"/>
      <c r="R659" s="333"/>
      <c r="S659" s="333"/>
      <c r="T659" s="333"/>
      <c r="U659" s="333"/>
      <c r="V659" s="333"/>
    </row>
    <row r="660" spans="1:22">
      <c r="A660" s="333"/>
      <c r="B660" s="333"/>
      <c r="C660" s="333"/>
      <c r="D660" s="333"/>
      <c r="E660" s="333"/>
      <c r="F660" s="333"/>
      <c r="G660" s="333"/>
      <c r="H660" s="333"/>
      <c r="I660" s="333"/>
      <c r="J660" s="333"/>
      <c r="K660" s="333"/>
      <c r="L660" s="333"/>
      <c r="M660" s="333"/>
      <c r="N660" s="333"/>
      <c r="O660" s="333"/>
      <c r="P660" s="333"/>
      <c r="Q660" s="333"/>
      <c r="R660" s="333"/>
      <c r="S660" s="333"/>
      <c r="T660" s="333"/>
      <c r="U660" s="333"/>
      <c r="V660" s="333"/>
    </row>
    <row r="661" spans="1:22">
      <c r="A661" s="333"/>
      <c r="B661" s="333"/>
      <c r="C661" s="333"/>
      <c r="D661" s="333"/>
      <c r="E661" s="333"/>
      <c r="F661" s="333"/>
      <c r="G661" s="333"/>
      <c r="H661" s="333"/>
      <c r="I661" s="333"/>
      <c r="J661" s="333"/>
      <c r="K661" s="333"/>
      <c r="L661" s="333"/>
      <c r="M661" s="333"/>
      <c r="N661" s="333"/>
      <c r="O661" s="333"/>
      <c r="P661" s="333"/>
      <c r="Q661" s="333"/>
      <c r="R661" s="333"/>
      <c r="S661" s="333"/>
      <c r="T661" s="333"/>
      <c r="U661" s="333"/>
      <c r="V661" s="333"/>
    </row>
    <row r="662" spans="1:22">
      <c r="A662" s="333"/>
      <c r="B662" s="333"/>
      <c r="C662" s="333"/>
      <c r="D662" s="333"/>
      <c r="E662" s="333"/>
      <c r="F662" s="333"/>
      <c r="G662" s="333"/>
      <c r="H662" s="333"/>
      <c r="I662" s="333"/>
      <c r="J662" s="333"/>
      <c r="K662" s="333"/>
      <c r="L662" s="333"/>
      <c r="M662" s="333"/>
      <c r="N662" s="333"/>
      <c r="O662" s="333"/>
      <c r="P662" s="333"/>
      <c r="Q662" s="333"/>
      <c r="R662" s="333"/>
      <c r="S662" s="333"/>
      <c r="T662" s="333"/>
      <c r="U662" s="333"/>
      <c r="V662" s="333"/>
    </row>
    <row r="663" spans="1:22">
      <c r="A663" s="333"/>
      <c r="B663" s="333"/>
      <c r="C663" s="333"/>
      <c r="D663" s="333"/>
      <c r="E663" s="333"/>
      <c r="F663" s="333"/>
      <c r="G663" s="333"/>
      <c r="H663" s="333"/>
      <c r="I663" s="333"/>
      <c r="J663" s="333"/>
      <c r="K663" s="333"/>
      <c r="L663" s="333"/>
      <c r="M663" s="333"/>
      <c r="N663" s="333"/>
      <c r="O663" s="333"/>
      <c r="P663" s="333"/>
      <c r="Q663" s="333"/>
      <c r="R663" s="333"/>
      <c r="S663" s="333"/>
      <c r="T663" s="333"/>
      <c r="U663" s="333"/>
      <c r="V663" s="333"/>
    </row>
    <row r="664" spans="1:22">
      <c r="A664" s="333"/>
      <c r="B664" s="333"/>
      <c r="C664" s="333"/>
      <c r="D664" s="333"/>
      <c r="E664" s="333"/>
      <c r="F664" s="333"/>
      <c r="G664" s="333"/>
      <c r="H664" s="333"/>
      <c r="I664" s="333"/>
      <c r="J664" s="333"/>
      <c r="K664" s="333"/>
      <c r="L664" s="333"/>
      <c r="M664" s="333"/>
      <c r="N664" s="333"/>
      <c r="O664" s="333"/>
      <c r="P664" s="333"/>
      <c r="Q664" s="333"/>
      <c r="R664" s="333"/>
      <c r="S664" s="333"/>
      <c r="T664" s="333"/>
      <c r="U664" s="333"/>
      <c r="V664" s="333"/>
    </row>
    <row r="665" spans="1:22">
      <c r="A665" s="333"/>
      <c r="B665" s="333"/>
      <c r="C665" s="333"/>
      <c r="D665" s="333"/>
      <c r="E665" s="333"/>
      <c r="F665" s="333"/>
      <c r="G665" s="333"/>
      <c r="H665" s="333"/>
      <c r="I665" s="333"/>
      <c r="J665" s="333"/>
      <c r="K665" s="333"/>
      <c r="L665" s="333"/>
      <c r="M665" s="333"/>
      <c r="N665" s="333"/>
      <c r="O665" s="333"/>
      <c r="P665" s="333"/>
      <c r="Q665" s="333"/>
      <c r="R665" s="333"/>
      <c r="S665" s="333"/>
      <c r="T665" s="333"/>
      <c r="U665" s="333"/>
      <c r="V665" s="333"/>
    </row>
    <row r="666" spans="1:22">
      <c r="A666" s="333"/>
      <c r="B666" s="333"/>
      <c r="C666" s="333"/>
      <c r="D666" s="333"/>
      <c r="E666" s="333"/>
      <c r="F666" s="333"/>
      <c r="G666" s="333"/>
      <c r="H666" s="333"/>
      <c r="I666" s="333"/>
      <c r="J666" s="333"/>
      <c r="K666" s="333"/>
      <c r="L666" s="333"/>
      <c r="M666" s="333"/>
      <c r="N666" s="333"/>
      <c r="O666" s="333"/>
      <c r="P666" s="333"/>
      <c r="Q666" s="333"/>
      <c r="R666" s="333"/>
      <c r="S666" s="333"/>
      <c r="T666" s="333"/>
      <c r="U666" s="333"/>
      <c r="V666" s="333"/>
    </row>
    <row r="667" spans="1:22">
      <c r="A667" s="333"/>
      <c r="B667" s="333"/>
      <c r="C667" s="333"/>
      <c r="D667" s="333"/>
      <c r="E667" s="333"/>
      <c r="F667" s="333"/>
      <c r="G667" s="333"/>
      <c r="H667" s="333"/>
      <c r="I667" s="333"/>
      <c r="J667" s="333"/>
      <c r="K667" s="333"/>
      <c r="L667" s="333"/>
      <c r="M667" s="333"/>
      <c r="N667" s="333"/>
      <c r="O667" s="333"/>
      <c r="P667" s="333"/>
      <c r="Q667" s="333"/>
      <c r="R667" s="333"/>
      <c r="S667" s="333"/>
      <c r="T667" s="333"/>
      <c r="U667" s="333"/>
      <c r="V667" s="333"/>
    </row>
    <row r="668" spans="1:22">
      <c r="A668" s="333"/>
      <c r="B668" s="333"/>
      <c r="C668" s="333"/>
      <c r="D668" s="333"/>
      <c r="E668" s="333"/>
      <c r="F668" s="333"/>
      <c r="G668" s="333"/>
      <c r="H668" s="333"/>
      <c r="I668" s="333"/>
      <c r="J668" s="333"/>
      <c r="K668" s="333"/>
      <c r="L668" s="333"/>
      <c r="M668" s="333"/>
      <c r="N668" s="333"/>
      <c r="O668" s="333"/>
      <c r="P668" s="333"/>
      <c r="Q668" s="333"/>
      <c r="R668" s="333"/>
      <c r="S668" s="333"/>
      <c r="T668" s="333"/>
      <c r="U668" s="333"/>
      <c r="V668" s="333"/>
    </row>
    <row r="669" spans="1:22">
      <c r="A669" s="333"/>
      <c r="B669" s="333"/>
      <c r="C669" s="333"/>
      <c r="D669" s="333"/>
      <c r="E669" s="333"/>
      <c r="F669" s="333"/>
      <c r="G669" s="333"/>
      <c r="H669" s="333"/>
      <c r="I669" s="333"/>
      <c r="J669" s="333"/>
      <c r="K669" s="333"/>
      <c r="L669" s="333"/>
      <c r="M669" s="333"/>
      <c r="N669" s="333"/>
      <c r="O669" s="333"/>
      <c r="P669" s="333"/>
      <c r="Q669" s="333"/>
      <c r="R669" s="333"/>
      <c r="S669" s="333"/>
      <c r="T669" s="333"/>
      <c r="U669" s="333"/>
      <c r="V669" s="333"/>
    </row>
    <row r="670" spans="1:22">
      <c r="A670" s="333"/>
      <c r="B670" s="333"/>
      <c r="C670" s="333"/>
      <c r="D670" s="333"/>
      <c r="E670" s="333"/>
      <c r="F670" s="333"/>
      <c r="G670" s="333"/>
      <c r="H670" s="333"/>
      <c r="I670" s="333"/>
      <c r="J670" s="333"/>
      <c r="K670" s="333"/>
      <c r="L670" s="333"/>
      <c r="M670" s="333"/>
      <c r="N670" s="333"/>
      <c r="O670" s="333"/>
      <c r="P670" s="333"/>
      <c r="Q670" s="333"/>
      <c r="R670" s="333"/>
      <c r="S670" s="333"/>
      <c r="T670" s="333"/>
      <c r="U670" s="333"/>
      <c r="V670" s="333"/>
    </row>
    <row r="671" spans="1:22">
      <c r="A671" s="333"/>
      <c r="B671" s="333"/>
      <c r="C671" s="333"/>
      <c r="D671" s="333"/>
      <c r="E671" s="333"/>
      <c r="F671" s="333"/>
      <c r="G671" s="333"/>
      <c r="H671" s="333"/>
      <c r="I671" s="333"/>
      <c r="J671" s="333"/>
      <c r="K671" s="333"/>
      <c r="L671" s="333"/>
      <c r="M671" s="333"/>
      <c r="N671" s="333"/>
      <c r="O671" s="333"/>
      <c r="P671" s="333"/>
      <c r="Q671" s="333"/>
      <c r="R671" s="333"/>
      <c r="S671" s="333"/>
      <c r="T671" s="333"/>
      <c r="U671" s="333"/>
      <c r="V671" s="333"/>
    </row>
    <row r="672" spans="1:22">
      <c r="A672" s="333"/>
      <c r="B672" s="333"/>
      <c r="C672" s="333"/>
      <c r="D672" s="333"/>
      <c r="E672" s="333"/>
      <c r="F672" s="333"/>
      <c r="G672" s="333"/>
      <c r="H672" s="333"/>
      <c r="I672" s="333"/>
      <c r="J672" s="333"/>
      <c r="K672" s="333"/>
      <c r="L672" s="333"/>
      <c r="M672" s="333"/>
      <c r="N672" s="333"/>
      <c r="O672" s="333"/>
      <c r="P672" s="333"/>
      <c r="Q672" s="333"/>
      <c r="R672" s="333"/>
      <c r="S672" s="333"/>
      <c r="T672" s="333"/>
      <c r="U672" s="333"/>
      <c r="V672" s="333"/>
    </row>
    <row r="673" spans="1:22">
      <c r="A673" s="333"/>
      <c r="B673" s="333"/>
      <c r="C673" s="333"/>
      <c r="D673" s="333"/>
      <c r="E673" s="333"/>
      <c r="F673" s="333"/>
      <c r="G673" s="333"/>
      <c r="H673" s="333"/>
      <c r="I673" s="333"/>
      <c r="J673" s="333"/>
      <c r="K673" s="333"/>
      <c r="L673" s="333"/>
      <c r="M673" s="333"/>
      <c r="N673" s="333"/>
      <c r="O673" s="333"/>
      <c r="P673" s="333"/>
      <c r="Q673" s="333"/>
      <c r="R673" s="333"/>
      <c r="S673" s="333"/>
      <c r="T673" s="333"/>
      <c r="U673" s="333"/>
      <c r="V673" s="333"/>
    </row>
    <row r="674" spans="1:22">
      <c r="A674" s="333"/>
      <c r="B674" s="333"/>
      <c r="C674" s="333"/>
      <c r="D674" s="333"/>
      <c r="E674" s="333"/>
      <c r="F674" s="333"/>
      <c r="G674" s="333"/>
      <c r="H674" s="333"/>
      <c r="I674" s="333"/>
      <c r="J674" s="333"/>
      <c r="K674" s="333"/>
      <c r="L674" s="333"/>
      <c r="M674" s="333"/>
      <c r="N674" s="333"/>
      <c r="O674" s="333"/>
      <c r="P674" s="333"/>
      <c r="Q674" s="333"/>
      <c r="R674" s="333"/>
      <c r="S674" s="333"/>
      <c r="T674" s="333"/>
      <c r="U674" s="333"/>
      <c r="V674" s="333"/>
    </row>
    <row r="675" spans="1:22">
      <c r="A675" s="333"/>
      <c r="B675" s="333"/>
      <c r="C675" s="333"/>
      <c r="D675" s="333"/>
      <c r="E675" s="333"/>
      <c r="F675" s="333"/>
      <c r="G675" s="333"/>
      <c r="H675" s="333"/>
      <c r="I675" s="333"/>
      <c r="J675" s="333"/>
      <c r="K675" s="333"/>
      <c r="L675" s="333"/>
      <c r="M675" s="333"/>
      <c r="N675" s="333"/>
      <c r="O675" s="333"/>
      <c r="P675" s="333"/>
      <c r="Q675" s="333"/>
      <c r="R675" s="333"/>
      <c r="S675" s="333"/>
      <c r="T675" s="333"/>
      <c r="U675" s="333"/>
      <c r="V675" s="333"/>
    </row>
    <row r="676" spans="1:22">
      <c r="A676" s="333"/>
      <c r="B676" s="333"/>
      <c r="C676" s="333"/>
      <c r="D676" s="333"/>
      <c r="E676" s="333"/>
      <c r="F676" s="333"/>
      <c r="G676" s="333"/>
      <c r="H676" s="333"/>
      <c r="I676" s="333"/>
      <c r="J676" s="333"/>
      <c r="K676" s="333"/>
      <c r="L676" s="333"/>
      <c r="M676" s="333"/>
      <c r="N676" s="333"/>
      <c r="O676" s="333"/>
      <c r="P676" s="333"/>
      <c r="Q676" s="333"/>
      <c r="R676" s="333"/>
      <c r="S676" s="333"/>
      <c r="T676" s="333"/>
      <c r="U676" s="333"/>
      <c r="V676" s="333"/>
    </row>
    <row r="677" spans="1:22">
      <c r="A677" s="333"/>
      <c r="B677" s="333"/>
      <c r="C677" s="333"/>
      <c r="D677" s="333"/>
      <c r="E677" s="333"/>
      <c r="F677" s="333"/>
      <c r="G677" s="333"/>
      <c r="H677" s="333"/>
      <c r="I677" s="333"/>
      <c r="J677" s="333"/>
      <c r="K677" s="333"/>
      <c r="L677" s="333"/>
      <c r="M677" s="333"/>
      <c r="N677" s="333"/>
      <c r="O677" s="333"/>
      <c r="P677" s="333"/>
      <c r="Q677" s="333"/>
      <c r="R677" s="333"/>
      <c r="S677" s="333"/>
      <c r="T677" s="333"/>
      <c r="U677" s="333"/>
      <c r="V677" s="333"/>
    </row>
    <row r="678" spans="1:22">
      <c r="A678" s="333"/>
      <c r="B678" s="333"/>
      <c r="C678" s="333"/>
      <c r="D678" s="333"/>
      <c r="E678" s="333"/>
      <c r="F678" s="333"/>
      <c r="G678" s="333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</row>
    <row r="679" spans="1:22">
      <c r="A679" s="333"/>
      <c r="B679" s="333"/>
      <c r="C679" s="333"/>
      <c r="D679" s="333"/>
      <c r="E679" s="333"/>
      <c r="F679" s="333"/>
      <c r="G679" s="333"/>
      <c r="H679" s="333"/>
      <c r="I679" s="333"/>
      <c r="J679" s="333"/>
      <c r="K679" s="333"/>
      <c r="L679" s="333"/>
      <c r="M679" s="333"/>
      <c r="N679" s="333"/>
      <c r="O679" s="333"/>
      <c r="P679" s="333"/>
      <c r="Q679" s="333"/>
      <c r="R679" s="333"/>
      <c r="S679" s="333"/>
      <c r="T679" s="333"/>
      <c r="U679" s="333"/>
      <c r="V679" s="333"/>
    </row>
    <row r="680" spans="1:22">
      <c r="A680" s="333"/>
      <c r="B680" s="333"/>
      <c r="C680" s="333"/>
      <c r="D680" s="333"/>
      <c r="E680" s="333"/>
      <c r="F680" s="333"/>
      <c r="G680" s="333"/>
      <c r="H680" s="333"/>
      <c r="I680" s="333"/>
      <c r="J680" s="333"/>
      <c r="K680" s="333"/>
      <c r="L680" s="333"/>
      <c r="M680" s="333"/>
      <c r="N680" s="333"/>
      <c r="O680" s="333"/>
      <c r="P680" s="333"/>
      <c r="Q680" s="333"/>
      <c r="R680" s="333"/>
      <c r="S680" s="333"/>
      <c r="T680" s="333"/>
      <c r="U680" s="333"/>
      <c r="V680" s="333"/>
    </row>
    <row r="681" spans="1:22">
      <c r="A681" s="333"/>
      <c r="B681" s="333"/>
      <c r="C681" s="333"/>
      <c r="D681" s="333"/>
      <c r="E681" s="333"/>
      <c r="F681" s="333"/>
      <c r="G681" s="333"/>
      <c r="H681" s="333"/>
      <c r="I681" s="333"/>
      <c r="J681" s="333"/>
      <c r="K681" s="333"/>
      <c r="L681" s="333"/>
      <c r="M681" s="333"/>
      <c r="N681" s="333"/>
      <c r="O681" s="333"/>
      <c r="P681" s="333"/>
      <c r="Q681" s="333"/>
      <c r="R681" s="333"/>
      <c r="S681" s="333"/>
      <c r="T681" s="333"/>
      <c r="U681" s="333"/>
      <c r="V681" s="333"/>
    </row>
    <row r="682" spans="1:22">
      <c r="A682" s="333"/>
      <c r="B682" s="333"/>
      <c r="C682" s="333"/>
      <c r="D682" s="333"/>
      <c r="E682" s="333"/>
      <c r="F682" s="333"/>
      <c r="G682" s="333"/>
      <c r="H682" s="333"/>
      <c r="I682" s="333"/>
      <c r="J682" s="333"/>
      <c r="K682" s="333"/>
      <c r="L682" s="333"/>
      <c r="M682" s="333"/>
      <c r="N682" s="333"/>
      <c r="O682" s="333"/>
      <c r="P682" s="333"/>
      <c r="Q682" s="333"/>
      <c r="R682" s="333"/>
      <c r="S682" s="333"/>
      <c r="T682" s="333"/>
      <c r="U682" s="333"/>
      <c r="V682" s="333"/>
    </row>
    <row r="683" spans="1:22">
      <c r="A683" s="333"/>
      <c r="B683" s="333"/>
      <c r="C683" s="333"/>
      <c r="D683" s="333"/>
      <c r="E683" s="333"/>
      <c r="F683" s="333"/>
      <c r="G683" s="333"/>
      <c r="H683" s="333"/>
      <c r="I683" s="333"/>
      <c r="J683" s="333"/>
      <c r="K683" s="333"/>
      <c r="L683" s="333"/>
      <c r="M683" s="333"/>
      <c r="N683" s="333"/>
      <c r="O683" s="333"/>
      <c r="P683" s="333"/>
      <c r="Q683" s="333"/>
      <c r="R683" s="333"/>
      <c r="S683" s="333"/>
      <c r="T683" s="333"/>
      <c r="U683" s="333"/>
      <c r="V683" s="333"/>
    </row>
    <row r="684" spans="1:22">
      <c r="A684" s="333"/>
      <c r="B684" s="333"/>
      <c r="C684" s="333"/>
      <c r="D684" s="333"/>
      <c r="E684" s="333"/>
      <c r="F684" s="333"/>
      <c r="G684" s="333"/>
      <c r="H684" s="333"/>
      <c r="I684" s="333"/>
      <c r="J684" s="333"/>
      <c r="K684" s="333"/>
      <c r="L684" s="333"/>
      <c r="M684" s="333"/>
      <c r="N684" s="333"/>
      <c r="O684" s="333"/>
      <c r="P684" s="333"/>
      <c r="Q684" s="333"/>
      <c r="R684" s="333"/>
      <c r="S684" s="333"/>
      <c r="T684" s="333"/>
      <c r="U684" s="333"/>
      <c r="V684" s="333"/>
    </row>
    <row r="685" spans="1:22">
      <c r="A685" s="333"/>
      <c r="B685" s="333"/>
      <c r="C685" s="333"/>
      <c r="D685" s="333"/>
      <c r="E685" s="333"/>
      <c r="F685" s="333"/>
      <c r="G685" s="333"/>
      <c r="H685" s="333"/>
      <c r="I685" s="333"/>
      <c r="J685" s="333"/>
      <c r="K685" s="333"/>
      <c r="L685" s="333"/>
      <c r="M685" s="333"/>
      <c r="N685" s="333"/>
      <c r="O685" s="333"/>
      <c r="P685" s="333"/>
      <c r="Q685" s="333"/>
      <c r="R685" s="333"/>
      <c r="S685" s="333"/>
      <c r="T685" s="333"/>
      <c r="U685" s="333"/>
      <c r="V685" s="333"/>
    </row>
    <row r="686" spans="1:22">
      <c r="A686" s="333"/>
      <c r="B686" s="333"/>
      <c r="C686" s="333"/>
      <c r="D686" s="333"/>
      <c r="E686" s="333"/>
      <c r="F686" s="333"/>
      <c r="G686" s="333"/>
      <c r="H686" s="333"/>
      <c r="I686" s="333"/>
      <c r="J686" s="333"/>
      <c r="K686" s="333"/>
      <c r="L686" s="333"/>
      <c r="M686" s="333"/>
      <c r="N686" s="333"/>
      <c r="O686" s="333"/>
      <c r="P686" s="333"/>
      <c r="Q686" s="333"/>
      <c r="R686" s="333"/>
      <c r="S686" s="333"/>
      <c r="T686" s="333"/>
      <c r="U686" s="333"/>
      <c r="V686" s="333"/>
    </row>
    <row r="687" spans="1:22">
      <c r="A687" s="333"/>
      <c r="B687" s="333"/>
      <c r="C687" s="333"/>
      <c r="D687" s="333"/>
      <c r="E687" s="333"/>
      <c r="F687" s="333"/>
      <c r="G687" s="333"/>
      <c r="H687" s="333"/>
      <c r="I687" s="333"/>
      <c r="J687" s="333"/>
      <c r="K687" s="333"/>
      <c r="L687" s="333"/>
      <c r="M687" s="333"/>
      <c r="N687" s="333"/>
      <c r="O687" s="333"/>
      <c r="P687" s="333"/>
      <c r="Q687" s="333"/>
      <c r="R687" s="333"/>
      <c r="S687" s="333"/>
      <c r="T687" s="333"/>
      <c r="U687" s="333"/>
      <c r="V687" s="333"/>
    </row>
    <row r="688" spans="1:22">
      <c r="A688" s="333"/>
      <c r="B688" s="333"/>
      <c r="C688" s="333"/>
      <c r="D688" s="333"/>
      <c r="E688" s="333"/>
      <c r="F688" s="333"/>
      <c r="G688" s="333"/>
      <c r="H688" s="333"/>
      <c r="I688" s="333"/>
      <c r="J688" s="333"/>
      <c r="K688" s="333"/>
      <c r="L688" s="333"/>
      <c r="M688" s="333"/>
      <c r="N688" s="333"/>
      <c r="O688" s="333"/>
      <c r="P688" s="333"/>
      <c r="Q688" s="333"/>
      <c r="R688" s="333"/>
      <c r="S688" s="333"/>
      <c r="T688" s="333"/>
      <c r="U688" s="333"/>
      <c r="V688" s="333"/>
    </row>
    <row r="689" spans="1:22">
      <c r="A689" s="333"/>
      <c r="B689" s="333"/>
      <c r="C689" s="333"/>
      <c r="D689" s="333"/>
      <c r="E689" s="333"/>
      <c r="F689" s="333"/>
      <c r="G689" s="333"/>
      <c r="H689" s="333"/>
      <c r="I689" s="333"/>
      <c r="J689" s="333"/>
      <c r="K689" s="333"/>
      <c r="L689" s="333"/>
      <c r="M689" s="333"/>
      <c r="N689" s="333"/>
      <c r="O689" s="333"/>
      <c r="P689" s="333"/>
      <c r="Q689" s="333"/>
      <c r="R689" s="333"/>
      <c r="S689" s="333"/>
      <c r="T689" s="333"/>
      <c r="U689" s="333"/>
      <c r="V689" s="333"/>
    </row>
    <row r="690" spans="1:22">
      <c r="A690" s="333"/>
      <c r="B690" s="333"/>
      <c r="C690" s="333"/>
      <c r="D690" s="333"/>
      <c r="E690" s="333"/>
      <c r="F690" s="333"/>
      <c r="G690" s="333"/>
      <c r="H690" s="333"/>
      <c r="I690" s="333"/>
      <c r="J690" s="333"/>
      <c r="K690" s="333"/>
      <c r="L690" s="333"/>
      <c r="M690" s="333"/>
      <c r="N690" s="333"/>
      <c r="O690" s="333"/>
      <c r="P690" s="333"/>
      <c r="Q690" s="333"/>
      <c r="R690" s="333"/>
      <c r="S690" s="333"/>
      <c r="T690" s="333"/>
      <c r="U690" s="333"/>
      <c r="V690" s="333"/>
    </row>
    <row r="691" spans="1:22">
      <c r="A691" s="333"/>
      <c r="B691" s="333"/>
      <c r="C691" s="333"/>
      <c r="D691" s="333"/>
      <c r="E691" s="333"/>
      <c r="F691" s="333"/>
      <c r="G691" s="333"/>
      <c r="H691" s="333"/>
      <c r="I691" s="333"/>
      <c r="J691" s="333"/>
      <c r="K691" s="333"/>
      <c r="L691" s="333"/>
      <c r="M691" s="333"/>
      <c r="N691" s="333"/>
      <c r="O691" s="333"/>
      <c r="P691" s="333"/>
      <c r="Q691" s="333"/>
      <c r="R691" s="333"/>
      <c r="S691" s="333"/>
      <c r="T691" s="333"/>
      <c r="U691" s="333"/>
      <c r="V691" s="333"/>
    </row>
    <row r="692" spans="1:22">
      <c r="A692" s="333"/>
      <c r="B692" s="333"/>
      <c r="C692" s="333"/>
      <c r="D692" s="333"/>
      <c r="E692" s="333"/>
      <c r="F692" s="333"/>
      <c r="G692" s="333"/>
      <c r="H692" s="333"/>
      <c r="I692" s="333"/>
      <c r="J692" s="333"/>
      <c r="K692" s="333"/>
      <c r="L692" s="333"/>
      <c r="M692" s="333"/>
      <c r="N692" s="333"/>
      <c r="O692" s="333"/>
      <c r="P692" s="333"/>
      <c r="Q692" s="333"/>
      <c r="R692" s="333"/>
      <c r="S692" s="333"/>
      <c r="T692" s="333"/>
      <c r="U692" s="333"/>
      <c r="V692" s="333"/>
    </row>
    <row r="693" spans="1:22">
      <c r="A693" s="333"/>
      <c r="B693" s="333"/>
      <c r="C693" s="333"/>
      <c r="D693" s="333"/>
      <c r="E693" s="333"/>
      <c r="F693" s="333"/>
      <c r="G693" s="333"/>
      <c r="H693" s="333"/>
      <c r="I693" s="333"/>
      <c r="J693" s="333"/>
      <c r="K693" s="333"/>
      <c r="L693" s="333"/>
      <c r="M693" s="333"/>
      <c r="N693" s="333"/>
      <c r="O693" s="333"/>
      <c r="P693" s="333"/>
      <c r="Q693" s="333"/>
      <c r="R693" s="333"/>
      <c r="S693" s="333"/>
      <c r="T693" s="333"/>
      <c r="U693" s="333"/>
      <c r="V693" s="333"/>
    </row>
    <row r="694" spans="1:22">
      <c r="A694" s="333"/>
      <c r="B694" s="333"/>
      <c r="C694" s="333"/>
      <c r="D694" s="333"/>
      <c r="E694" s="333"/>
      <c r="F694" s="333"/>
      <c r="G694" s="333"/>
      <c r="H694" s="333"/>
      <c r="I694" s="333"/>
      <c r="J694" s="333"/>
      <c r="K694" s="333"/>
      <c r="L694" s="333"/>
      <c r="M694" s="333"/>
      <c r="N694" s="333"/>
      <c r="O694" s="333"/>
      <c r="P694" s="333"/>
      <c r="Q694" s="333"/>
      <c r="R694" s="333"/>
      <c r="S694" s="333"/>
      <c r="T694" s="333"/>
      <c r="U694" s="333"/>
      <c r="V694" s="333"/>
    </row>
    <row r="695" spans="1:22">
      <c r="A695" s="333"/>
      <c r="B695" s="333"/>
      <c r="C695" s="333"/>
      <c r="D695" s="333"/>
      <c r="E695" s="333"/>
      <c r="F695" s="333"/>
      <c r="G695" s="333"/>
      <c r="H695" s="333"/>
      <c r="I695" s="333"/>
      <c r="J695" s="333"/>
      <c r="K695" s="333"/>
      <c r="L695" s="333"/>
      <c r="M695" s="333"/>
      <c r="N695" s="333"/>
      <c r="O695" s="333"/>
      <c r="P695" s="333"/>
      <c r="Q695" s="333"/>
      <c r="R695" s="333"/>
      <c r="S695" s="333"/>
      <c r="T695" s="333"/>
      <c r="U695" s="333"/>
      <c r="V695" s="333"/>
    </row>
    <row r="696" spans="1:22">
      <c r="A696" s="333"/>
      <c r="B696" s="333"/>
      <c r="C696" s="333"/>
      <c r="D696" s="333"/>
      <c r="E696" s="333"/>
      <c r="F696" s="333"/>
      <c r="G696" s="333"/>
      <c r="H696" s="333"/>
      <c r="I696" s="333"/>
      <c r="J696" s="333"/>
      <c r="K696" s="333"/>
      <c r="L696" s="333"/>
      <c r="M696" s="333"/>
      <c r="N696" s="333"/>
      <c r="O696" s="333"/>
      <c r="P696" s="333"/>
      <c r="Q696" s="333"/>
      <c r="R696" s="333"/>
      <c r="S696" s="333"/>
      <c r="T696" s="333"/>
      <c r="U696" s="333"/>
      <c r="V696" s="333"/>
    </row>
    <row r="697" spans="1:22">
      <c r="A697" s="333"/>
      <c r="B697" s="333"/>
      <c r="C697" s="333"/>
      <c r="D697" s="333"/>
      <c r="E697" s="333"/>
      <c r="F697" s="333"/>
      <c r="G697" s="333"/>
      <c r="H697" s="333"/>
      <c r="I697" s="333"/>
      <c r="J697" s="333"/>
      <c r="K697" s="333"/>
      <c r="L697" s="333"/>
      <c r="M697" s="333"/>
      <c r="N697" s="333"/>
      <c r="O697" s="333"/>
      <c r="P697" s="333"/>
      <c r="Q697" s="333"/>
      <c r="R697" s="333"/>
      <c r="S697" s="333"/>
      <c r="T697" s="333"/>
      <c r="U697" s="333"/>
      <c r="V697" s="333"/>
    </row>
    <row r="698" spans="1:22">
      <c r="A698" s="333"/>
      <c r="B698" s="333"/>
      <c r="C698" s="333"/>
      <c r="D698" s="333"/>
      <c r="E698" s="333"/>
      <c r="F698" s="333"/>
      <c r="G698" s="333"/>
      <c r="H698" s="333"/>
      <c r="I698" s="333"/>
      <c r="J698" s="333"/>
      <c r="K698" s="333"/>
      <c r="L698" s="333"/>
      <c r="M698" s="333"/>
      <c r="N698" s="333"/>
      <c r="O698" s="333"/>
      <c r="P698" s="333"/>
      <c r="Q698" s="333"/>
      <c r="R698" s="333"/>
      <c r="S698" s="333"/>
      <c r="T698" s="333"/>
      <c r="U698" s="333"/>
      <c r="V698" s="333"/>
    </row>
    <row r="699" spans="1:22">
      <c r="A699" s="333"/>
      <c r="B699" s="333"/>
      <c r="C699" s="333"/>
      <c r="D699" s="333"/>
      <c r="E699" s="333"/>
      <c r="F699" s="333"/>
      <c r="G699" s="333"/>
      <c r="H699" s="333"/>
      <c r="I699" s="333"/>
      <c r="J699" s="333"/>
      <c r="K699" s="333"/>
      <c r="L699" s="333"/>
      <c r="M699" s="333"/>
      <c r="N699" s="333"/>
      <c r="O699" s="333"/>
      <c r="P699" s="333"/>
      <c r="Q699" s="333"/>
      <c r="R699" s="333"/>
      <c r="S699" s="333"/>
      <c r="T699" s="333"/>
      <c r="U699" s="333"/>
      <c r="V699" s="333"/>
    </row>
    <row r="700" spans="1:22">
      <c r="A700" s="333"/>
      <c r="B700" s="333"/>
      <c r="C700" s="333"/>
      <c r="D700" s="333"/>
      <c r="E700" s="333"/>
      <c r="F700" s="333"/>
      <c r="G700" s="333"/>
      <c r="H700" s="333"/>
      <c r="I700" s="333"/>
      <c r="J700" s="333"/>
      <c r="K700" s="333"/>
      <c r="L700" s="333"/>
      <c r="M700" s="333"/>
      <c r="N700" s="333"/>
      <c r="O700" s="333"/>
      <c r="P700" s="333"/>
      <c r="Q700" s="333"/>
      <c r="R700" s="333"/>
      <c r="S700" s="333"/>
      <c r="T700" s="333"/>
      <c r="U700" s="333"/>
      <c r="V700" s="333"/>
    </row>
    <row r="701" spans="1:22">
      <c r="A701" s="333"/>
      <c r="B701" s="333"/>
      <c r="C701" s="333"/>
      <c r="D701" s="333"/>
      <c r="E701" s="333"/>
      <c r="F701" s="333"/>
      <c r="G701" s="333"/>
      <c r="H701" s="333"/>
      <c r="I701" s="333"/>
      <c r="J701" s="333"/>
      <c r="K701" s="333"/>
      <c r="L701" s="333"/>
      <c r="M701" s="333"/>
      <c r="N701" s="333"/>
      <c r="O701" s="333"/>
      <c r="P701" s="333"/>
      <c r="Q701" s="333"/>
      <c r="R701" s="333"/>
      <c r="S701" s="333"/>
      <c r="T701" s="333"/>
      <c r="U701" s="333"/>
      <c r="V701" s="333"/>
    </row>
    <row r="702" spans="1:22">
      <c r="A702" s="333"/>
      <c r="B702" s="333"/>
      <c r="C702" s="333"/>
      <c r="D702" s="333"/>
      <c r="E702" s="333"/>
      <c r="F702" s="333"/>
      <c r="G702" s="333"/>
      <c r="H702" s="333"/>
      <c r="I702" s="333"/>
      <c r="J702" s="333"/>
      <c r="K702" s="333"/>
      <c r="L702" s="333"/>
      <c r="M702" s="333"/>
      <c r="N702" s="333"/>
      <c r="O702" s="333"/>
      <c r="P702" s="333"/>
      <c r="Q702" s="333"/>
      <c r="R702" s="333"/>
      <c r="S702" s="333"/>
      <c r="T702" s="333"/>
      <c r="U702" s="333"/>
      <c r="V702" s="333"/>
    </row>
    <row r="703" spans="1:22">
      <c r="A703" s="333"/>
      <c r="B703" s="333"/>
      <c r="C703" s="333"/>
      <c r="D703" s="333"/>
      <c r="E703" s="333"/>
      <c r="F703" s="333"/>
      <c r="G703" s="333"/>
      <c r="H703" s="333"/>
      <c r="I703" s="333"/>
      <c r="J703" s="333"/>
      <c r="K703" s="333"/>
      <c r="L703" s="333"/>
      <c r="M703" s="333"/>
      <c r="N703" s="333"/>
      <c r="O703" s="333"/>
      <c r="P703" s="333"/>
      <c r="Q703" s="333"/>
      <c r="R703" s="333"/>
      <c r="S703" s="333"/>
      <c r="T703" s="333"/>
      <c r="U703" s="333"/>
      <c r="V703" s="333"/>
    </row>
    <row r="704" spans="1:22">
      <c r="A704" s="333"/>
      <c r="B704" s="333"/>
      <c r="C704" s="333"/>
      <c r="D704" s="333"/>
      <c r="E704" s="333"/>
      <c r="F704" s="333"/>
      <c r="G704" s="333"/>
      <c r="H704" s="333"/>
      <c r="I704" s="333"/>
      <c r="J704" s="333"/>
      <c r="K704" s="333"/>
      <c r="L704" s="333"/>
      <c r="M704" s="333"/>
      <c r="N704" s="333"/>
      <c r="O704" s="333"/>
      <c r="P704" s="333"/>
      <c r="Q704" s="333"/>
      <c r="R704" s="333"/>
      <c r="S704" s="333"/>
      <c r="T704" s="333"/>
      <c r="U704" s="333"/>
      <c r="V704" s="333"/>
    </row>
    <row r="705" spans="1:22">
      <c r="A705" s="333"/>
      <c r="B705" s="333"/>
      <c r="C705" s="333"/>
      <c r="D705" s="333"/>
      <c r="E705" s="333"/>
      <c r="F705" s="333"/>
      <c r="G705" s="333"/>
      <c r="H705" s="333"/>
      <c r="I705" s="333"/>
      <c r="J705" s="333"/>
      <c r="K705" s="333"/>
      <c r="L705" s="333"/>
      <c r="M705" s="333"/>
      <c r="N705" s="333"/>
      <c r="O705" s="333"/>
      <c r="P705" s="333"/>
      <c r="Q705" s="333"/>
      <c r="R705" s="333"/>
      <c r="S705" s="333"/>
      <c r="T705" s="333"/>
      <c r="U705" s="333"/>
      <c r="V705" s="333"/>
    </row>
    <row r="706" spans="1:22">
      <c r="A706" s="333"/>
      <c r="B706" s="333"/>
      <c r="C706" s="333"/>
      <c r="D706" s="333"/>
      <c r="E706" s="333"/>
      <c r="F706" s="333"/>
      <c r="G706" s="333"/>
      <c r="H706" s="333"/>
      <c r="I706" s="333"/>
      <c r="J706" s="333"/>
      <c r="K706" s="333"/>
      <c r="L706" s="333"/>
      <c r="M706" s="333"/>
      <c r="N706" s="333"/>
      <c r="O706" s="333"/>
      <c r="P706" s="333"/>
      <c r="Q706" s="333"/>
      <c r="R706" s="333"/>
      <c r="S706" s="333"/>
      <c r="T706" s="333"/>
      <c r="U706" s="333"/>
      <c r="V706" s="333"/>
    </row>
    <row r="707" spans="1:22">
      <c r="A707" s="333"/>
      <c r="B707" s="333"/>
      <c r="C707" s="333"/>
      <c r="D707" s="333"/>
      <c r="E707" s="333"/>
      <c r="F707" s="333"/>
      <c r="G707" s="333"/>
      <c r="H707" s="333"/>
      <c r="I707" s="333"/>
      <c r="J707" s="333"/>
      <c r="K707" s="333"/>
      <c r="L707" s="333"/>
      <c r="M707" s="333"/>
      <c r="N707" s="333"/>
      <c r="O707" s="333"/>
      <c r="P707" s="333"/>
      <c r="Q707" s="333"/>
      <c r="R707" s="333"/>
      <c r="S707" s="333"/>
      <c r="T707" s="333"/>
      <c r="U707" s="333"/>
      <c r="V707" s="333"/>
    </row>
    <row r="708" spans="1:22">
      <c r="A708" s="333"/>
      <c r="B708" s="333"/>
      <c r="C708" s="333"/>
      <c r="D708" s="333"/>
      <c r="E708" s="333"/>
      <c r="F708" s="333"/>
      <c r="G708" s="333"/>
      <c r="H708" s="333"/>
      <c r="I708" s="333"/>
      <c r="J708" s="333"/>
      <c r="K708" s="333"/>
      <c r="L708" s="333"/>
      <c r="M708" s="333"/>
      <c r="N708" s="333"/>
      <c r="O708" s="333"/>
      <c r="P708" s="333"/>
      <c r="Q708" s="333"/>
      <c r="R708" s="333"/>
      <c r="S708" s="333"/>
      <c r="T708" s="333"/>
      <c r="U708" s="333"/>
      <c r="V708" s="333"/>
    </row>
    <row r="709" spans="1:22">
      <c r="A709" s="333"/>
      <c r="B709" s="333"/>
      <c r="C709" s="333"/>
      <c r="D709" s="333"/>
      <c r="E709" s="333"/>
      <c r="F709" s="333"/>
      <c r="G709" s="333"/>
      <c r="H709" s="333"/>
      <c r="I709" s="333"/>
      <c r="J709" s="333"/>
      <c r="K709" s="333"/>
      <c r="L709" s="333"/>
      <c r="M709" s="333"/>
      <c r="N709" s="333"/>
      <c r="O709" s="333"/>
      <c r="P709" s="333"/>
      <c r="Q709" s="333"/>
      <c r="R709" s="333"/>
      <c r="S709" s="333"/>
      <c r="T709" s="333"/>
      <c r="U709" s="333"/>
      <c r="V709" s="333"/>
    </row>
    <row r="710" spans="1:22">
      <c r="A710" s="333"/>
      <c r="B710" s="333"/>
      <c r="C710" s="333"/>
      <c r="D710" s="333"/>
      <c r="E710" s="333"/>
      <c r="F710" s="333"/>
      <c r="G710" s="333"/>
      <c r="H710" s="333"/>
      <c r="I710" s="333"/>
      <c r="J710" s="333"/>
      <c r="K710" s="333"/>
      <c r="L710" s="333"/>
      <c r="M710" s="333"/>
      <c r="N710" s="333"/>
      <c r="O710" s="333"/>
      <c r="P710" s="333"/>
      <c r="Q710" s="333"/>
      <c r="R710" s="333"/>
      <c r="S710" s="333"/>
      <c r="T710" s="333"/>
      <c r="U710" s="333"/>
      <c r="V710" s="333"/>
    </row>
    <row r="711" spans="1:22">
      <c r="A711" s="333"/>
      <c r="B711" s="333"/>
      <c r="C711" s="333"/>
      <c r="D711" s="333"/>
      <c r="E711" s="333"/>
      <c r="F711" s="333"/>
      <c r="G711" s="333"/>
      <c r="H711" s="333"/>
      <c r="I711" s="333"/>
      <c r="J711" s="333"/>
      <c r="K711" s="333"/>
      <c r="L711" s="333"/>
      <c r="M711" s="333"/>
      <c r="N711" s="333"/>
      <c r="O711" s="333"/>
      <c r="P711" s="333"/>
      <c r="Q711" s="333"/>
      <c r="R711" s="333"/>
      <c r="S711" s="333"/>
      <c r="T711" s="333"/>
      <c r="U711" s="333"/>
      <c r="V711" s="333"/>
    </row>
    <row r="712" spans="1:22">
      <c r="A712" s="333"/>
      <c r="B712" s="333"/>
      <c r="C712" s="333"/>
      <c r="D712" s="333"/>
      <c r="E712" s="333"/>
      <c r="F712" s="333"/>
      <c r="G712" s="333"/>
      <c r="H712" s="333"/>
      <c r="I712" s="333"/>
      <c r="J712" s="333"/>
      <c r="K712" s="333"/>
      <c r="L712" s="333"/>
      <c r="M712" s="333"/>
      <c r="N712" s="333"/>
      <c r="O712" s="333"/>
      <c r="P712" s="333"/>
      <c r="Q712" s="333"/>
      <c r="R712" s="333"/>
      <c r="S712" s="333"/>
      <c r="T712" s="333"/>
      <c r="U712" s="333"/>
      <c r="V712" s="333"/>
    </row>
    <row r="713" spans="1:22">
      <c r="A713" s="333"/>
      <c r="B713" s="333"/>
      <c r="C713" s="333"/>
      <c r="D713" s="333"/>
      <c r="E713" s="333"/>
      <c r="F713" s="333"/>
      <c r="G713" s="333"/>
      <c r="H713" s="333"/>
      <c r="I713" s="333"/>
      <c r="J713" s="333"/>
      <c r="K713" s="333"/>
      <c r="L713" s="333"/>
      <c r="M713" s="333"/>
      <c r="N713" s="333"/>
      <c r="O713" s="333"/>
      <c r="P713" s="333"/>
      <c r="Q713" s="333"/>
      <c r="R713" s="333"/>
      <c r="S713" s="333"/>
      <c r="T713" s="333"/>
      <c r="U713" s="333"/>
      <c r="V713" s="333"/>
    </row>
    <row r="714" spans="1:22">
      <c r="A714" s="333"/>
      <c r="B714" s="333"/>
      <c r="C714" s="333"/>
      <c r="D714" s="333"/>
      <c r="E714" s="333"/>
      <c r="F714" s="333"/>
      <c r="G714" s="333"/>
      <c r="H714" s="333"/>
      <c r="I714" s="333"/>
      <c r="J714" s="333"/>
      <c r="K714" s="333"/>
      <c r="L714" s="333"/>
      <c r="M714" s="333"/>
      <c r="N714" s="333"/>
      <c r="O714" s="333"/>
      <c r="P714" s="333"/>
      <c r="Q714" s="333"/>
      <c r="R714" s="333"/>
      <c r="S714" s="333"/>
      <c r="T714" s="333"/>
      <c r="U714" s="333"/>
      <c r="V714" s="333"/>
    </row>
    <row r="715" spans="1:22">
      <c r="A715" s="333"/>
      <c r="B715" s="333"/>
      <c r="C715" s="333"/>
      <c r="D715" s="333"/>
      <c r="E715" s="333"/>
      <c r="F715" s="333"/>
      <c r="G715" s="333"/>
      <c r="H715" s="333"/>
      <c r="I715" s="333"/>
      <c r="J715" s="333"/>
      <c r="K715" s="333"/>
      <c r="L715" s="333"/>
      <c r="M715" s="333"/>
      <c r="N715" s="333"/>
      <c r="O715" s="333"/>
      <c r="P715" s="333"/>
      <c r="Q715" s="333"/>
      <c r="R715" s="333"/>
      <c r="S715" s="333"/>
      <c r="T715" s="333"/>
      <c r="U715" s="333"/>
      <c r="V715" s="333"/>
    </row>
    <row r="716" spans="1:22">
      <c r="A716" s="333"/>
      <c r="B716" s="333"/>
      <c r="C716" s="333"/>
      <c r="D716" s="333"/>
      <c r="E716" s="333"/>
      <c r="F716" s="333"/>
      <c r="G716" s="333"/>
      <c r="H716" s="333"/>
      <c r="I716" s="333"/>
      <c r="J716" s="333"/>
      <c r="K716" s="333"/>
      <c r="L716" s="333"/>
      <c r="M716" s="333"/>
      <c r="N716" s="333"/>
      <c r="O716" s="333"/>
      <c r="P716" s="333"/>
      <c r="Q716" s="333"/>
      <c r="R716" s="333"/>
      <c r="S716" s="333"/>
      <c r="T716" s="333"/>
      <c r="U716" s="333"/>
      <c r="V716" s="333"/>
    </row>
    <row r="717" spans="1:22">
      <c r="A717" s="333"/>
      <c r="B717" s="333"/>
      <c r="C717" s="333"/>
      <c r="D717" s="333"/>
      <c r="E717" s="333"/>
      <c r="F717" s="333"/>
      <c r="G717" s="333"/>
      <c r="H717" s="333"/>
      <c r="I717" s="333"/>
      <c r="J717" s="333"/>
      <c r="K717" s="333"/>
      <c r="L717" s="333"/>
      <c r="M717" s="333"/>
      <c r="N717" s="333"/>
      <c r="O717" s="333"/>
      <c r="P717" s="333"/>
      <c r="Q717" s="333"/>
      <c r="R717" s="333"/>
      <c r="S717" s="333"/>
      <c r="T717" s="333"/>
      <c r="U717" s="333"/>
      <c r="V717" s="333"/>
    </row>
    <row r="718" spans="1:22">
      <c r="A718" s="333"/>
      <c r="B718" s="333"/>
      <c r="C718" s="333"/>
      <c r="D718" s="333"/>
      <c r="E718" s="333"/>
      <c r="F718" s="333"/>
      <c r="G718" s="333"/>
      <c r="H718" s="333"/>
      <c r="I718" s="333"/>
      <c r="J718" s="333"/>
      <c r="K718" s="333"/>
      <c r="L718" s="333"/>
      <c r="M718" s="333"/>
      <c r="N718" s="333"/>
      <c r="O718" s="333"/>
      <c r="P718" s="333"/>
      <c r="Q718" s="333"/>
      <c r="R718" s="333"/>
      <c r="S718" s="333"/>
      <c r="T718" s="333"/>
      <c r="U718" s="333"/>
      <c r="V718" s="333"/>
    </row>
    <row r="719" spans="1:22">
      <c r="A719" s="333"/>
      <c r="B719" s="333"/>
      <c r="C719" s="333"/>
      <c r="D719" s="333"/>
      <c r="E719" s="333"/>
      <c r="F719" s="333"/>
      <c r="G719" s="333"/>
      <c r="H719" s="333"/>
      <c r="I719" s="333"/>
      <c r="J719" s="333"/>
      <c r="K719" s="333"/>
      <c r="L719" s="333"/>
      <c r="M719" s="333"/>
      <c r="N719" s="333"/>
      <c r="O719" s="333"/>
      <c r="P719" s="333"/>
      <c r="Q719" s="333"/>
      <c r="R719" s="333"/>
      <c r="S719" s="333"/>
      <c r="T719" s="333"/>
      <c r="U719" s="333"/>
      <c r="V719" s="333"/>
    </row>
    <row r="720" spans="1:22">
      <c r="A720" s="333"/>
      <c r="B720" s="333"/>
      <c r="C720" s="333"/>
      <c r="D720" s="333"/>
      <c r="E720" s="333"/>
      <c r="F720" s="333"/>
      <c r="G720" s="333"/>
      <c r="H720" s="333"/>
      <c r="I720" s="333"/>
      <c r="J720" s="333"/>
      <c r="K720" s="333"/>
      <c r="L720" s="333"/>
      <c r="M720" s="333"/>
      <c r="N720" s="333"/>
      <c r="O720" s="333"/>
      <c r="P720" s="333"/>
      <c r="Q720" s="333"/>
      <c r="R720" s="333"/>
      <c r="S720" s="333"/>
      <c r="T720" s="333"/>
      <c r="U720" s="333"/>
      <c r="V720" s="333"/>
    </row>
    <row r="721" spans="1:22">
      <c r="A721" s="333"/>
      <c r="B721" s="333"/>
      <c r="C721" s="333"/>
      <c r="D721" s="333"/>
      <c r="E721" s="333"/>
      <c r="F721" s="333"/>
      <c r="G721" s="333"/>
      <c r="H721" s="333"/>
      <c r="I721" s="333"/>
      <c r="J721" s="333"/>
      <c r="K721" s="333"/>
      <c r="L721" s="333"/>
      <c r="M721" s="333"/>
      <c r="N721" s="333"/>
      <c r="O721" s="333"/>
      <c r="P721" s="333"/>
      <c r="Q721" s="333"/>
      <c r="R721" s="333"/>
      <c r="S721" s="333"/>
      <c r="T721" s="333"/>
      <c r="U721" s="333"/>
      <c r="V721" s="333"/>
    </row>
    <row r="722" spans="1:22">
      <c r="A722" s="333"/>
      <c r="B722" s="333"/>
      <c r="C722" s="333"/>
      <c r="D722" s="333"/>
      <c r="E722" s="333"/>
      <c r="F722" s="333"/>
      <c r="G722" s="333"/>
      <c r="H722" s="333"/>
      <c r="I722" s="333"/>
      <c r="J722" s="333"/>
      <c r="K722" s="333"/>
      <c r="L722" s="333"/>
      <c r="M722" s="333"/>
      <c r="N722" s="333"/>
      <c r="O722" s="333"/>
      <c r="P722" s="333"/>
      <c r="Q722" s="333"/>
      <c r="R722" s="333"/>
      <c r="S722" s="333"/>
      <c r="T722" s="333"/>
      <c r="U722" s="333"/>
      <c r="V722" s="333"/>
    </row>
    <row r="723" spans="1:22">
      <c r="A723" s="333"/>
      <c r="B723" s="333"/>
      <c r="C723" s="333"/>
      <c r="D723" s="333"/>
      <c r="E723" s="333"/>
      <c r="F723" s="333"/>
      <c r="G723" s="333"/>
      <c r="H723" s="333"/>
      <c r="I723" s="333"/>
      <c r="J723" s="333"/>
      <c r="K723" s="333"/>
      <c r="L723" s="333"/>
      <c r="M723" s="333"/>
      <c r="N723" s="333"/>
      <c r="O723" s="333"/>
      <c r="P723" s="333"/>
      <c r="Q723" s="333"/>
      <c r="R723" s="333"/>
      <c r="S723" s="333"/>
      <c r="T723" s="333"/>
      <c r="U723" s="333"/>
      <c r="V723" s="333"/>
    </row>
    <row r="724" spans="1:22">
      <c r="A724" s="333"/>
      <c r="B724" s="333"/>
      <c r="C724" s="333"/>
      <c r="D724" s="333"/>
      <c r="E724" s="333"/>
      <c r="F724" s="333"/>
      <c r="G724" s="333"/>
      <c r="H724" s="333"/>
      <c r="I724" s="333"/>
      <c r="J724" s="333"/>
      <c r="K724" s="333"/>
      <c r="L724" s="333"/>
      <c r="M724" s="333"/>
      <c r="N724" s="333"/>
      <c r="O724" s="333"/>
      <c r="P724" s="333"/>
      <c r="Q724" s="333"/>
      <c r="R724" s="333"/>
      <c r="S724" s="333"/>
      <c r="T724" s="333"/>
      <c r="U724" s="333"/>
      <c r="V724" s="333"/>
    </row>
    <row r="725" spans="1:22">
      <c r="A725" s="333"/>
      <c r="B725" s="333"/>
      <c r="C725" s="333"/>
      <c r="D725" s="333"/>
      <c r="E725" s="333"/>
      <c r="F725" s="333"/>
      <c r="G725" s="333"/>
      <c r="H725" s="333"/>
      <c r="I725" s="333"/>
      <c r="J725" s="333"/>
      <c r="K725" s="333"/>
      <c r="L725" s="333"/>
      <c r="M725" s="333"/>
      <c r="N725" s="333"/>
      <c r="O725" s="333"/>
      <c r="P725" s="333"/>
      <c r="Q725" s="333"/>
      <c r="R725" s="333"/>
      <c r="S725" s="333"/>
      <c r="T725" s="333"/>
      <c r="U725" s="333"/>
      <c r="V725" s="333"/>
    </row>
    <row r="726" spans="1:22">
      <c r="A726" s="333"/>
      <c r="B726" s="333"/>
      <c r="C726" s="333"/>
      <c r="D726" s="333"/>
      <c r="E726" s="333"/>
      <c r="F726" s="333"/>
      <c r="G726" s="333"/>
      <c r="H726" s="333"/>
      <c r="I726" s="333"/>
      <c r="J726" s="333"/>
      <c r="K726" s="333"/>
      <c r="L726" s="333"/>
      <c r="M726" s="333"/>
      <c r="N726" s="333"/>
      <c r="O726" s="333"/>
      <c r="P726" s="333"/>
      <c r="Q726" s="333"/>
      <c r="R726" s="333"/>
      <c r="S726" s="333"/>
      <c r="T726" s="333"/>
      <c r="U726" s="333"/>
      <c r="V726" s="333"/>
    </row>
    <row r="727" spans="1:22">
      <c r="A727" s="333"/>
      <c r="B727" s="333"/>
      <c r="C727" s="333"/>
      <c r="D727" s="333"/>
      <c r="E727" s="333"/>
      <c r="F727" s="333"/>
      <c r="G727" s="333"/>
      <c r="H727" s="333"/>
      <c r="I727" s="333"/>
      <c r="J727" s="333"/>
      <c r="K727" s="333"/>
      <c r="L727" s="333"/>
      <c r="M727" s="333"/>
      <c r="N727" s="333"/>
      <c r="O727" s="333"/>
      <c r="P727" s="333"/>
      <c r="Q727" s="333"/>
      <c r="R727" s="333"/>
      <c r="S727" s="333"/>
      <c r="T727" s="333"/>
      <c r="U727" s="333"/>
      <c r="V727" s="333"/>
    </row>
    <row r="728" spans="1:22">
      <c r="A728" s="333"/>
      <c r="B728" s="333"/>
      <c r="C728" s="333"/>
      <c r="D728" s="333"/>
      <c r="E728" s="333"/>
      <c r="F728" s="333"/>
      <c r="G728" s="333"/>
      <c r="H728" s="333"/>
      <c r="I728" s="333"/>
      <c r="J728" s="333"/>
      <c r="K728" s="333"/>
      <c r="L728" s="333"/>
      <c r="M728" s="333"/>
      <c r="N728" s="333"/>
      <c r="O728" s="333"/>
      <c r="P728" s="333"/>
      <c r="Q728" s="333"/>
      <c r="R728" s="333"/>
      <c r="S728" s="333"/>
      <c r="T728" s="333"/>
      <c r="U728" s="333"/>
      <c r="V728" s="333"/>
    </row>
    <row r="729" spans="1:22">
      <c r="A729" s="333"/>
      <c r="B729" s="333"/>
      <c r="C729" s="333"/>
      <c r="D729" s="333"/>
      <c r="E729" s="333"/>
      <c r="F729" s="333"/>
      <c r="G729" s="333"/>
      <c r="H729" s="333"/>
      <c r="I729" s="333"/>
      <c r="J729" s="333"/>
      <c r="K729" s="333"/>
      <c r="L729" s="333"/>
      <c r="M729" s="333"/>
      <c r="N729" s="333"/>
      <c r="O729" s="333"/>
      <c r="P729" s="333"/>
      <c r="Q729" s="333"/>
      <c r="R729" s="333"/>
      <c r="S729" s="333"/>
      <c r="T729" s="333"/>
      <c r="U729" s="333"/>
      <c r="V729" s="333"/>
    </row>
    <row r="730" spans="1:22">
      <c r="A730" s="333"/>
      <c r="B730" s="333"/>
      <c r="C730" s="333"/>
      <c r="D730" s="333"/>
      <c r="E730" s="333"/>
      <c r="F730" s="333"/>
      <c r="G730" s="333"/>
      <c r="H730" s="333"/>
      <c r="I730" s="333"/>
      <c r="J730" s="333"/>
      <c r="K730" s="333"/>
      <c r="L730" s="333"/>
      <c r="M730" s="333"/>
      <c r="N730" s="333"/>
      <c r="O730" s="333"/>
      <c r="P730" s="333"/>
      <c r="Q730" s="333"/>
      <c r="R730" s="333"/>
      <c r="S730" s="333"/>
      <c r="T730" s="333"/>
      <c r="U730" s="333"/>
      <c r="V730" s="333"/>
    </row>
    <row r="731" spans="1:22">
      <c r="A731" s="333"/>
      <c r="B731" s="333"/>
      <c r="C731" s="333"/>
      <c r="D731" s="333"/>
      <c r="E731" s="333"/>
      <c r="F731" s="333"/>
      <c r="G731" s="333"/>
      <c r="H731" s="333"/>
      <c r="I731" s="333"/>
      <c r="J731" s="333"/>
      <c r="K731" s="333"/>
      <c r="L731" s="333"/>
      <c r="M731" s="333"/>
      <c r="N731" s="333"/>
      <c r="O731" s="333"/>
      <c r="P731" s="333"/>
      <c r="Q731" s="333"/>
      <c r="R731" s="333"/>
      <c r="S731" s="333"/>
      <c r="T731" s="333"/>
      <c r="U731" s="333"/>
      <c r="V731" s="333"/>
    </row>
    <row r="732" spans="1:22">
      <c r="A732" s="333"/>
      <c r="B732" s="333"/>
      <c r="C732" s="333"/>
      <c r="D732" s="333"/>
      <c r="E732" s="333"/>
      <c r="F732" s="333"/>
      <c r="G732" s="333"/>
      <c r="H732" s="333"/>
      <c r="I732" s="333"/>
      <c r="J732" s="333"/>
      <c r="K732" s="333"/>
      <c r="L732" s="333"/>
      <c r="M732" s="333"/>
      <c r="N732" s="333"/>
      <c r="O732" s="333"/>
      <c r="P732" s="333"/>
      <c r="Q732" s="333"/>
      <c r="R732" s="333"/>
      <c r="S732" s="333"/>
      <c r="T732" s="333"/>
      <c r="U732" s="333"/>
      <c r="V732" s="333"/>
    </row>
    <row r="733" spans="1:22">
      <c r="A733" s="333"/>
      <c r="B733" s="333"/>
      <c r="C733" s="333"/>
      <c r="D733" s="333"/>
      <c r="E733" s="333"/>
      <c r="F733" s="333"/>
      <c r="G733" s="333"/>
      <c r="H733" s="333"/>
      <c r="I733" s="333"/>
      <c r="J733" s="333"/>
      <c r="K733" s="333"/>
      <c r="L733" s="333"/>
      <c r="M733" s="333"/>
      <c r="N733" s="333"/>
      <c r="O733" s="333"/>
      <c r="P733" s="333"/>
      <c r="Q733" s="333"/>
      <c r="R733" s="333"/>
      <c r="S733" s="333"/>
      <c r="T733" s="333"/>
      <c r="U733" s="333"/>
      <c r="V733" s="333"/>
    </row>
    <row r="734" spans="1:22">
      <c r="A734" s="333"/>
      <c r="B734" s="333"/>
      <c r="C734" s="333"/>
      <c r="D734" s="333"/>
      <c r="E734" s="333"/>
      <c r="F734" s="333"/>
      <c r="G734" s="333"/>
      <c r="H734" s="333"/>
      <c r="I734" s="333"/>
      <c r="J734" s="333"/>
      <c r="K734" s="333"/>
      <c r="L734" s="333"/>
      <c r="M734" s="333"/>
      <c r="N734" s="333"/>
      <c r="O734" s="333"/>
      <c r="P734" s="333"/>
      <c r="Q734" s="333"/>
      <c r="R734" s="333"/>
      <c r="S734" s="333"/>
      <c r="T734" s="333"/>
      <c r="U734" s="333"/>
      <c r="V734" s="333"/>
    </row>
    <row r="735" spans="1:22">
      <c r="A735" s="333"/>
      <c r="B735" s="333"/>
      <c r="C735" s="333"/>
      <c r="D735" s="333"/>
      <c r="E735" s="333"/>
      <c r="F735" s="333"/>
      <c r="G735" s="333"/>
      <c r="H735" s="333"/>
      <c r="I735" s="333"/>
      <c r="J735" s="333"/>
      <c r="K735" s="333"/>
      <c r="L735" s="333"/>
      <c r="M735" s="333"/>
      <c r="N735" s="333"/>
      <c r="O735" s="333"/>
      <c r="P735" s="333"/>
      <c r="Q735" s="333"/>
      <c r="R735" s="333"/>
      <c r="S735" s="333"/>
      <c r="T735" s="333"/>
      <c r="U735" s="333"/>
      <c r="V735" s="333"/>
    </row>
    <row r="736" spans="1:22">
      <c r="A736" s="333"/>
      <c r="B736" s="333"/>
      <c r="C736" s="333"/>
      <c r="D736" s="333"/>
      <c r="E736" s="333"/>
      <c r="F736" s="333"/>
      <c r="G736" s="333"/>
      <c r="H736" s="333"/>
      <c r="I736" s="333"/>
      <c r="J736" s="333"/>
      <c r="K736" s="333"/>
      <c r="L736" s="333"/>
      <c r="M736" s="333"/>
      <c r="N736" s="333"/>
      <c r="O736" s="333"/>
      <c r="P736" s="333"/>
      <c r="Q736" s="333"/>
      <c r="R736" s="333"/>
      <c r="S736" s="333"/>
      <c r="T736" s="333"/>
      <c r="U736" s="333"/>
      <c r="V736" s="333"/>
    </row>
    <row r="737" spans="1:22">
      <c r="A737" s="333"/>
      <c r="B737" s="333"/>
      <c r="C737" s="333"/>
      <c r="D737" s="333"/>
      <c r="E737" s="333"/>
      <c r="F737" s="333"/>
      <c r="G737" s="333"/>
      <c r="H737" s="333"/>
      <c r="I737" s="333"/>
      <c r="J737" s="333"/>
      <c r="K737" s="333"/>
      <c r="L737" s="333"/>
      <c r="M737" s="333"/>
      <c r="N737" s="333"/>
      <c r="O737" s="333"/>
      <c r="P737" s="333"/>
      <c r="Q737" s="333"/>
      <c r="R737" s="333"/>
      <c r="S737" s="333"/>
      <c r="T737" s="333"/>
      <c r="U737" s="333"/>
      <c r="V737" s="333"/>
    </row>
    <row r="738" spans="1:22">
      <c r="A738" s="333"/>
      <c r="B738" s="333"/>
      <c r="C738" s="333"/>
      <c r="D738" s="333"/>
      <c r="E738" s="333"/>
      <c r="F738" s="333"/>
      <c r="G738" s="333"/>
      <c r="H738" s="333"/>
      <c r="I738" s="333"/>
      <c r="J738" s="333"/>
      <c r="K738" s="333"/>
      <c r="L738" s="333"/>
      <c r="M738" s="333"/>
      <c r="N738" s="333"/>
      <c r="O738" s="333"/>
      <c r="P738" s="333"/>
      <c r="Q738" s="333"/>
      <c r="R738" s="333"/>
      <c r="S738" s="333"/>
      <c r="T738" s="333"/>
      <c r="U738" s="333"/>
      <c r="V738" s="333"/>
    </row>
    <row r="739" spans="1:22">
      <c r="A739" s="333"/>
      <c r="B739" s="333"/>
      <c r="C739" s="333"/>
      <c r="D739" s="333"/>
      <c r="E739" s="333"/>
      <c r="F739" s="333"/>
      <c r="G739" s="333"/>
      <c r="H739" s="333"/>
      <c r="I739" s="333"/>
      <c r="J739" s="333"/>
      <c r="K739" s="333"/>
      <c r="L739" s="333"/>
      <c r="M739" s="333"/>
      <c r="N739" s="333"/>
      <c r="O739" s="333"/>
      <c r="P739" s="333"/>
      <c r="Q739" s="333"/>
      <c r="R739" s="333"/>
      <c r="S739" s="333"/>
      <c r="T739" s="333"/>
      <c r="U739" s="333"/>
      <c r="V739" s="333"/>
    </row>
    <row r="740" spans="1:22">
      <c r="A740" s="333"/>
      <c r="B740" s="333"/>
      <c r="C740" s="333"/>
      <c r="D740" s="333"/>
      <c r="E740" s="333"/>
      <c r="F740" s="333"/>
      <c r="G740" s="333"/>
      <c r="H740" s="333"/>
      <c r="I740" s="333"/>
      <c r="J740" s="333"/>
      <c r="K740" s="333"/>
      <c r="L740" s="333"/>
      <c r="M740" s="333"/>
      <c r="N740" s="333"/>
      <c r="O740" s="333"/>
      <c r="P740" s="333"/>
      <c r="Q740" s="333"/>
      <c r="R740" s="333"/>
      <c r="S740" s="333"/>
      <c r="T740" s="333"/>
      <c r="U740" s="333"/>
      <c r="V740" s="333"/>
    </row>
    <row r="741" spans="1:22">
      <c r="A741" s="333"/>
      <c r="B741" s="333"/>
      <c r="C741" s="333"/>
      <c r="D741" s="333"/>
      <c r="E741" s="333"/>
      <c r="F741" s="333"/>
      <c r="G741" s="333"/>
      <c r="H741" s="333"/>
      <c r="I741" s="333"/>
      <c r="J741" s="333"/>
      <c r="K741" s="333"/>
      <c r="L741" s="333"/>
      <c r="M741" s="333"/>
      <c r="N741" s="333"/>
      <c r="O741" s="333"/>
      <c r="P741" s="333"/>
      <c r="Q741" s="333"/>
      <c r="R741" s="333"/>
      <c r="S741" s="333"/>
      <c r="T741" s="333"/>
      <c r="U741" s="333"/>
      <c r="V741" s="333"/>
    </row>
    <row r="742" spans="1:22">
      <c r="A742" s="333"/>
      <c r="B742" s="333"/>
      <c r="C742" s="333"/>
      <c r="D742" s="333"/>
      <c r="E742" s="333"/>
      <c r="F742" s="333"/>
      <c r="G742" s="333"/>
      <c r="H742" s="333"/>
      <c r="I742" s="333"/>
      <c r="J742" s="333"/>
      <c r="K742" s="333"/>
      <c r="L742" s="333"/>
      <c r="M742" s="333"/>
      <c r="N742" s="333"/>
      <c r="O742" s="333"/>
      <c r="P742" s="333"/>
      <c r="Q742" s="333"/>
      <c r="R742" s="333"/>
      <c r="S742" s="333"/>
      <c r="T742" s="333"/>
      <c r="U742" s="333"/>
      <c r="V742" s="333"/>
    </row>
    <row r="743" spans="1:22">
      <c r="A743" s="333"/>
      <c r="B743" s="333"/>
      <c r="C743" s="333"/>
      <c r="D743" s="333"/>
      <c r="E743" s="333"/>
      <c r="F743" s="333"/>
      <c r="G743" s="333"/>
      <c r="H743" s="333"/>
      <c r="I743" s="333"/>
      <c r="J743" s="333"/>
      <c r="K743" s="333"/>
      <c r="L743" s="333"/>
      <c r="M743" s="333"/>
      <c r="N743" s="333"/>
      <c r="O743" s="333"/>
      <c r="P743" s="333"/>
      <c r="Q743" s="333"/>
      <c r="R743" s="333"/>
      <c r="S743" s="333"/>
      <c r="T743" s="333"/>
      <c r="U743" s="333"/>
      <c r="V743" s="333"/>
    </row>
    <row r="744" spans="1:22">
      <c r="A744" s="333"/>
      <c r="B744" s="333"/>
      <c r="C744" s="333"/>
      <c r="D744" s="333"/>
      <c r="E744" s="333"/>
      <c r="F744" s="333"/>
      <c r="G744" s="333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</row>
    <row r="745" spans="1:22">
      <c r="A745" s="333"/>
      <c r="B745" s="333"/>
      <c r="C745" s="333"/>
      <c r="D745" s="333"/>
      <c r="E745" s="333"/>
      <c r="F745" s="333"/>
      <c r="G745" s="333"/>
      <c r="H745" s="333"/>
      <c r="I745" s="333"/>
      <c r="J745" s="333"/>
      <c r="K745" s="333"/>
      <c r="L745" s="333"/>
      <c r="M745" s="333"/>
      <c r="N745" s="333"/>
      <c r="O745" s="333"/>
      <c r="P745" s="333"/>
      <c r="Q745" s="333"/>
      <c r="R745" s="333"/>
      <c r="S745" s="333"/>
      <c r="T745" s="333"/>
      <c r="U745" s="333"/>
      <c r="V745" s="333"/>
    </row>
    <row r="746" spans="1:22">
      <c r="A746" s="333"/>
      <c r="B746" s="333"/>
      <c r="C746" s="333"/>
      <c r="D746" s="333"/>
      <c r="E746" s="333"/>
      <c r="F746" s="333"/>
      <c r="G746" s="333"/>
      <c r="H746" s="333"/>
      <c r="I746" s="333"/>
      <c r="J746" s="333"/>
      <c r="K746" s="333"/>
      <c r="L746" s="333"/>
      <c r="M746" s="333"/>
      <c r="N746" s="333"/>
      <c r="O746" s="333"/>
      <c r="P746" s="333"/>
      <c r="Q746" s="333"/>
      <c r="R746" s="333"/>
      <c r="S746" s="333"/>
      <c r="T746" s="333"/>
      <c r="U746" s="333"/>
      <c r="V746" s="333"/>
    </row>
    <row r="747" spans="1:22">
      <c r="A747" s="333"/>
      <c r="B747" s="333"/>
      <c r="C747" s="333"/>
      <c r="D747" s="333"/>
      <c r="E747" s="333"/>
      <c r="F747" s="333"/>
      <c r="G747" s="333"/>
      <c r="H747" s="333"/>
      <c r="I747" s="333"/>
      <c r="J747" s="333"/>
      <c r="K747" s="333"/>
      <c r="L747" s="333"/>
      <c r="M747" s="333"/>
      <c r="N747" s="333"/>
      <c r="O747" s="333"/>
      <c r="P747" s="333"/>
      <c r="Q747" s="333"/>
      <c r="R747" s="333"/>
      <c r="S747" s="333"/>
      <c r="T747" s="333"/>
      <c r="U747" s="333"/>
      <c r="V747" s="333"/>
    </row>
    <row r="748" spans="1:22">
      <c r="A748" s="333"/>
      <c r="B748" s="333"/>
      <c r="C748" s="333"/>
      <c r="D748" s="333"/>
      <c r="E748" s="333"/>
      <c r="F748" s="333"/>
      <c r="G748" s="333"/>
      <c r="H748" s="333"/>
      <c r="I748" s="333"/>
      <c r="J748" s="333"/>
      <c r="K748" s="333"/>
      <c r="L748" s="333"/>
      <c r="M748" s="333"/>
      <c r="N748" s="333"/>
      <c r="O748" s="333"/>
      <c r="P748" s="333"/>
      <c r="Q748" s="333"/>
      <c r="R748" s="333"/>
      <c r="S748" s="333"/>
      <c r="T748" s="333"/>
      <c r="U748" s="333"/>
      <c r="V748" s="333"/>
    </row>
    <row r="749" spans="1:22">
      <c r="A749" s="333"/>
      <c r="B749" s="333"/>
      <c r="C749" s="333"/>
      <c r="D749" s="333"/>
      <c r="E749" s="333"/>
      <c r="F749" s="333"/>
      <c r="G749" s="333"/>
      <c r="H749" s="333"/>
      <c r="I749" s="333"/>
      <c r="J749" s="333"/>
      <c r="K749" s="333"/>
      <c r="L749" s="333"/>
      <c r="M749" s="333"/>
      <c r="N749" s="333"/>
      <c r="O749" s="333"/>
      <c r="P749" s="333"/>
      <c r="Q749" s="333"/>
      <c r="R749" s="333"/>
      <c r="S749" s="333"/>
      <c r="T749" s="333"/>
      <c r="U749" s="333"/>
      <c r="V749" s="333"/>
    </row>
    <row r="750" spans="1:22">
      <c r="A750" s="333"/>
      <c r="B750" s="333"/>
      <c r="C750" s="333"/>
      <c r="D750" s="333"/>
      <c r="E750" s="333"/>
      <c r="F750" s="333"/>
      <c r="G750" s="333"/>
      <c r="H750" s="333"/>
      <c r="I750" s="333"/>
      <c r="J750" s="333"/>
      <c r="K750" s="333"/>
      <c r="L750" s="333"/>
      <c r="M750" s="333"/>
      <c r="N750" s="333"/>
      <c r="O750" s="333"/>
      <c r="P750" s="333"/>
      <c r="Q750" s="333"/>
      <c r="R750" s="333"/>
      <c r="S750" s="333"/>
      <c r="T750" s="333"/>
      <c r="U750" s="333"/>
      <c r="V750" s="333"/>
    </row>
    <row r="751" spans="1:22">
      <c r="A751" s="333"/>
      <c r="B751" s="333"/>
      <c r="C751" s="333"/>
      <c r="D751" s="333"/>
      <c r="E751" s="333"/>
      <c r="F751" s="333"/>
      <c r="G751" s="333"/>
      <c r="H751" s="333"/>
      <c r="I751" s="333"/>
      <c r="J751" s="333"/>
      <c r="K751" s="333"/>
      <c r="L751" s="333"/>
      <c r="M751" s="333"/>
      <c r="N751" s="333"/>
      <c r="O751" s="333"/>
      <c r="P751" s="333"/>
      <c r="Q751" s="333"/>
      <c r="R751" s="333"/>
      <c r="S751" s="333"/>
      <c r="T751" s="333"/>
      <c r="U751" s="333"/>
      <c r="V751" s="333"/>
    </row>
    <row r="752" spans="1:22">
      <c r="A752" s="333"/>
      <c r="B752" s="333"/>
      <c r="C752" s="333"/>
      <c r="D752" s="333"/>
      <c r="E752" s="333"/>
      <c r="F752" s="333"/>
      <c r="G752" s="333"/>
      <c r="H752" s="333"/>
      <c r="I752" s="333"/>
      <c r="J752" s="333"/>
      <c r="K752" s="333"/>
      <c r="L752" s="333"/>
      <c r="M752" s="333"/>
      <c r="N752" s="333"/>
      <c r="O752" s="333"/>
      <c r="P752" s="333"/>
      <c r="Q752" s="333"/>
      <c r="R752" s="333"/>
      <c r="S752" s="333"/>
      <c r="T752" s="333"/>
      <c r="U752" s="333"/>
      <c r="V752" s="333"/>
    </row>
    <row r="753" spans="1:22">
      <c r="A753" s="333"/>
      <c r="B753" s="333"/>
      <c r="C753" s="333"/>
      <c r="D753" s="333"/>
      <c r="E753" s="333"/>
      <c r="F753" s="333"/>
      <c r="G753" s="333"/>
      <c r="H753" s="333"/>
      <c r="I753" s="333"/>
      <c r="J753" s="333"/>
      <c r="K753" s="333"/>
      <c r="L753" s="333"/>
      <c r="M753" s="333"/>
      <c r="N753" s="333"/>
      <c r="O753" s="333"/>
      <c r="P753" s="333"/>
      <c r="Q753" s="333"/>
      <c r="R753" s="333"/>
      <c r="S753" s="333"/>
      <c r="T753" s="333"/>
      <c r="U753" s="333"/>
      <c r="V753" s="333"/>
    </row>
    <row r="754" spans="1:22">
      <c r="A754" s="333"/>
      <c r="B754" s="333"/>
      <c r="C754" s="333"/>
      <c r="D754" s="333"/>
      <c r="E754" s="333"/>
      <c r="F754" s="333"/>
      <c r="G754" s="333"/>
      <c r="H754" s="333"/>
      <c r="I754" s="333"/>
      <c r="J754" s="333"/>
      <c r="K754" s="333"/>
      <c r="L754" s="333"/>
      <c r="M754" s="333"/>
      <c r="N754" s="333"/>
      <c r="O754" s="333"/>
      <c r="P754" s="333"/>
      <c r="Q754" s="333"/>
      <c r="R754" s="333"/>
      <c r="S754" s="333"/>
      <c r="T754" s="333"/>
      <c r="U754" s="333"/>
      <c r="V754" s="333"/>
    </row>
    <row r="755" spans="1:22">
      <c r="A755" s="333"/>
      <c r="B755" s="333"/>
      <c r="C755" s="333"/>
      <c r="D755" s="333"/>
      <c r="E755" s="333"/>
      <c r="F755" s="333"/>
      <c r="G755" s="333"/>
      <c r="H755" s="333"/>
      <c r="I755" s="333"/>
      <c r="J755" s="333"/>
      <c r="K755" s="333"/>
      <c r="L755" s="333"/>
      <c r="M755" s="333"/>
      <c r="N755" s="333"/>
      <c r="O755" s="333"/>
      <c r="P755" s="333"/>
      <c r="Q755" s="333"/>
      <c r="R755" s="333"/>
      <c r="S755" s="333"/>
      <c r="T755" s="333"/>
      <c r="U755" s="333"/>
      <c r="V755" s="333"/>
    </row>
    <row r="756" spans="1:22">
      <c r="A756" s="333"/>
      <c r="B756" s="333"/>
      <c r="C756" s="333"/>
      <c r="D756" s="333"/>
      <c r="E756" s="333"/>
      <c r="F756" s="333"/>
      <c r="G756" s="333"/>
      <c r="H756" s="333"/>
      <c r="I756" s="333"/>
      <c r="J756" s="333"/>
      <c r="K756" s="333"/>
      <c r="L756" s="333"/>
      <c r="M756" s="333"/>
      <c r="N756" s="333"/>
      <c r="O756" s="333"/>
      <c r="P756" s="333"/>
      <c r="Q756" s="333"/>
      <c r="R756" s="333"/>
      <c r="S756" s="333"/>
      <c r="T756" s="333"/>
      <c r="U756" s="333"/>
      <c r="V756" s="333"/>
    </row>
    <row r="757" spans="1:22">
      <c r="A757" s="333"/>
      <c r="B757" s="333"/>
      <c r="C757" s="333"/>
      <c r="D757" s="333"/>
      <c r="E757" s="333"/>
      <c r="F757" s="333"/>
      <c r="G757" s="333"/>
      <c r="H757" s="333"/>
      <c r="I757" s="333"/>
      <c r="J757" s="333"/>
      <c r="K757" s="333"/>
      <c r="L757" s="333"/>
      <c r="M757" s="333"/>
      <c r="N757" s="333"/>
      <c r="O757" s="333"/>
      <c r="P757" s="333"/>
      <c r="Q757" s="333"/>
      <c r="R757" s="333"/>
      <c r="S757" s="333"/>
      <c r="T757" s="333"/>
      <c r="U757" s="333"/>
      <c r="V757" s="333"/>
    </row>
    <row r="758" spans="1:22">
      <c r="A758" s="333"/>
      <c r="B758" s="333"/>
      <c r="C758" s="333"/>
      <c r="D758" s="333"/>
      <c r="E758" s="333"/>
      <c r="F758" s="333"/>
      <c r="G758" s="333"/>
      <c r="H758" s="333"/>
      <c r="I758" s="333"/>
      <c r="J758" s="333"/>
      <c r="K758" s="333"/>
      <c r="L758" s="333"/>
      <c r="M758" s="333"/>
      <c r="N758" s="333"/>
      <c r="O758" s="333"/>
      <c r="P758" s="333"/>
      <c r="Q758" s="333"/>
      <c r="R758" s="333"/>
      <c r="S758" s="333"/>
      <c r="T758" s="333"/>
      <c r="U758" s="333"/>
      <c r="V758" s="333"/>
    </row>
    <row r="759" spans="1:22">
      <c r="A759" s="333"/>
      <c r="B759" s="333"/>
      <c r="C759" s="333"/>
      <c r="D759" s="333"/>
      <c r="E759" s="333"/>
      <c r="F759" s="333"/>
      <c r="G759" s="333"/>
      <c r="H759" s="333"/>
      <c r="I759" s="333"/>
      <c r="J759" s="333"/>
      <c r="K759" s="333"/>
      <c r="L759" s="333"/>
      <c r="M759" s="333"/>
      <c r="N759" s="333"/>
      <c r="O759" s="333"/>
      <c r="P759" s="333"/>
      <c r="Q759" s="333"/>
      <c r="R759" s="333"/>
      <c r="S759" s="333"/>
      <c r="T759" s="333"/>
      <c r="U759" s="333"/>
      <c r="V759" s="333"/>
    </row>
    <row r="760" spans="1:22">
      <c r="A760" s="333"/>
      <c r="B760" s="333"/>
      <c r="C760" s="333"/>
      <c r="D760" s="333"/>
      <c r="E760" s="333"/>
      <c r="F760" s="333"/>
      <c r="G760" s="333"/>
      <c r="H760" s="333"/>
      <c r="I760" s="333"/>
      <c r="J760" s="333"/>
      <c r="K760" s="333"/>
      <c r="L760" s="333"/>
      <c r="M760" s="333"/>
      <c r="N760" s="333"/>
      <c r="O760" s="333"/>
      <c r="P760" s="333"/>
      <c r="Q760" s="333"/>
      <c r="R760" s="333"/>
      <c r="S760" s="333"/>
      <c r="T760" s="333"/>
      <c r="U760" s="333"/>
      <c r="V760" s="333"/>
    </row>
    <row r="761" spans="1:22">
      <c r="A761" s="333"/>
      <c r="B761" s="333"/>
      <c r="C761" s="333"/>
      <c r="D761" s="333"/>
      <c r="E761" s="333"/>
      <c r="F761" s="333"/>
      <c r="G761" s="333"/>
      <c r="H761" s="333"/>
      <c r="I761" s="333"/>
      <c r="J761" s="333"/>
      <c r="K761" s="333"/>
      <c r="L761" s="333"/>
      <c r="M761" s="333"/>
      <c r="N761" s="333"/>
      <c r="O761" s="333"/>
      <c r="P761" s="333"/>
      <c r="Q761" s="333"/>
      <c r="R761" s="333"/>
      <c r="S761" s="333"/>
      <c r="T761" s="333"/>
      <c r="U761" s="333"/>
      <c r="V761" s="333"/>
    </row>
    <row r="762" spans="1:22">
      <c r="A762" s="333"/>
      <c r="B762" s="333"/>
      <c r="C762" s="333"/>
      <c r="D762" s="333"/>
      <c r="E762" s="333"/>
      <c r="F762" s="333"/>
      <c r="G762" s="333"/>
      <c r="H762" s="333"/>
      <c r="I762" s="333"/>
      <c r="J762" s="333"/>
      <c r="K762" s="333"/>
      <c r="L762" s="333"/>
      <c r="M762" s="333"/>
      <c r="N762" s="333"/>
      <c r="O762" s="333"/>
      <c r="P762" s="333"/>
      <c r="Q762" s="333"/>
      <c r="R762" s="333"/>
      <c r="S762" s="333"/>
      <c r="T762" s="333"/>
      <c r="U762" s="333"/>
      <c r="V762" s="333"/>
    </row>
    <row r="763" spans="1:22">
      <c r="A763" s="333"/>
      <c r="B763" s="333"/>
      <c r="C763" s="333"/>
      <c r="D763" s="333"/>
      <c r="E763" s="333"/>
      <c r="F763" s="333"/>
      <c r="G763" s="333"/>
      <c r="H763" s="333"/>
      <c r="I763" s="333"/>
      <c r="J763" s="333"/>
      <c r="K763" s="333"/>
      <c r="L763" s="333"/>
      <c r="M763" s="333"/>
      <c r="N763" s="333"/>
      <c r="O763" s="333"/>
      <c r="P763" s="333"/>
      <c r="Q763" s="333"/>
      <c r="R763" s="333"/>
      <c r="S763" s="333"/>
      <c r="T763" s="333"/>
      <c r="U763" s="333"/>
      <c r="V763" s="333"/>
    </row>
    <row r="764" spans="1:22">
      <c r="A764" s="333"/>
      <c r="B764" s="333"/>
      <c r="C764" s="333"/>
      <c r="D764" s="333"/>
      <c r="E764" s="333"/>
      <c r="F764" s="333"/>
      <c r="G764" s="333"/>
      <c r="H764" s="333"/>
      <c r="I764" s="333"/>
      <c r="J764" s="333"/>
      <c r="K764" s="333"/>
      <c r="L764" s="333"/>
      <c r="M764" s="333"/>
      <c r="N764" s="333"/>
      <c r="O764" s="333"/>
      <c r="P764" s="333"/>
      <c r="Q764" s="333"/>
      <c r="R764" s="333"/>
      <c r="S764" s="333"/>
      <c r="T764" s="333"/>
      <c r="U764" s="333"/>
      <c r="V764" s="333"/>
    </row>
    <row r="765" spans="1:22">
      <c r="A765" s="333"/>
      <c r="B765" s="333"/>
      <c r="C765" s="333"/>
      <c r="D765" s="333"/>
      <c r="E765" s="333"/>
      <c r="F765" s="333"/>
      <c r="G765" s="333"/>
      <c r="H765" s="333"/>
      <c r="I765" s="333"/>
      <c r="J765" s="333"/>
      <c r="K765" s="333"/>
      <c r="L765" s="333"/>
      <c r="M765" s="333"/>
      <c r="N765" s="333"/>
      <c r="O765" s="333"/>
      <c r="P765" s="333"/>
      <c r="Q765" s="333"/>
      <c r="R765" s="333"/>
      <c r="S765" s="333"/>
      <c r="T765" s="333"/>
      <c r="U765" s="333"/>
      <c r="V765" s="333"/>
    </row>
    <row r="766" spans="1:22">
      <c r="A766" s="333"/>
      <c r="B766" s="333"/>
      <c r="C766" s="333"/>
      <c r="D766" s="333"/>
      <c r="E766" s="333"/>
      <c r="F766" s="333"/>
      <c r="G766" s="333"/>
      <c r="H766" s="333"/>
      <c r="I766" s="333"/>
      <c r="J766" s="333"/>
      <c r="K766" s="333"/>
      <c r="L766" s="333"/>
      <c r="M766" s="333"/>
      <c r="N766" s="333"/>
      <c r="O766" s="333"/>
      <c r="P766" s="333"/>
      <c r="Q766" s="333"/>
      <c r="R766" s="333"/>
      <c r="S766" s="333"/>
      <c r="T766" s="333"/>
      <c r="U766" s="333"/>
      <c r="V766" s="333"/>
    </row>
    <row r="767" spans="1:22">
      <c r="A767" s="333"/>
      <c r="B767" s="333"/>
      <c r="C767" s="333"/>
      <c r="D767" s="333"/>
      <c r="E767" s="333"/>
      <c r="F767" s="333"/>
      <c r="G767" s="333"/>
      <c r="H767" s="333"/>
      <c r="I767" s="333"/>
      <c r="J767" s="333"/>
      <c r="K767" s="333"/>
      <c r="L767" s="333"/>
      <c r="M767" s="333"/>
      <c r="N767" s="333"/>
      <c r="O767" s="333"/>
      <c r="P767" s="333"/>
      <c r="Q767" s="333"/>
      <c r="R767" s="333"/>
      <c r="S767" s="333"/>
      <c r="T767" s="333"/>
      <c r="U767" s="333"/>
      <c r="V767" s="333"/>
    </row>
    <row r="768" spans="1:22">
      <c r="A768" s="333"/>
      <c r="B768" s="333"/>
      <c r="C768" s="333"/>
      <c r="D768" s="333"/>
      <c r="E768" s="333"/>
      <c r="F768" s="333"/>
      <c r="G768" s="333"/>
      <c r="H768" s="333"/>
      <c r="I768" s="333"/>
      <c r="J768" s="333"/>
      <c r="K768" s="333"/>
      <c r="L768" s="333"/>
      <c r="M768" s="333"/>
      <c r="N768" s="333"/>
      <c r="O768" s="333"/>
      <c r="P768" s="333"/>
      <c r="Q768" s="333"/>
      <c r="R768" s="333"/>
      <c r="S768" s="333"/>
      <c r="T768" s="333"/>
      <c r="U768" s="333"/>
      <c r="V768" s="333"/>
    </row>
    <row r="769" spans="1:22">
      <c r="A769" s="333"/>
      <c r="B769" s="333"/>
      <c r="C769" s="333"/>
      <c r="D769" s="333"/>
      <c r="E769" s="333"/>
      <c r="F769" s="333"/>
      <c r="G769" s="333"/>
      <c r="H769" s="333"/>
      <c r="I769" s="333"/>
      <c r="J769" s="333"/>
      <c r="K769" s="333"/>
      <c r="L769" s="333"/>
      <c r="M769" s="333"/>
      <c r="N769" s="333"/>
      <c r="O769" s="333"/>
      <c r="P769" s="333"/>
      <c r="Q769" s="333"/>
      <c r="R769" s="333"/>
      <c r="S769" s="333"/>
      <c r="T769" s="333"/>
      <c r="U769" s="333"/>
      <c r="V769" s="333"/>
    </row>
    <row r="770" spans="1:22">
      <c r="A770" s="333"/>
      <c r="B770" s="333"/>
      <c r="C770" s="333"/>
      <c r="D770" s="333"/>
      <c r="E770" s="333"/>
      <c r="F770" s="333"/>
      <c r="G770" s="333"/>
      <c r="H770" s="333"/>
      <c r="I770" s="333"/>
      <c r="J770" s="333"/>
      <c r="K770" s="333"/>
      <c r="L770" s="333"/>
      <c r="M770" s="333"/>
      <c r="N770" s="333"/>
      <c r="O770" s="333"/>
      <c r="P770" s="333"/>
      <c r="Q770" s="333"/>
      <c r="R770" s="333"/>
      <c r="S770" s="333"/>
      <c r="T770" s="333"/>
      <c r="U770" s="333"/>
      <c r="V770" s="333"/>
    </row>
    <row r="771" spans="1:22">
      <c r="A771" s="333"/>
      <c r="B771" s="333"/>
      <c r="C771" s="333"/>
      <c r="D771" s="333"/>
      <c r="E771" s="333"/>
      <c r="F771" s="333"/>
      <c r="G771" s="333"/>
      <c r="H771" s="333"/>
      <c r="I771" s="333"/>
      <c r="J771" s="333"/>
      <c r="K771" s="333"/>
      <c r="L771" s="333"/>
      <c r="M771" s="333"/>
      <c r="N771" s="333"/>
      <c r="O771" s="333"/>
      <c r="P771" s="333"/>
      <c r="Q771" s="333"/>
      <c r="R771" s="333"/>
      <c r="S771" s="333"/>
      <c r="T771" s="333"/>
      <c r="U771" s="333"/>
      <c r="V771" s="333"/>
    </row>
    <row r="772" spans="1:22">
      <c r="A772" s="333"/>
      <c r="B772" s="333"/>
      <c r="C772" s="333"/>
      <c r="D772" s="333"/>
      <c r="E772" s="333"/>
      <c r="F772" s="333"/>
      <c r="G772" s="333"/>
      <c r="H772" s="333"/>
      <c r="I772" s="333"/>
      <c r="J772" s="333"/>
      <c r="K772" s="333"/>
      <c r="L772" s="333"/>
      <c r="M772" s="333"/>
      <c r="N772" s="333"/>
      <c r="O772" s="333"/>
      <c r="P772" s="333"/>
      <c r="Q772" s="333"/>
      <c r="R772" s="333"/>
      <c r="S772" s="333"/>
      <c r="T772" s="333"/>
      <c r="U772" s="333"/>
      <c r="V772" s="333"/>
    </row>
    <row r="773" spans="1:22">
      <c r="A773" s="333"/>
      <c r="B773" s="333"/>
      <c r="C773" s="333"/>
      <c r="D773" s="333"/>
      <c r="E773" s="333"/>
      <c r="F773" s="333"/>
      <c r="G773" s="333"/>
      <c r="H773" s="333"/>
      <c r="I773" s="333"/>
      <c r="J773" s="333"/>
      <c r="K773" s="333"/>
      <c r="L773" s="333"/>
      <c r="M773" s="333"/>
      <c r="N773" s="333"/>
      <c r="O773" s="333"/>
      <c r="P773" s="333"/>
      <c r="Q773" s="333"/>
      <c r="R773" s="333"/>
      <c r="S773" s="333"/>
      <c r="T773" s="333"/>
      <c r="U773" s="333"/>
      <c r="V773" s="333"/>
    </row>
    <row r="774" spans="1:22">
      <c r="A774" s="333"/>
      <c r="B774" s="333"/>
      <c r="C774" s="333"/>
      <c r="D774" s="333"/>
      <c r="E774" s="333"/>
      <c r="F774" s="333"/>
      <c r="G774" s="333"/>
      <c r="H774" s="333"/>
      <c r="I774" s="333"/>
      <c r="J774" s="333"/>
      <c r="K774" s="333"/>
      <c r="L774" s="333"/>
      <c r="M774" s="333"/>
      <c r="N774" s="333"/>
      <c r="O774" s="333"/>
      <c r="P774" s="333"/>
      <c r="Q774" s="333"/>
      <c r="R774" s="333"/>
      <c r="S774" s="333"/>
      <c r="T774" s="333"/>
      <c r="U774" s="333"/>
      <c r="V774" s="333"/>
    </row>
    <row r="775" spans="1:22">
      <c r="A775" s="333"/>
      <c r="B775" s="333"/>
      <c r="C775" s="333"/>
      <c r="D775" s="333"/>
      <c r="E775" s="333"/>
      <c r="F775" s="333"/>
      <c r="G775" s="333"/>
      <c r="H775" s="333"/>
      <c r="I775" s="333"/>
      <c r="J775" s="333"/>
      <c r="K775" s="333"/>
      <c r="L775" s="333"/>
      <c r="M775" s="333"/>
      <c r="N775" s="333"/>
      <c r="O775" s="333"/>
      <c r="P775" s="333"/>
      <c r="Q775" s="333"/>
      <c r="R775" s="333"/>
      <c r="S775" s="333"/>
      <c r="T775" s="333"/>
      <c r="U775" s="333"/>
      <c r="V775" s="333"/>
    </row>
    <row r="776" spans="1:22">
      <c r="A776" s="333"/>
      <c r="B776" s="333"/>
      <c r="C776" s="333"/>
      <c r="D776" s="333"/>
      <c r="E776" s="333"/>
      <c r="F776" s="333"/>
      <c r="G776" s="333"/>
      <c r="H776" s="333"/>
      <c r="I776" s="333"/>
      <c r="J776" s="333"/>
      <c r="K776" s="333"/>
      <c r="L776" s="333"/>
      <c r="M776" s="333"/>
      <c r="N776" s="333"/>
      <c r="O776" s="333"/>
      <c r="P776" s="333"/>
      <c r="Q776" s="333"/>
      <c r="R776" s="333"/>
      <c r="S776" s="333"/>
      <c r="T776" s="333"/>
      <c r="U776" s="333"/>
      <c r="V776" s="333"/>
    </row>
    <row r="777" spans="1:22">
      <c r="A777" s="333"/>
      <c r="B777" s="333"/>
      <c r="C777" s="333"/>
      <c r="D777" s="333"/>
      <c r="E777" s="333"/>
      <c r="F777" s="333"/>
      <c r="G777" s="333"/>
      <c r="H777" s="333"/>
      <c r="I777" s="333"/>
      <c r="J777" s="333"/>
      <c r="K777" s="333"/>
      <c r="L777" s="333"/>
      <c r="M777" s="333"/>
      <c r="N777" s="333"/>
      <c r="O777" s="333"/>
      <c r="P777" s="333"/>
      <c r="Q777" s="333"/>
      <c r="R777" s="333"/>
      <c r="S777" s="333"/>
      <c r="T777" s="333"/>
      <c r="U777" s="333"/>
      <c r="V777" s="333"/>
    </row>
    <row r="778" spans="1:22">
      <c r="A778" s="333"/>
      <c r="B778" s="333"/>
      <c r="C778" s="333"/>
      <c r="D778" s="333"/>
      <c r="E778" s="333"/>
      <c r="F778" s="333"/>
      <c r="G778" s="333"/>
      <c r="H778" s="333"/>
      <c r="I778" s="333"/>
      <c r="J778" s="333"/>
      <c r="K778" s="333"/>
      <c r="L778" s="333"/>
      <c r="M778" s="333"/>
      <c r="N778" s="333"/>
      <c r="O778" s="333"/>
      <c r="P778" s="333"/>
      <c r="Q778" s="333"/>
      <c r="R778" s="333"/>
      <c r="S778" s="333"/>
      <c r="T778" s="333"/>
      <c r="U778" s="333"/>
      <c r="V778" s="333"/>
    </row>
    <row r="779" spans="1:22">
      <c r="A779" s="333"/>
      <c r="B779" s="333"/>
      <c r="C779" s="333"/>
      <c r="D779" s="333"/>
      <c r="E779" s="333"/>
      <c r="F779" s="333"/>
      <c r="G779" s="333"/>
      <c r="H779" s="333"/>
      <c r="I779" s="333"/>
      <c r="J779" s="333"/>
      <c r="K779" s="333"/>
      <c r="L779" s="333"/>
      <c r="M779" s="333"/>
      <c r="N779" s="333"/>
      <c r="O779" s="333"/>
      <c r="P779" s="333"/>
      <c r="Q779" s="333"/>
      <c r="R779" s="333"/>
      <c r="S779" s="333"/>
      <c r="T779" s="333"/>
      <c r="U779" s="333"/>
      <c r="V779" s="333"/>
    </row>
    <row r="780" spans="1:22">
      <c r="A780" s="333"/>
      <c r="B780" s="333"/>
      <c r="C780" s="333"/>
      <c r="D780" s="333"/>
      <c r="E780" s="333"/>
      <c r="F780" s="333"/>
      <c r="G780" s="333"/>
      <c r="H780" s="333"/>
      <c r="I780" s="333"/>
      <c r="J780" s="333"/>
      <c r="K780" s="333"/>
      <c r="L780" s="333"/>
      <c r="M780" s="333"/>
      <c r="N780" s="333"/>
      <c r="O780" s="333"/>
      <c r="P780" s="333"/>
      <c r="Q780" s="333"/>
      <c r="R780" s="333"/>
      <c r="S780" s="333"/>
      <c r="T780" s="333"/>
      <c r="U780" s="333"/>
      <c r="V780" s="333"/>
    </row>
    <row r="781" spans="1:22">
      <c r="A781" s="333"/>
      <c r="B781" s="333"/>
      <c r="C781" s="333"/>
      <c r="D781" s="333"/>
      <c r="E781" s="333"/>
      <c r="F781" s="333"/>
      <c r="G781" s="333"/>
      <c r="H781" s="333"/>
      <c r="I781" s="333"/>
      <c r="J781" s="333"/>
      <c r="K781" s="333"/>
      <c r="L781" s="333"/>
      <c r="M781" s="333"/>
      <c r="N781" s="333"/>
      <c r="O781" s="333"/>
      <c r="P781" s="333"/>
      <c r="Q781" s="333"/>
      <c r="R781" s="333"/>
      <c r="S781" s="333"/>
      <c r="T781" s="333"/>
      <c r="U781" s="333"/>
      <c r="V781" s="333"/>
    </row>
    <row r="782" spans="1:22">
      <c r="A782" s="333"/>
      <c r="B782" s="333"/>
      <c r="C782" s="333"/>
      <c r="D782" s="333"/>
      <c r="E782" s="333"/>
      <c r="F782" s="333"/>
      <c r="G782" s="333"/>
      <c r="H782" s="333"/>
      <c r="I782" s="333"/>
      <c r="J782" s="333"/>
      <c r="K782" s="333"/>
      <c r="L782" s="333"/>
      <c r="M782" s="333"/>
      <c r="N782" s="333"/>
      <c r="O782" s="333"/>
      <c r="P782" s="333"/>
      <c r="Q782" s="333"/>
      <c r="R782" s="333"/>
      <c r="S782" s="333"/>
      <c r="T782" s="333"/>
      <c r="U782" s="333"/>
      <c r="V782" s="333"/>
    </row>
    <row r="783" spans="1:22">
      <c r="A783" s="333"/>
      <c r="B783" s="333"/>
      <c r="C783" s="333"/>
      <c r="D783" s="333"/>
      <c r="E783" s="333"/>
      <c r="F783" s="333"/>
      <c r="G783" s="333"/>
      <c r="H783" s="333"/>
      <c r="I783" s="333"/>
      <c r="J783" s="333"/>
      <c r="K783" s="333"/>
      <c r="L783" s="333"/>
      <c r="M783" s="333"/>
      <c r="N783" s="333"/>
      <c r="O783" s="333"/>
      <c r="P783" s="333"/>
      <c r="Q783" s="333"/>
      <c r="R783" s="333"/>
      <c r="S783" s="333"/>
      <c r="T783" s="333"/>
      <c r="U783" s="333"/>
      <c r="V783" s="333"/>
    </row>
    <row r="784" spans="1:22">
      <c r="A784" s="333"/>
      <c r="B784" s="333"/>
      <c r="C784" s="333"/>
      <c r="D784" s="333"/>
      <c r="E784" s="333"/>
      <c r="F784" s="333"/>
      <c r="G784" s="333"/>
      <c r="H784" s="333"/>
      <c r="I784" s="333"/>
      <c r="J784" s="333"/>
      <c r="K784" s="333"/>
      <c r="L784" s="333"/>
      <c r="M784" s="333"/>
      <c r="N784" s="333"/>
      <c r="O784" s="333"/>
      <c r="P784" s="333"/>
      <c r="Q784" s="333"/>
      <c r="R784" s="333"/>
      <c r="S784" s="333"/>
      <c r="T784" s="333"/>
      <c r="U784" s="333"/>
      <c r="V784" s="333"/>
    </row>
    <row r="785" spans="1:22">
      <c r="A785" s="333"/>
      <c r="B785" s="333"/>
      <c r="C785" s="333"/>
      <c r="D785" s="333"/>
      <c r="E785" s="333"/>
      <c r="F785" s="333"/>
      <c r="G785" s="333"/>
      <c r="H785" s="333"/>
      <c r="I785" s="333"/>
      <c r="J785" s="333"/>
      <c r="K785" s="333"/>
      <c r="L785" s="333"/>
      <c r="M785" s="333"/>
      <c r="N785" s="333"/>
      <c r="O785" s="333"/>
      <c r="P785" s="333"/>
      <c r="Q785" s="333"/>
      <c r="R785" s="333"/>
      <c r="S785" s="333"/>
      <c r="T785" s="333"/>
      <c r="U785" s="333"/>
      <c r="V785" s="333"/>
    </row>
    <row r="786" spans="1:22">
      <c r="A786" s="333"/>
      <c r="B786" s="333"/>
      <c r="C786" s="333"/>
      <c r="D786" s="333"/>
      <c r="E786" s="333"/>
      <c r="F786" s="333"/>
      <c r="G786" s="333"/>
      <c r="H786" s="333"/>
      <c r="I786" s="333"/>
      <c r="J786" s="333"/>
      <c r="K786" s="333"/>
      <c r="L786" s="333"/>
      <c r="M786" s="333"/>
      <c r="N786" s="333"/>
      <c r="O786" s="333"/>
      <c r="P786" s="333"/>
      <c r="Q786" s="333"/>
      <c r="R786" s="333"/>
      <c r="S786" s="333"/>
      <c r="T786" s="333"/>
      <c r="U786" s="333"/>
      <c r="V786" s="333"/>
    </row>
    <row r="787" spans="1:22">
      <c r="A787" s="333"/>
      <c r="B787" s="333"/>
      <c r="C787" s="333"/>
      <c r="D787" s="333"/>
      <c r="E787" s="333"/>
      <c r="F787" s="333"/>
      <c r="G787" s="333"/>
      <c r="H787" s="333"/>
      <c r="I787" s="333"/>
      <c r="J787" s="333"/>
      <c r="K787" s="333"/>
      <c r="L787" s="333"/>
      <c r="M787" s="333"/>
      <c r="N787" s="333"/>
      <c r="O787" s="333"/>
      <c r="P787" s="333"/>
      <c r="Q787" s="333"/>
      <c r="R787" s="333"/>
      <c r="S787" s="333"/>
      <c r="T787" s="333"/>
      <c r="U787" s="333"/>
      <c r="V787" s="333"/>
    </row>
    <row r="788" spans="1:22">
      <c r="A788" s="333"/>
      <c r="B788" s="333"/>
      <c r="C788" s="333"/>
      <c r="D788" s="333"/>
      <c r="E788" s="333"/>
      <c r="F788" s="333"/>
      <c r="G788" s="333"/>
      <c r="H788" s="333"/>
      <c r="I788" s="333"/>
      <c r="J788" s="333"/>
      <c r="K788" s="333"/>
      <c r="L788" s="333"/>
      <c r="M788" s="333"/>
      <c r="N788" s="333"/>
      <c r="O788" s="333"/>
      <c r="P788" s="333"/>
      <c r="Q788" s="333"/>
      <c r="R788" s="333"/>
      <c r="S788" s="333"/>
      <c r="T788" s="333"/>
      <c r="U788" s="333"/>
      <c r="V788" s="333"/>
    </row>
    <row r="789" spans="1:22">
      <c r="A789" s="333"/>
      <c r="B789" s="333"/>
      <c r="C789" s="333"/>
      <c r="D789" s="333"/>
      <c r="E789" s="333"/>
      <c r="F789" s="333"/>
      <c r="G789" s="333"/>
      <c r="H789" s="333"/>
      <c r="I789" s="333"/>
      <c r="J789" s="333"/>
      <c r="K789" s="333"/>
      <c r="L789" s="333"/>
      <c r="M789" s="333"/>
      <c r="N789" s="333"/>
      <c r="O789" s="333"/>
      <c r="P789" s="333"/>
      <c r="Q789" s="333"/>
      <c r="R789" s="333"/>
      <c r="S789" s="333"/>
      <c r="T789" s="333"/>
      <c r="U789" s="333"/>
      <c r="V789" s="333"/>
    </row>
    <row r="790" spans="1:22">
      <c r="A790" s="333"/>
      <c r="B790" s="333"/>
      <c r="C790" s="333"/>
      <c r="D790" s="333"/>
      <c r="E790" s="333"/>
      <c r="F790" s="333"/>
      <c r="G790" s="333"/>
      <c r="H790" s="333"/>
      <c r="I790" s="333"/>
      <c r="J790" s="333"/>
      <c r="K790" s="333"/>
      <c r="L790" s="333"/>
      <c r="M790" s="333"/>
      <c r="N790" s="333"/>
      <c r="O790" s="333"/>
      <c r="P790" s="333"/>
      <c r="Q790" s="333"/>
      <c r="R790" s="333"/>
      <c r="S790" s="333"/>
      <c r="T790" s="333"/>
      <c r="U790" s="333"/>
      <c r="V790" s="333"/>
    </row>
    <row r="791" spans="1:22">
      <c r="A791" s="333"/>
      <c r="B791" s="333"/>
      <c r="C791" s="333"/>
      <c r="D791" s="333"/>
      <c r="E791" s="333"/>
      <c r="F791" s="333"/>
      <c r="G791" s="333"/>
      <c r="H791" s="333"/>
      <c r="I791" s="333"/>
      <c r="J791" s="333"/>
      <c r="K791" s="333"/>
      <c r="L791" s="333"/>
      <c r="M791" s="333"/>
      <c r="N791" s="333"/>
      <c r="O791" s="333"/>
      <c r="P791" s="333"/>
      <c r="Q791" s="333"/>
      <c r="R791" s="333"/>
      <c r="S791" s="333"/>
      <c r="T791" s="333"/>
      <c r="U791" s="333"/>
      <c r="V791" s="333"/>
    </row>
    <row r="792" spans="1:22">
      <c r="A792" s="333"/>
      <c r="B792" s="333"/>
      <c r="C792" s="333"/>
      <c r="D792" s="333"/>
      <c r="E792" s="333"/>
      <c r="F792" s="333"/>
      <c r="G792" s="333"/>
      <c r="H792" s="333"/>
      <c r="I792" s="333"/>
      <c r="J792" s="333"/>
      <c r="K792" s="333"/>
      <c r="L792" s="333"/>
      <c r="M792" s="333"/>
      <c r="N792" s="333"/>
      <c r="O792" s="333"/>
      <c r="P792" s="333"/>
      <c r="Q792" s="333"/>
      <c r="R792" s="333"/>
      <c r="S792" s="333"/>
      <c r="T792" s="333"/>
      <c r="U792" s="333"/>
      <c r="V792" s="333"/>
    </row>
    <row r="793" spans="1:22">
      <c r="A793" s="333"/>
      <c r="B793" s="333"/>
      <c r="C793" s="333"/>
      <c r="D793" s="333"/>
      <c r="E793" s="333"/>
      <c r="F793" s="333"/>
      <c r="G793" s="333"/>
      <c r="H793" s="333"/>
      <c r="I793" s="333"/>
      <c r="J793" s="333"/>
      <c r="K793" s="333"/>
      <c r="L793" s="333"/>
      <c r="M793" s="333"/>
      <c r="N793" s="333"/>
      <c r="O793" s="333"/>
      <c r="P793" s="333"/>
      <c r="Q793" s="333"/>
      <c r="R793" s="333"/>
      <c r="S793" s="333"/>
      <c r="T793" s="333"/>
      <c r="U793" s="333"/>
      <c r="V793" s="333"/>
    </row>
    <row r="794" spans="1:22">
      <c r="A794" s="333"/>
      <c r="B794" s="333"/>
      <c r="C794" s="333"/>
      <c r="D794" s="333"/>
      <c r="E794" s="333"/>
      <c r="F794" s="333"/>
      <c r="G794" s="333"/>
      <c r="H794" s="333"/>
      <c r="I794" s="333"/>
      <c r="J794" s="333"/>
      <c r="K794" s="333"/>
      <c r="L794" s="333"/>
      <c r="M794" s="333"/>
      <c r="N794" s="333"/>
      <c r="O794" s="333"/>
      <c r="P794" s="333"/>
      <c r="Q794" s="333"/>
      <c r="R794" s="333"/>
      <c r="S794" s="333"/>
      <c r="T794" s="333"/>
      <c r="U794" s="333"/>
      <c r="V794" s="333"/>
    </row>
    <row r="795" spans="1:22">
      <c r="A795" s="333"/>
      <c r="B795" s="333"/>
      <c r="C795" s="333"/>
      <c r="D795" s="333"/>
      <c r="E795" s="333"/>
      <c r="F795" s="333"/>
      <c r="G795" s="333"/>
      <c r="H795" s="333"/>
      <c r="I795" s="333"/>
      <c r="J795" s="333"/>
      <c r="K795" s="333"/>
      <c r="L795" s="333"/>
      <c r="M795" s="333"/>
      <c r="N795" s="333"/>
      <c r="O795" s="333"/>
      <c r="P795" s="333"/>
      <c r="Q795" s="333"/>
      <c r="R795" s="333"/>
      <c r="S795" s="333"/>
      <c r="T795" s="333"/>
      <c r="U795" s="333"/>
      <c r="V795" s="333"/>
    </row>
    <row r="796" spans="1:22">
      <c r="A796" s="333"/>
      <c r="B796" s="333"/>
      <c r="C796" s="333"/>
      <c r="D796" s="333"/>
      <c r="E796" s="333"/>
      <c r="F796" s="333"/>
      <c r="G796" s="333"/>
      <c r="H796" s="333"/>
      <c r="I796" s="333"/>
      <c r="J796" s="333"/>
      <c r="K796" s="333"/>
      <c r="L796" s="333"/>
      <c r="M796" s="333"/>
      <c r="N796" s="333"/>
      <c r="O796" s="333"/>
      <c r="P796" s="333"/>
      <c r="Q796" s="333"/>
      <c r="R796" s="333"/>
      <c r="S796" s="333"/>
      <c r="T796" s="333"/>
      <c r="U796" s="333"/>
      <c r="V796" s="333"/>
    </row>
    <row r="797" spans="1:22">
      <c r="A797" s="333"/>
      <c r="B797" s="333"/>
      <c r="C797" s="333"/>
      <c r="D797" s="333"/>
      <c r="E797" s="333"/>
      <c r="F797" s="333"/>
      <c r="G797" s="333"/>
      <c r="H797" s="333"/>
      <c r="I797" s="333"/>
      <c r="J797" s="333"/>
      <c r="K797" s="333"/>
      <c r="L797" s="333"/>
      <c r="M797" s="333"/>
      <c r="N797" s="333"/>
      <c r="O797" s="333"/>
      <c r="P797" s="333"/>
      <c r="Q797" s="333"/>
      <c r="R797" s="333"/>
      <c r="S797" s="333"/>
      <c r="T797" s="333"/>
      <c r="U797" s="333"/>
      <c r="V797" s="333"/>
    </row>
    <row r="798" spans="1:22">
      <c r="A798" s="333"/>
      <c r="B798" s="333"/>
      <c r="C798" s="333"/>
      <c r="D798" s="333"/>
      <c r="E798" s="333"/>
      <c r="F798" s="333"/>
      <c r="G798" s="333"/>
      <c r="H798" s="333"/>
      <c r="I798" s="333"/>
      <c r="J798" s="333"/>
      <c r="K798" s="333"/>
      <c r="L798" s="333"/>
      <c r="M798" s="333"/>
      <c r="N798" s="333"/>
      <c r="O798" s="333"/>
      <c r="P798" s="333"/>
      <c r="Q798" s="333"/>
      <c r="R798" s="333"/>
      <c r="S798" s="333"/>
      <c r="T798" s="333"/>
      <c r="U798" s="333"/>
      <c r="V798" s="333"/>
    </row>
    <row r="799" spans="1:22">
      <c r="A799" s="333"/>
      <c r="B799" s="333"/>
      <c r="C799" s="333"/>
      <c r="D799" s="333"/>
      <c r="E799" s="333"/>
      <c r="F799" s="333"/>
      <c r="G799" s="333"/>
      <c r="H799" s="333"/>
      <c r="I799" s="333"/>
      <c r="J799" s="333"/>
      <c r="K799" s="333"/>
      <c r="L799" s="333"/>
      <c r="M799" s="333"/>
      <c r="N799" s="333"/>
      <c r="O799" s="333"/>
      <c r="P799" s="333"/>
      <c r="Q799" s="333"/>
      <c r="R799" s="333"/>
      <c r="S799" s="333"/>
      <c r="T799" s="333"/>
      <c r="U799" s="333"/>
      <c r="V799" s="333"/>
    </row>
    <row r="800" spans="1:22">
      <c r="A800" s="333"/>
      <c r="B800" s="333"/>
      <c r="C800" s="333"/>
      <c r="D800" s="333"/>
      <c r="E800" s="333"/>
      <c r="F800" s="333"/>
      <c r="G800" s="333"/>
      <c r="H800" s="333"/>
      <c r="I800" s="333"/>
      <c r="J800" s="333"/>
      <c r="K800" s="333"/>
      <c r="L800" s="333"/>
      <c r="M800" s="333"/>
      <c r="N800" s="333"/>
      <c r="O800" s="333"/>
      <c r="P800" s="333"/>
      <c r="Q800" s="333"/>
      <c r="R800" s="333"/>
      <c r="S800" s="333"/>
      <c r="T800" s="333"/>
      <c r="U800" s="333"/>
      <c r="V800" s="333"/>
    </row>
    <row r="801" spans="1:22">
      <c r="A801" s="333"/>
      <c r="B801" s="333"/>
      <c r="C801" s="333"/>
      <c r="D801" s="333"/>
      <c r="E801" s="333"/>
      <c r="F801" s="333"/>
      <c r="G801" s="333"/>
      <c r="H801" s="333"/>
      <c r="I801" s="333"/>
      <c r="J801" s="333"/>
      <c r="K801" s="333"/>
      <c r="L801" s="333"/>
      <c r="M801" s="333"/>
      <c r="N801" s="333"/>
      <c r="O801" s="333"/>
      <c r="P801" s="333"/>
      <c r="Q801" s="333"/>
      <c r="R801" s="333"/>
      <c r="S801" s="333"/>
      <c r="T801" s="333"/>
      <c r="U801" s="333"/>
      <c r="V801" s="333"/>
    </row>
    <row r="802" spans="1:22">
      <c r="A802" s="333"/>
      <c r="B802" s="333"/>
      <c r="C802" s="333"/>
      <c r="D802" s="333"/>
      <c r="E802" s="333"/>
      <c r="F802" s="333"/>
      <c r="G802" s="333"/>
      <c r="H802" s="333"/>
      <c r="I802" s="333"/>
      <c r="J802" s="333"/>
      <c r="K802" s="333"/>
      <c r="L802" s="333"/>
      <c r="M802" s="333"/>
      <c r="N802" s="333"/>
      <c r="O802" s="333"/>
      <c r="P802" s="333"/>
      <c r="Q802" s="333"/>
      <c r="R802" s="333"/>
      <c r="S802" s="333"/>
      <c r="T802" s="333"/>
      <c r="U802" s="333"/>
      <c r="V802" s="333"/>
    </row>
    <row r="803" spans="1:22">
      <c r="A803" s="333"/>
      <c r="B803" s="333"/>
      <c r="C803" s="333"/>
      <c r="D803" s="333"/>
      <c r="E803" s="333"/>
      <c r="F803" s="333"/>
      <c r="G803" s="333"/>
      <c r="H803" s="333"/>
      <c r="I803" s="333"/>
      <c r="J803" s="333"/>
      <c r="K803" s="333"/>
      <c r="L803" s="333"/>
      <c r="M803" s="333"/>
      <c r="N803" s="333"/>
      <c r="O803" s="333"/>
      <c r="P803" s="333"/>
      <c r="Q803" s="333"/>
      <c r="R803" s="333"/>
      <c r="S803" s="333"/>
      <c r="T803" s="333"/>
      <c r="U803" s="333"/>
      <c r="V803" s="333"/>
    </row>
    <row r="804" spans="1:22">
      <c r="A804" s="333"/>
      <c r="B804" s="333"/>
      <c r="C804" s="333"/>
      <c r="D804" s="333"/>
      <c r="E804" s="333"/>
      <c r="F804" s="333"/>
      <c r="G804" s="333"/>
      <c r="H804" s="333"/>
      <c r="I804" s="333"/>
      <c r="J804" s="333"/>
      <c r="K804" s="333"/>
      <c r="L804" s="333"/>
      <c r="M804" s="333"/>
      <c r="N804" s="333"/>
      <c r="O804" s="333"/>
      <c r="P804" s="333"/>
      <c r="Q804" s="333"/>
      <c r="R804" s="333"/>
      <c r="S804" s="333"/>
      <c r="T804" s="333"/>
      <c r="U804" s="333"/>
      <c r="V804" s="333"/>
    </row>
    <row r="805" spans="1:22">
      <c r="A805" s="333"/>
      <c r="B805" s="333"/>
      <c r="C805" s="333"/>
      <c r="D805" s="333"/>
      <c r="E805" s="333"/>
      <c r="F805" s="333"/>
      <c r="G805" s="333"/>
      <c r="H805" s="333"/>
      <c r="I805" s="333"/>
      <c r="J805" s="333"/>
      <c r="K805" s="333"/>
      <c r="L805" s="333"/>
      <c r="M805" s="333"/>
      <c r="N805" s="333"/>
      <c r="O805" s="333"/>
      <c r="P805" s="333"/>
      <c r="Q805" s="333"/>
      <c r="R805" s="333"/>
      <c r="S805" s="333"/>
      <c r="T805" s="333"/>
      <c r="U805" s="333"/>
      <c r="V805" s="333"/>
    </row>
    <row r="806" spans="1:22">
      <c r="A806" s="333"/>
      <c r="B806" s="333"/>
      <c r="C806" s="333"/>
      <c r="D806" s="333"/>
      <c r="E806" s="333"/>
      <c r="F806" s="333"/>
      <c r="G806" s="333"/>
      <c r="H806" s="333"/>
      <c r="I806" s="333"/>
      <c r="J806" s="333"/>
      <c r="K806" s="333"/>
      <c r="L806" s="333"/>
      <c r="M806" s="333"/>
      <c r="N806" s="333"/>
      <c r="O806" s="333"/>
      <c r="P806" s="333"/>
      <c r="Q806" s="333"/>
      <c r="R806" s="333"/>
      <c r="S806" s="333"/>
      <c r="T806" s="333"/>
      <c r="U806" s="333"/>
      <c r="V806" s="333"/>
    </row>
    <row r="807" spans="1:22">
      <c r="A807" s="333"/>
      <c r="B807" s="333"/>
      <c r="C807" s="333"/>
      <c r="D807" s="333"/>
      <c r="E807" s="333"/>
      <c r="F807" s="333"/>
      <c r="G807" s="333"/>
      <c r="H807" s="333"/>
      <c r="I807" s="333"/>
      <c r="J807" s="333"/>
      <c r="K807" s="333"/>
      <c r="L807" s="333"/>
      <c r="M807" s="333"/>
      <c r="N807" s="333"/>
      <c r="O807" s="333"/>
      <c r="P807" s="333"/>
      <c r="Q807" s="333"/>
      <c r="R807" s="333"/>
      <c r="S807" s="333"/>
      <c r="T807" s="333"/>
      <c r="U807" s="333"/>
      <c r="V807" s="333"/>
    </row>
    <row r="808" spans="1:22">
      <c r="A808" s="333"/>
      <c r="B808" s="333"/>
      <c r="C808" s="333"/>
      <c r="D808" s="333"/>
      <c r="E808" s="333"/>
      <c r="F808" s="333"/>
      <c r="G808" s="333"/>
      <c r="H808" s="333"/>
      <c r="I808" s="333"/>
      <c r="J808" s="333"/>
      <c r="K808" s="333"/>
      <c r="L808" s="333"/>
      <c r="M808" s="333"/>
      <c r="N808" s="333"/>
      <c r="O808" s="333"/>
      <c r="P808" s="333"/>
      <c r="Q808" s="333"/>
      <c r="R808" s="333"/>
      <c r="S808" s="333"/>
      <c r="T808" s="333"/>
      <c r="U808" s="333"/>
      <c r="V808" s="333"/>
    </row>
    <row r="809" spans="1:22">
      <c r="A809" s="333"/>
      <c r="B809" s="333"/>
      <c r="C809" s="333"/>
      <c r="D809" s="333"/>
      <c r="E809" s="333"/>
      <c r="F809" s="333"/>
      <c r="G809" s="333"/>
      <c r="H809" s="333"/>
      <c r="I809" s="333"/>
      <c r="J809" s="333"/>
      <c r="K809" s="333"/>
      <c r="L809" s="333"/>
      <c r="M809" s="333"/>
      <c r="N809" s="333"/>
      <c r="O809" s="333"/>
      <c r="P809" s="333"/>
      <c r="Q809" s="333"/>
      <c r="R809" s="333"/>
      <c r="S809" s="333"/>
      <c r="T809" s="333"/>
      <c r="U809" s="333"/>
      <c r="V809" s="333"/>
    </row>
    <row r="810" spans="1:22">
      <c r="A810" s="333"/>
      <c r="B810" s="333"/>
      <c r="C810" s="333"/>
      <c r="D810" s="333"/>
      <c r="E810" s="333"/>
      <c r="F810" s="333"/>
      <c r="G810" s="333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</row>
    <row r="811" spans="1:22">
      <c r="A811" s="333"/>
      <c r="B811" s="333"/>
      <c r="C811" s="333"/>
      <c r="D811" s="333"/>
      <c r="E811" s="333"/>
      <c r="F811" s="333"/>
      <c r="G811" s="333"/>
      <c r="H811" s="333"/>
      <c r="I811" s="333"/>
      <c r="J811" s="333"/>
      <c r="K811" s="333"/>
      <c r="L811" s="333"/>
      <c r="M811" s="333"/>
      <c r="N811" s="333"/>
      <c r="O811" s="333"/>
      <c r="P811" s="333"/>
      <c r="Q811" s="333"/>
      <c r="R811" s="333"/>
      <c r="S811" s="333"/>
      <c r="T811" s="333"/>
      <c r="U811" s="333"/>
      <c r="V811" s="333"/>
    </row>
    <row r="812" spans="1:22">
      <c r="A812" s="333"/>
      <c r="B812" s="333"/>
      <c r="C812" s="333"/>
      <c r="D812" s="333"/>
      <c r="E812" s="333"/>
      <c r="F812" s="333"/>
      <c r="G812" s="333"/>
      <c r="H812" s="333"/>
      <c r="I812" s="333"/>
      <c r="J812" s="333"/>
      <c r="K812" s="333"/>
      <c r="L812" s="333"/>
      <c r="M812" s="333"/>
      <c r="N812" s="333"/>
      <c r="O812" s="333"/>
      <c r="P812" s="333"/>
      <c r="Q812" s="333"/>
      <c r="R812" s="333"/>
      <c r="S812" s="333"/>
      <c r="T812" s="333"/>
      <c r="U812" s="333"/>
      <c r="V812" s="333"/>
    </row>
    <row r="813" spans="1:22">
      <c r="A813" s="333"/>
      <c r="B813" s="333"/>
      <c r="C813" s="333"/>
      <c r="D813" s="333"/>
      <c r="E813" s="333"/>
      <c r="F813" s="333"/>
      <c r="G813" s="333"/>
      <c r="H813" s="333"/>
      <c r="I813" s="333"/>
      <c r="J813" s="333"/>
      <c r="K813" s="333"/>
      <c r="L813" s="333"/>
      <c r="M813" s="333"/>
      <c r="N813" s="333"/>
      <c r="O813" s="333"/>
      <c r="P813" s="333"/>
      <c r="Q813" s="333"/>
      <c r="R813" s="333"/>
      <c r="S813" s="333"/>
      <c r="T813" s="333"/>
      <c r="U813" s="333"/>
      <c r="V813" s="333"/>
    </row>
    <row r="814" spans="1:22">
      <c r="A814" s="333"/>
      <c r="B814" s="333"/>
      <c r="C814" s="333"/>
      <c r="D814" s="333"/>
      <c r="E814" s="333"/>
      <c r="F814" s="333"/>
      <c r="G814" s="333"/>
      <c r="H814" s="333"/>
      <c r="I814" s="333"/>
      <c r="J814" s="333"/>
      <c r="K814" s="333"/>
      <c r="L814" s="333"/>
      <c r="M814" s="333"/>
      <c r="N814" s="333"/>
      <c r="O814" s="333"/>
      <c r="P814" s="333"/>
      <c r="Q814" s="333"/>
      <c r="R814" s="333"/>
      <c r="S814" s="333"/>
      <c r="T814" s="333"/>
      <c r="U814" s="333"/>
      <c r="V814" s="333"/>
    </row>
    <row r="815" spans="1:22">
      <c r="A815" s="333"/>
      <c r="B815" s="333"/>
      <c r="C815" s="333"/>
      <c r="D815" s="333"/>
      <c r="E815" s="333"/>
      <c r="F815" s="333"/>
      <c r="G815" s="333"/>
      <c r="H815" s="333"/>
      <c r="I815" s="333"/>
      <c r="J815" s="333"/>
      <c r="K815" s="333"/>
      <c r="L815" s="333"/>
      <c r="M815" s="333"/>
      <c r="N815" s="333"/>
      <c r="O815" s="333"/>
      <c r="P815" s="333"/>
      <c r="Q815" s="333"/>
      <c r="R815" s="333"/>
      <c r="S815" s="333"/>
      <c r="T815" s="333"/>
      <c r="U815" s="333"/>
      <c r="V815" s="333"/>
    </row>
    <row r="816" spans="1:22">
      <c r="A816" s="333"/>
      <c r="B816" s="333"/>
      <c r="C816" s="333"/>
      <c r="D816" s="333"/>
      <c r="E816" s="333"/>
      <c r="F816" s="333"/>
      <c r="G816" s="333"/>
      <c r="H816" s="333"/>
      <c r="I816" s="333"/>
      <c r="J816" s="333"/>
      <c r="K816" s="333"/>
      <c r="L816" s="333"/>
      <c r="M816" s="333"/>
      <c r="N816" s="333"/>
      <c r="O816" s="333"/>
      <c r="P816" s="333"/>
      <c r="Q816" s="333"/>
      <c r="R816" s="333"/>
      <c r="S816" s="333"/>
      <c r="T816" s="333"/>
      <c r="U816" s="333"/>
      <c r="V816" s="333"/>
    </row>
    <row r="817" spans="1:22">
      <c r="A817" s="333"/>
      <c r="B817" s="333"/>
      <c r="C817" s="333"/>
      <c r="D817" s="333"/>
      <c r="E817" s="333"/>
      <c r="F817" s="333"/>
      <c r="G817" s="333"/>
      <c r="H817" s="333"/>
      <c r="I817" s="333"/>
      <c r="J817" s="333"/>
      <c r="K817" s="333"/>
      <c r="L817" s="333"/>
      <c r="M817" s="333"/>
      <c r="N817" s="333"/>
      <c r="O817" s="333"/>
      <c r="P817" s="333"/>
      <c r="Q817" s="333"/>
      <c r="R817" s="333"/>
      <c r="S817" s="333"/>
      <c r="T817" s="333"/>
      <c r="U817" s="333"/>
      <c r="V817" s="333"/>
    </row>
    <row r="818" spans="1:22">
      <c r="A818" s="333"/>
      <c r="B818" s="333"/>
      <c r="C818" s="333"/>
      <c r="D818" s="333"/>
      <c r="E818" s="333"/>
      <c r="F818" s="333"/>
      <c r="G818" s="333"/>
      <c r="H818" s="333"/>
      <c r="I818" s="333"/>
      <c r="J818" s="333"/>
      <c r="K818" s="333"/>
      <c r="L818" s="333"/>
      <c r="M818" s="333"/>
      <c r="N818" s="333"/>
      <c r="O818" s="333"/>
      <c r="P818" s="333"/>
      <c r="Q818" s="333"/>
      <c r="R818" s="333"/>
      <c r="S818" s="333"/>
      <c r="T818" s="333"/>
      <c r="U818" s="333"/>
      <c r="V818" s="333"/>
    </row>
    <row r="819" spans="1:22">
      <c r="A819" s="333"/>
      <c r="B819" s="333"/>
      <c r="C819" s="333"/>
      <c r="D819" s="333"/>
      <c r="E819" s="333"/>
      <c r="F819" s="333"/>
      <c r="G819" s="333"/>
      <c r="H819" s="333"/>
      <c r="I819" s="333"/>
      <c r="J819" s="333"/>
      <c r="K819" s="333"/>
      <c r="L819" s="333"/>
      <c r="M819" s="333"/>
      <c r="N819" s="333"/>
      <c r="O819" s="333"/>
      <c r="P819" s="333"/>
      <c r="Q819" s="333"/>
      <c r="R819" s="333"/>
      <c r="S819" s="333"/>
      <c r="T819" s="333"/>
      <c r="U819" s="333"/>
      <c r="V819" s="333"/>
    </row>
    <row r="820" spans="1:22">
      <c r="A820" s="333"/>
      <c r="B820" s="333"/>
      <c r="C820" s="333"/>
      <c r="D820" s="333"/>
      <c r="E820" s="333"/>
      <c r="F820" s="333"/>
      <c r="G820" s="333"/>
      <c r="H820" s="333"/>
      <c r="I820" s="333"/>
      <c r="J820" s="333"/>
      <c r="K820" s="333"/>
      <c r="L820" s="333"/>
      <c r="M820" s="333"/>
      <c r="N820" s="333"/>
      <c r="O820" s="333"/>
      <c r="P820" s="333"/>
      <c r="Q820" s="333"/>
      <c r="R820" s="333"/>
      <c r="S820" s="333"/>
      <c r="T820" s="333"/>
      <c r="U820" s="333"/>
      <c r="V820" s="333"/>
    </row>
    <row r="821" spans="1:22">
      <c r="A821" s="333"/>
      <c r="B821" s="333"/>
      <c r="C821" s="333"/>
      <c r="D821" s="333"/>
      <c r="E821" s="333"/>
      <c r="F821" s="333"/>
      <c r="G821" s="333"/>
      <c r="H821" s="333"/>
      <c r="I821" s="333"/>
      <c r="J821" s="333"/>
      <c r="K821" s="333"/>
      <c r="L821" s="333"/>
      <c r="M821" s="333"/>
      <c r="N821" s="333"/>
      <c r="O821" s="333"/>
      <c r="P821" s="333"/>
      <c r="Q821" s="333"/>
      <c r="R821" s="333"/>
      <c r="S821" s="333"/>
      <c r="T821" s="333"/>
      <c r="U821" s="333"/>
      <c r="V821" s="333"/>
    </row>
    <row r="822" spans="1:22">
      <c r="A822" s="333"/>
      <c r="B822" s="333"/>
      <c r="C822" s="333"/>
      <c r="D822" s="333"/>
      <c r="E822" s="333"/>
      <c r="F822" s="333"/>
      <c r="G822" s="333"/>
      <c r="H822" s="333"/>
      <c r="I822" s="333"/>
      <c r="J822" s="333"/>
      <c r="K822" s="333"/>
      <c r="L822" s="333"/>
      <c r="M822" s="333"/>
      <c r="N822" s="333"/>
      <c r="O822" s="333"/>
      <c r="P822" s="333"/>
      <c r="Q822" s="333"/>
      <c r="R822" s="333"/>
      <c r="S822" s="333"/>
      <c r="T822" s="333"/>
      <c r="U822" s="333"/>
      <c r="V822" s="333"/>
    </row>
    <row r="823" spans="1:22">
      <c r="A823" s="333"/>
      <c r="B823" s="333"/>
      <c r="C823" s="333"/>
      <c r="D823" s="333"/>
      <c r="E823" s="333"/>
      <c r="F823" s="333"/>
      <c r="G823" s="333"/>
      <c r="H823" s="333"/>
      <c r="I823" s="333"/>
      <c r="J823" s="333"/>
      <c r="K823" s="333"/>
      <c r="L823" s="333"/>
      <c r="M823" s="333"/>
      <c r="N823" s="333"/>
      <c r="O823" s="333"/>
      <c r="P823" s="333"/>
      <c r="Q823" s="333"/>
      <c r="R823" s="333"/>
      <c r="S823" s="333"/>
      <c r="T823" s="333"/>
      <c r="U823" s="333"/>
      <c r="V823" s="333"/>
    </row>
    <row r="824" spans="1:22">
      <c r="A824" s="333"/>
      <c r="B824" s="333"/>
      <c r="C824" s="333"/>
      <c r="D824" s="333"/>
      <c r="E824" s="333"/>
      <c r="F824" s="333"/>
      <c r="G824" s="333"/>
      <c r="H824" s="333"/>
      <c r="I824" s="333"/>
      <c r="J824" s="333"/>
      <c r="K824" s="333"/>
      <c r="L824" s="333"/>
      <c r="M824" s="333"/>
      <c r="N824" s="333"/>
      <c r="O824" s="333"/>
      <c r="P824" s="333"/>
      <c r="Q824" s="333"/>
      <c r="R824" s="333"/>
      <c r="S824" s="333"/>
      <c r="T824" s="333"/>
      <c r="U824" s="333"/>
      <c r="V824" s="333"/>
    </row>
    <row r="825" spans="1:22">
      <c r="A825" s="333"/>
      <c r="B825" s="333"/>
      <c r="C825" s="333"/>
      <c r="D825" s="333"/>
      <c r="E825" s="333"/>
      <c r="F825" s="333"/>
      <c r="G825" s="333"/>
      <c r="H825" s="333"/>
      <c r="I825" s="333"/>
      <c r="J825" s="333"/>
      <c r="K825" s="333"/>
      <c r="L825" s="333"/>
      <c r="M825" s="333"/>
      <c r="N825" s="333"/>
      <c r="O825" s="333"/>
      <c r="P825" s="333"/>
      <c r="Q825" s="333"/>
      <c r="R825" s="333"/>
      <c r="S825" s="333"/>
      <c r="T825" s="333"/>
      <c r="U825" s="333"/>
      <c r="V825" s="333"/>
    </row>
    <row r="826" spans="1:22">
      <c r="A826" s="333"/>
      <c r="B826" s="333"/>
      <c r="C826" s="333"/>
      <c r="D826" s="333"/>
      <c r="E826" s="333"/>
      <c r="F826" s="333"/>
      <c r="G826" s="333"/>
      <c r="H826" s="333"/>
      <c r="I826" s="333"/>
      <c r="J826" s="333"/>
      <c r="K826" s="333"/>
      <c r="L826" s="333"/>
      <c r="M826" s="333"/>
      <c r="N826" s="333"/>
      <c r="O826" s="333"/>
      <c r="P826" s="333"/>
      <c r="Q826" s="333"/>
      <c r="R826" s="333"/>
      <c r="S826" s="333"/>
      <c r="T826" s="333"/>
      <c r="U826" s="333"/>
      <c r="V826" s="333"/>
    </row>
    <row r="827" spans="1:22">
      <c r="A827" s="333"/>
      <c r="B827" s="333"/>
      <c r="C827" s="333"/>
      <c r="D827" s="333"/>
      <c r="E827" s="333"/>
      <c r="F827" s="333"/>
      <c r="G827" s="333"/>
      <c r="H827" s="333"/>
      <c r="I827" s="333"/>
      <c r="J827" s="333"/>
      <c r="K827" s="333"/>
      <c r="L827" s="333"/>
      <c r="M827" s="333"/>
      <c r="N827" s="333"/>
      <c r="O827" s="333"/>
      <c r="P827" s="333"/>
      <c r="Q827" s="333"/>
      <c r="R827" s="333"/>
      <c r="S827" s="333"/>
      <c r="T827" s="333"/>
      <c r="U827" s="333"/>
      <c r="V827" s="333"/>
    </row>
    <row r="828" spans="1:22">
      <c r="A828" s="333"/>
      <c r="B828" s="333"/>
      <c r="C828" s="333"/>
      <c r="D828" s="333"/>
      <c r="E828" s="333"/>
      <c r="F828" s="333"/>
      <c r="G828" s="333"/>
      <c r="H828" s="333"/>
      <c r="I828" s="333"/>
      <c r="J828" s="333"/>
      <c r="K828" s="333"/>
      <c r="L828" s="333"/>
      <c r="M828" s="333"/>
      <c r="N828" s="333"/>
      <c r="O828" s="333"/>
      <c r="P828" s="333"/>
      <c r="Q828" s="333"/>
      <c r="R828" s="333"/>
      <c r="S828" s="333"/>
      <c r="T828" s="333"/>
      <c r="U828" s="333"/>
      <c r="V828" s="333"/>
    </row>
    <row r="829" spans="1:22">
      <c r="A829" s="333"/>
      <c r="B829" s="333"/>
      <c r="C829" s="333"/>
      <c r="D829" s="333"/>
      <c r="E829" s="333"/>
      <c r="F829" s="333"/>
      <c r="G829" s="333"/>
      <c r="H829" s="333"/>
      <c r="I829" s="333"/>
      <c r="J829" s="333"/>
      <c r="K829" s="333"/>
      <c r="L829" s="333"/>
      <c r="M829" s="333"/>
      <c r="N829" s="333"/>
      <c r="O829" s="333"/>
      <c r="P829" s="333"/>
      <c r="Q829" s="333"/>
      <c r="R829" s="333"/>
      <c r="S829" s="333"/>
      <c r="T829" s="333"/>
      <c r="U829" s="333"/>
      <c r="V829" s="333"/>
    </row>
    <row r="830" spans="1:22">
      <c r="A830" s="333"/>
      <c r="B830" s="333"/>
      <c r="C830" s="333"/>
      <c r="D830" s="333"/>
      <c r="E830" s="333"/>
      <c r="F830" s="333"/>
      <c r="G830" s="333"/>
      <c r="H830" s="333"/>
      <c r="I830" s="333"/>
      <c r="J830" s="333"/>
      <c r="K830" s="333"/>
      <c r="L830" s="333"/>
      <c r="M830" s="333"/>
      <c r="N830" s="333"/>
      <c r="O830" s="333"/>
      <c r="P830" s="333"/>
      <c r="Q830" s="333"/>
      <c r="R830" s="333"/>
      <c r="S830" s="333"/>
      <c r="T830" s="333"/>
      <c r="U830" s="333"/>
      <c r="V830" s="333"/>
    </row>
    <row r="831" spans="1:22">
      <c r="A831" s="333"/>
      <c r="B831" s="333"/>
      <c r="C831" s="333"/>
      <c r="D831" s="333"/>
      <c r="E831" s="333"/>
      <c r="F831" s="333"/>
      <c r="G831" s="333"/>
      <c r="H831" s="333"/>
      <c r="I831" s="333"/>
      <c r="J831" s="333"/>
      <c r="K831" s="333"/>
      <c r="L831" s="333"/>
      <c r="M831" s="333"/>
      <c r="N831" s="333"/>
      <c r="O831" s="333"/>
      <c r="P831" s="333"/>
      <c r="Q831" s="333"/>
      <c r="R831" s="333"/>
      <c r="S831" s="333"/>
      <c r="T831" s="333"/>
      <c r="U831" s="333"/>
      <c r="V831" s="333"/>
    </row>
    <row r="832" spans="1:22">
      <c r="A832" s="333"/>
      <c r="B832" s="333"/>
      <c r="C832" s="333"/>
      <c r="D832" s="333"/>
      <c r="E832" s="333"/>
      <c r="F832" s="333"/>
      <c r="G832" s="333"/>
      <c r="H832" s="333"/>
      <c r="I832" s="333"/>
      <c r="J832" s="333"/>
      <c r="K832" s="333"/>
      <c r="L832" s="333"/>
      <c r="M832" s="333"/>
      <c r="N832" s="333"/>
      <c r="O832" s="333"/>
      <c r="P832" s="333"/>
      <c r="Q832" s="333"/>
      <c r="R832" s="333"/>
      <c r="S832" s="333"/>
      <c r="T832" s="333"/>
      <c r="U832" s="333"/>
      <c r="V832" s="333"/>
    </row>
    <row r="833" spans="1:22">
      <c r="A833" s="333"/>
      <c r="B833" s="333"/>
      <c r="C833" s="333"/>
      <c r="D833" s="333"/>
      <c r="E833" s="333"/>
      <c r="F833" s="333"/>
      <c r="G833" s="333"/>
      <c r="H833" s="333"/>
      <c r="I833" s="333"/>
      <c r="J833" s="333"/>
      <c r="K833" s="333"/>
      <c r="L833" s="333"/>
      <c r="M833" s="333"/>
      <c r="N833" s="333"/>
      <c r="O833" s="333"/>
      <c r="P833" s="333"/>
      <c r="Q833" s="333"/>
      <c r="R833" s="333"/>
      <c r="S833" s="333"/>
      <c r="T833" s="333"/>
      <c r="U833" s="333"/>
      <c r="V833" s="333"/>
    </row>
    <row r="834" spans="1:22">
      <c r="A834" s="333"/>
      <c r="B834" s="333"/>
      <c r="C834" s="333"/>
      <c r="D834" s="333"/>
      <c r="E834" s="333"/>
      <c r="F834" s="333"/>
      <c r="G834" s="333"/>
      <c r="H834" s="333"/>
      <c r="I834" s="333"/>
      <c r="J834" s="333"/>
      <c r="K834" s="333"/>
      <c r="L834" s="333"/>
      <c r="M834" s="333"/>
      <c r="N834" s="333"/>
      <c r="O834" s="333"/>
      <c r="P834" s="333"/>
      <c r="Q834" s="333"/>
      <c r="R834" s="333"/>
      <c r="S834" s="333"/>
      <c r="T834" s="333"/>
      <c r="U834" s="333"/>
      <c r="V834" s="333"/>
    </row>
    <row r="835" spans="1:22">
      <c r="A835" s="333"/>
      <c r="B835" s="333"/>
      <c r="C835" s="333"/>
      <c r="D835" s="333"/>
      <c r="E835" s="333"/>
      <c r="F835" s="333"/>
      <c r="G835" s="333"/>
      <c r="H835" s="333"/>
      <c r="I835" s="333"/>
      <c r="J835" s="333"/>
      <c r="K835" s="333"/>
      <c r="L835" s="333"/>
      <c r="M835" s="333"/>
      <c r="N835" s="333"/>
      <c r="O835" s="333"/>
      <c r="P835" s="333"/>
      <c r="Q835" s="333"/>
      <c r="R835" s="333"/>
      <c r="S835" s="333"/>
      <c r="T835" s="333"/>
      <c r="U835" s="333"/>
      <c r="V835" s="333"/>
    </row>
    <row r="836" spans="1:22">
      <c r="A836" s="333"/>
      <c r="B836" s="333"/>
      <c r="C836" s="333"/>
      <c r="D836" s="333"/>
      <c r="E836" s="333"/>
      <c r="F836" s="333"/>
      <c r="G836" s="333"/>
      <c r="H836" s="333"/>
      <c r="I836" s="333"/>
      <c r="J836" s="333"/>
      <c r="K836" s="333"/>
      <c r="L836" s="333"/>
      <c r="M836" s="333"/>
      <c r="N836" s="333"/>
      <c r="O836" s="333"/>
      <c r="P836" s="333"/>
      <c r="Q836" s="333"/>
      <c r="R836" s="333"/>
      <c r="S836" s="333"/>
      <c r="T836" s="333"/>
      <c r="U836" s="333"/>
      <c r="V836" s="333"/>
    </row>
    <row r="837" spans="1:22">
      <c r="A837" s="333"/>
      <c r="B837" s="333"/>
      <c r="C837" s="333"/>
      <c r="D837" s="333"/>
      <c r="E837" s="333"/>
      <c r="F837" s="333"/>
      <c r="G837" s="333"/>
      <c r="H837" s="333"/>
      <c r="I837" s="333"/>
      <c r="J837" s="333"/>
      <c r="K837" s="333"/>
      <c r="L837" s="333"/>
      <c r="M837" s="333"/>
      <c r="N837" s="333"/>
      <c r="O837" s="333"/>
      <c r="P837" s="333"/>
      <c r="Q837" s="333"/>
      <c r="R837" s="333"/>
      <c r="S837" s="333"/>
      <c r="T837" s="333"/>
      <c r="U837" s="333"/>
      <c r="V837" s="333"/>
    </row>
    <row r="838" spans="1:22">
      <c r="A838" s="333"/>
      <c r="B838" s="333"/>
      <c r="C838" s="333"/>
      <c r="D838" s="333"/>
      <c r="E838" s="333"/>
      <c r="F838" s="333"/>
      <c r="G838" s="333"/>
      <c r="H838" s="333"/>
      <c r="I838" s="333"/>
      <c r="J838" s="333"/>
      <c r="K838" s="333"/>
      <c r="L838" s="333"/>
      <c r="M838" s="333"/>
      <c r="N838" s="333"/>
      <c r="O838" s="333"/>
      <c r="P838" s="333"/>
      <c r="Q838" s="333"/>
      <c r="R838" s="333"/>
      <c r="S838" s="333"/>
      <c r="T838" s="333"/>
      <c r="U838" s="333"/>
      <c r="V838" s="333"/>
    </row>
    <row r="839" spans="1:22">
      <c r="A839" s="333"/>
      <c r="B839" s="333"/>
      <c r="C839" s="333"/>
      <c r="D839" s="333"/>
      <c r="E839" s="333"/>
      <c r="F839" s="333"/>
      <c r="G839" s="333"/>
      <c r="H839" s="333"/>
      <c r="I839" s="333"/>
      <c r="J839" s="333"/>
      <c r="K839" s="333"/>
      <c r="L839" s="333"/>
      <c r="M839" s="333"/>
      <c r="N839" s="333"/>
      <c r="O839" s="333"/>
      <c r="P839" s="333"/>
      <c r="Q839" s="333"/>
      <c r="R839" s="333"/>
      <c r="S839" s="333"/>
      <c r="T839" s="333"/>
      <c r="U839" s="333"/>
      <c r="V839" s="333"/>
    </row>
    <row r="840" spans="1:22">
      <c r="A840" s="333"/>
      <c r="B840" s="333"/>
      <c r="C840" s="333"/>
      <c r="D840" s="333"/>
      <c r="E840" s="333"/>
      <c r="F840" s="333"/>
      <c r="G840" s="333"/>
      <c r="H840" s="333"/>
      <c r="I840" s="333"/>
      <c r="J840" s="333"/>
      <c r="K840" s="333"/>
      <c r="L840" s="333"/>
      <c r="M840" s="333"/>
      <c r="N840" s="333"/>
      <c r="O840" s="333"/>
      <c r="P840" s="333"/>
      <c r="Q840" s="333"/>
      <c r="R840" s="333"/>
      <c r="S840" s="333"/>
      <c r="T840" s="333"/>
      <c r="U840" s="333"/>
      <c r="V840" s="333"/>
    </row>
    <row r="841" spans="1:22">
      <c r="A841" s="333"/>
      <c r="B841" s="333"/>
      <c r="C841" s="333"/>
      <c r="D841" s="333"/>
      <c r="E841" s="333"/>
      <c r="F841" s="333"/>
      <c r="G841" s="333"/>
      <c r="H841" s="333"/>
      <c r="I841" s="333"/>
      <c r="J841" s="333"/>
      <c r="K841" s="333"/>
      <c r="L841" s="333"/>
      <c r="M841" s="333"/>
      <c r="N841" s="333"/>
      <c r="O841" s="333"/>
      <c r="P841" s="333"/>
      <c r="Q841" s="333"/>
      <c r="R841" s="333"/>
      <c r="S841" s="333"/>
      <c r="T841" s="333"/>
      <c r="U841" s="333"/>
      <c r="V841" s="333"/>
    </row>
    <row r="842" spans="1:22">
      <c r="A842" s="333"/>
      <c r="B842" s="333"/>
      <c r="C842" s="333"/>
      <c r="D842" s="333"/>
      <c r="E842" s="333"/>
      <c r="F842" s="333"/>
      <c r="G842" s="333"/>
      <c r="H842" s="333"/>
      <c r="I842" s="333"/>
      <c r="J842" s="333"/>
      <c r="K842" s="333"/>
      <c r="L842" s="333"/>
      <c r="M842" s="333"/>
      <c r="N842" s="333"/>
      <c r="O842" s="333"/>
      <c r="P842" s="333"/>
      <c r="Q842" s="333"/>
      <c r="R842" s="333"/>
      <c r="S842" s="333"/>
      <c r="T842" s="333"/>
      <c r="U842" s="333"/>
      <c r="V842" s="333"/>
    </row>
    <row r="843" spans="1:22">
      <c r="A843" s="333"/>
      <c r="B843" s="333"/>
      <c r="C843" s="333"/>
      <c r="D843" s="333"/>
      <c r="E843" s="333"/>
      <c r="F843" s="333"/>
      <c r="G843" s="333"/>
      <c r="H843" s="333"/>
      <c r="I843" s="333"/>
      <c r="J843" s="333"/>
      <c r="K843" s="333"/>
      <c r="L843" s="333"/>
      <c r="M843" s="333"/>
      <c r="N843" s="333"/>
      <c r="O843" s="333"/>
      <c r="P843" s="333"/>
      <c r="Q843" s="333"/>
      <c r="R843" s="333"/>
      <c r="S843" s="333"/>
      <c r="T843" s="333"/>
      <c r="U843" s="333"/>
      <c r="V843" s="333"/>
    </row>
    <row r="844" spans="1:22">
      <c r="A844" s="333"/>
      <c r="B844" s="333"/>
      <c r="C844" s="333"/>
      <c r="D844" s="333"/>
      <c r="E844" s="333"/>
      <c r="F844" s="333"/>
      <c r="G844" s="333"/>
      <c r="H844" s="333"/>
      <c r="I844" s="333"/>
      <c r="J844" s="333"/>
      <c r="K844" s="333"/>
      <c r="L844" s="333"/>
      <c r="M844" s="333"/>
      <c r="N844" s="333"/>
      <c r="O844" s="333"/>
      <c r="P844" s="333"/>
      <c r="Q844" s="333"/>
      <c r="R844" s="333"/>
      <c r="S844" s="333"/>
      <c r="T844" s="333"/>
      <c r="U844" s="333"/>
      <c r="V844" s="333"/>
    </row>
    <row r="845" spans="1:22">
      <c r="A845" s="333"/>
      <c r="B845" s="333"/>
      <c r="C845" s="333"/>
      <c r="D845" s="333"/>
      <c r="E845" s="333"/>
      <c r="F845" s="333"/>
      <c r="G845" s="333"/>
      <c r="H845" s="333"/>
      <c r="I845" s="333"/>
      <c r="J845" s="333"/>
      <c r="K845" s="333"/>
      <c r="L845" s="333"/>
      <c r="M845" s="333"/>
      <c r="N845" s="333"/>
      <c r="O845" s="333"/>
      <c r="P845" s="333"/>
      <c r="Q845" s="333"/>
      <c r="R845" s="333"/>
      <c r="S845" s="333"/>
      <c r="T845" s="333"/>
      <c r="U845" s="333"/>
      <c r="V845" s="333"/>
    </row>
    <row r="846" spans="1:22">
      <c r="A846" s="333"/>
      <c r="B846" s="333"/>
      <c r="C846" s="333"/>
      <c r="D846" s="333"/>
      <c r="E846" s="333"/>
      <c r="F846" s="333"/>
      <c r="G846" s="333"/>
      <c r="H846" s="333"/>
      <c r="I846" s="333"/>
      <c r="J846" s="333"/>
      <c r="K846" s="333"/>
      <c r="L846" s="333"/>
      <c r="M846" s="333"/>
      <c r="N846" s="333"/>
      <c r="O846" s="333"/>
      <c r="P846" s="333"/>
      <c r="Q846" s="333"/>
      <c r="R846" s="333"/>
      <c r="S846" s="333"/>
      <c r="T846" s="333"/>
      <c r="U846" s="333"/>
      <c r="V846" s="333"/>
    </row>
    <row r="847" spans="1:22">
      <c r="A847" s="333"/>
      <c r="B847" s="333"/>
      <c r="C847" s="333"/>
      <c r="D847" s="333"/>
      <c r="E847" s="333"/>
      <c r="F847" s="333"/>
      <c r="G847" s="333"/>
      <c r="H847" s="333"/>
      <c r="I847" s="333"/>
      <c r="J847" s="333"/>
      <c r="K847" s="333"/>
      <c r="L847" s="333"/>
      <c r="M847" s="333"/>
      <c r="N847" s="333"/>
      <c r="O847" s="333"/>
      <c r="P847" s="333"/>
      <c r="Q847" s="333"/>
      <c r="R847" s="333"/>
      <c r="S847" s="333"/>
      <c r="T847" s="333"/>
      <c r="U847" s="333"/>
      <c r="V847" s="333"/>
    </row>
    <row r="848" spans="1:22">
      <c r="A848" s="333"/>
      <c r="B848" s="333"/>
      <c r="C848" s="333"/>
      <c r="D848" s="333"/>
      <c r="E848" s="333"/>
      <c r="F848" s="333"/>
      <c r="G848" s="333"/>
      <c r="H848" s="333"/>
      <c r="I848" s="333"/>
      <c r="J848" s="333"/>
      <c r="K848" s="333"/>
      <c r="L848" s="333"/>
      <c r="M848" s="333"/>
      <c r="N848" s="333"/>
      <c r="O848" s="333"/>
      <c r="P848" s="333"/>
      <c r="Q848" s="333"/>
      <c r="R848" s="333"/>
      <c r="S848" s="333"/>
      <c r="T848" s="333"/>
      <c r="U848" s="333"/>
      <c r="V848" s="333"/>
    </row>
    <row r="849" spans="1:22">
      <c r="A849" s="333"/>
      <c r="B849" s="333"/>
      <c r="C849" s="333"/>
      <c r="D849" s="333"/>
      <c r="E849" s="333"/>
      <c r="F849" s="333"/>
      <c r="G849" s="333"/>
      <c r="H849" s="333"/>
      <c r="I849" s="333"/>
      <c r="J849" s="333"/>
      <c r="K849" s="333"/>
      <c r="L849" s="333"/>
      <c r="M849" s="333"/>
      <c r="N849" s="333"/>
      <c r="O849" s="333"/>
      <c r="P849" s="333"/>
      <c r="Q849" s="333"/>
      <c r="R849" s="333"/>
      <c r="S849" s="333"/>
      <c r="T849" s="333"/>
      <c r="U849" s="333"/>
      <c r="V849" s="333"/>
    </row>
    <row r="850" spans="1:22">
      <c r="A850" s="333"/>
      <c r="B850" s="333"/>
      <c r="C850" s="333"/>
      <c r="D850" s="333"/>
      <c r="E850" s="333"/>
      <c r="F850" s="333"/>
      <c r="G850" s="333"/>
      <c r="H850" s="333"/>
      <c r="I850" s="333"/>
      <c r="J850" s="333"/>
      <c r="K850" s="333"/>
      <c r="L850" s="333"/>
      <c r="M850" s="333"/>
      <c r="N850" s="333"/>
      <c r="O850" s="333"/>
      <c r="P850" s="333"/>
      <c r="Q850" s="333"/>
      <c r="R850" s="333"/>
      <c r="S850" s="333"/>
      <c r="T850" s="333"/>
      <c r="U850" s="333"/>
      <c r="V850" s="333"/>
    </row>
    <row r="851" spans="1:22">
      <c r="A851" s="333"/>
      <c r="B851" s="333"/>
      <c r="C851" s="333"/>
      <c r="D851" s="333"/>
      <c r="E851" s="333"/>
      <c r="F851" s="333"/>
      <c r="G851" s="333"/>
      <c r="H851" s="333"/>
      <c r="I851" s="333"/>
      <c r="J851" s="333"/>
      <c r="K851" s="333"/>
      <c r="L851" s="333"/>
      <c r="M851" s="333"/>
      <c r="N851" s="333"/>
      <c r="O851" s="333"/>
      <c r="P851" s="333"/>
      <c r="Q851" s="333"/>
      <c r="R851" s="333"/>
      <c r="S851" s="333"/>
      <c r="T851" s="333"/>
      <c r="U851" s="333"/>
      <c r="V851" s="333"/>
    </row>
    <row r="852" spans="1:22">
      <c r="A852" s="333"/>
      <c r="B852" s="333"/>
      <c r="C852" s="333"/>
      <c r="D852" s="333"/>
      <c r="E852" s="333"/>
      <c r="F852" s="333"/>
      <c r="G852" s="333"/>
      <c r="H852" s="333"/>
      <c r="I852" s="333"/>
      <c r="J852" s="333"/>
      <c r="K852" s="333"/>
      <c r="L852" s="333"/>
      <c r="M852" s="333"/>
      <c r="N852" s="333"/>
      <c r="O852" s="333"/>
      <c r="P852" s="333"/>
      <c r="Q852" s="333"/>
      <c r="R852" s="333"/>
      <c r="S852" s="333"/>
      <c r="T852" s="333"/>
      <c r="U852" s="333"/>
      <c r="V852" s="333"/>
    </row>
    <row r="853" spans="1:22">
      <c r="A853" s="333"/>
      <c r="B853" s="333"/>
      <c r="C853" s="333"/>
      <c r="D853" s="333"/>
      <c r="E853" s="333"/>
      <c r="F853" s="333"/>
      <c r="G853" s="333"/>
      <c r="H853" s="333"/>
      <c r="I853" s="333"/>
      <c r="J853" s="333"/>
      <c r="K853" s="333"/>
      <c r="L853" s="333"/>
      <c r="M853" s="333"/>
      <c r="N853" s="333"/>
      <c r="O853" s="333"/>
      <c r="P853" s="333"/>
      <c r="Q853" s="333"/>
      <c r="R853" s="333"/>
      <c r="S853" s="333"/>
      <c r="T853" s="333"/>
      <c r="U853" s="333"/>
      <c r="V853" s="333"/>
    </row>
    <row r="854" spans="1:22">
      <c r="A854" s="333"/>
      <c r="B854" s="333"/>
      <c r="C854" s="333"/>
      <c r="D854" s="333"/>
      <c r="E854" s="333"/>
      <c r="F854" s="333"/>
      <c r="G854" s="333"/>
      <c r="H854" s="333"/>
      <c r="I854" s="333"/>
      <c r="J854" s="333"/>
      <c r="K854" s="333"/>
      <c r="L854" s="333"/>
      <c r="M854" s="333"/>
      <c r="N854" s="333"/>
      <c r="O854" s="333"/>
      <c r="P854" s="333"/>
      <c r="Q854" s="333"/>
      <c r="R854" s="333"/>
      <c r="S854" s="333"/>
      <c r="T854" s="333"/>
      <c r="U854" s="333"/>
      <c r="V854" s="333"/>
    </row>
    <row r="855" spans="1:22">
      <c r="A855" s="333"/>
      <c r="B855" s="333"/>
      <c r="C855" s="333"/>
      <c r="D855" s="333"/>
      <c r="E855" s="333"/>
      <c r="F855" s="333"/>
      <c r="G855" s="333"/>
      <c r="H855" s="333"/>
      <c r="I855" s="333"/>
      <c r="J855" s="333"/>
      <c r="K855" s="333"/>
      <c r="L855" s="333"/>
      <c r="M855" s="333"/>
      <c r="N855" s="333"/>
      <c r="O855" s="333"/>
      <c r="P855" s="333"/>
      <c r="Q855" s="333"/>
      <c r="R855" s="333"/>
      <c r="S855" s="333"/>
      <c r="T855" s="333"/>
      <c r="U855" s="333"/>
      <c r="V855" s="333"/>
    </row>
    <row r="856" spans="1:22">
      <c r="A856" s="333"/>
      <c r="B856" s="333"/>
      <c r="C856" s="333"/>
      <c r="D856" s="333"/>
      <c r="E856" s="333"/>
      <c r="F856" s="333"/>
      <c r="G856" s="333"/>
      <c r="H856" s="333"/>
      <c r="I856" s="333"/>
      <c r="J856" s="333"/>
      <c r="K856" s="333"/>
      <c r="L856" s="333"/>
      <c r="M856" s="333"/>
      <c r="N856" s="333"/>
      <c r="O856" s="333"/>
      <c r="P856" s="333"/>
      <c r="Q856" s="333"/>
      <c r="R856" s="333"/>
      <c r="S856" s="333"/>
      <c r="T856" s="333"/>
      <c r="U856" s="333"/>
      <c r="V856" s="333"/>
    </row>
    <row r="857" spans="1:22">
      <c r="A857" s="333"/>
      <c r="B857" s="333"/>
      <c r="C857" s="333"/>
      <c r="D857" s="333"/>
      <c r="E857" s="333"/>
      <c r="F857" s="333"/>
      <c r="G857" s="333"/>
      <c r="H857" s="333"/>
      <c r="I857" s="333"/>
      <c r="J857" s="333"/>
      <c r="K857" s="333"/>
      <c r="L857" s="333"/>
      <c r="M857" s="333"/>
      <c r="N857" s="333"/>
      <c r="O857" s="333"/>
      <c r="P857" s="333"/>
      <c r="Q857" s="333"/>
      <c r="R857" s="333"/>
      <c r="S857" s="333"/>
      <c r="T857" s="333"/>
      <c r="U857" s="333"/>
      <c r="V857" s="333"/>
    </row>
    <row r="858" spans="1:22">
      <c r="A858" s="333"/>
      <c r="B858" s="333"/>
      <c r="C858" s="333"/>
      <c r="D858" s="333"/>
      <c r="E858" s="333"/>
      <c r="F858" s="333"/>
      <c r="G858" s="333"/>
      <c r="H858" s="333"/>
      <c r="I858" s="333"/>
      <c r="J858" s="333"/>
      <c r="K858" s="333"/>
      <c r="L858" s="333"/>
      <c r="M858" s="333"/>
      <c r="N858" s="333"/>
      <c r="O858" s="333"/>
      <c r="P858" s="333"/>
      <c r="Q858" s="333"/>
      <c r="R858" s="333"/>
      <c r="S858" s="333"/>
      <c r="T858" s="333"/>
      <c r="U858" s="333"/>
      <c r="V858" s="333"/>
    </row>
    <row r="859" spans="1:22">
      <c r="A859" s="333"/>
      <c r="B859" s="333"/>
      <c r="C859" s="333"/>
      <c r="D859" s="333"/>
      <c r="E859" s="333"/>
      <c r="F859" s="333"/>
      <c r="G859" s="333"/>
      <c r="H859" s="333"/>
      <c r="I859" s="333"/>
      <c r="J859" s="333"/>
      <c r="K859" s="333"/>
      <c r="L859" s="333"/>
      <c r="M859" s="333"/>
      <c r="N859" s="333"/>
      <c r="O859" s="333"/>
      <c r="P859" s="333"/>
      <c r="Q859" s="333"/>
      <c r="R859" s="333"/>
      <c r="S859" s="333"/>
      <c r="T859" s="333"/>
      <c r="U859" s="333"/>
      <c r="V859" s="333"/>
    </row>
    <row r="860" spans="1:22">
      <c r="A860" s="333"/>
      <c r="B860" s="333"/>
      <c r="C860" s="333"/>
      <c r="D860" s="333"/>
      <c r="E860" s="333"/>
      <c r="F860" s="333"/>
      <c r="G860" s="333"/>
      <c r="H860" s="333"/>
      <c r="I860" s="333"/>
      <c r="J860" s="333"/>
      <c r="K860" s="333"/>
      <c r="L860" s="333"/>
      <c r="M860" s="333"/>
      <c r="N860" s="333"/>
      <c r="O860" s="333"/>
      <c r="P860" s="333"/>
      <c r="Q860" s="333"/>
      <c r="R860" s="333"/>
      <c r="S860" s="333"/>
      <c r="T860" s="333"/>
      <c r="U860" s="333"/>
      <c r="V860" s="333"/>
    </row>
    <row r="861" spans="1:22">
      <c r="A861" s="333"/>
      <c r="B861" s="333"/>
      <c r="C861" s="333"/>
      <c r="D861" s="333"/>
      <c r="E861" s="333"/>
      <c r="F861" s="333"/>
      <c r="G861" s="333"/>
      <c r="H861" s="333"/>
      <c r="I861" s="333"/>
      <c r="J861" s="333"/>
      <c r="K861" s="333"/>
      <c r="L861" s="333"/>
      <c r="M861" s="333"/>
      <c r="N861" s="333"/>
      <c r="O861" s="333"/>
      <c r="P861" s="333"/>
      <c r="Q861" s="333"/>
      <c r="R861" s="333"/>
      <c r="S861" s="333"/>
      <c r="T861" s="333"/>
      <c r="U861" s="333"/>
      <c r="V861" s="333"/>
    </row>
    <row r="862" spans="1:22">
      <c r="A862" s="333"/>
      <c r="B862" s="333"/>
      <c r="C862" s="333"/>
      <c r="D862" s="333"/>
      <c r="E862" s="333"/>
      <c r="F862" s="333"/>
      <c r="G862" s="333"/>
      <c r="H862" s="333"/>
      <c r="I862" s="333"/>
      <c r="J862" s="333"/>
      <c r="K862" s="333"/>
      <c r="L862" s="333"/>
      <c r="M862" s="333"/>
      <c r="N862" s="333"/>
      <c r="O862" s="333"/>
      <c r="P862" s="333"/>
      <c r="Q862" s="333"/>
      <c r="R862" s="333"/>
      <c r="S862" s="333"/>
      <c r="T862" s="333"/>
      <c r="U862" s="333"/>
      <c r="V862" s="333"/>
    </row>
    <row r="863" spans="1:22">
      <c r="A863" s="333"/>
      <c r="B863" s="333"/>
      <c r="C863" s="333"/>
      <c r="D863" s="333"/>
      <c r="E863" s="333"/>
      <c r="F863" s="333"/>
      <c r="G863" s="333"/>
      <c r="H863" s="333"/>
      <c r="I863" s="333"/>
      <c r="J863" s="333"/>
      <c r="K863" s="333"/>
      <c r="L863" s="333"/>
      <c r="M863" s="333"/>
      <c r="N863" s="333"/>
      <c r="O863" s="333"/>
      <c r="P863" s="333"/>
      <c r="Q863" s="333"/>
      <c r="R863" s="333"/>
      <c r="S863" s="333"/>
      <c r="T863" s="333"/>
      <c r="U863" s="333"/>
      <c r="V863" s="333"/>
    </row>
    <row r="864" spans="1:22">
      <c r="A864" s="333"/>
      <c r="B864" s="333"/>
      <c r="C864" s="333"/>
      <c r="D864" s="333"/>
      <c r="E864" s="333"/>
      <c r="F864" s="333"/>
      <c r="G864" s="333"/>
      <c r="H864" s="333"/>
      <c r="I864" s="333"/>
      <c r="J864" s="333"/>
      <c r="K864" s="333"/>
      <c r="L864" s="333"/>
      <c r="M864" s="333"/>
      <c r="N864" s="333"/>
      <c r="O864" s="333"/>
      <c r="P864" s="333"/>
      <c r="Q864" s="333"/>
      <c r="R864" s="333"/>
      <c r="S864" s="333"/>
      <c r="T864" s="333"/>
      <c r="U864" s="333"/>
      <c r="V864" s="333"/>
    </row>
    <row r="865" spans="1:22">
      <c r="A865" s="333"/>
      <c r="B865" s="333"/>
      <c r="C865" s="333"/>
      <c r="D865" s="333"/>
      <c r="E865" s="333"/>
      <c r="F865" s="333"/>
      <c r="G865" s="333"/>
      <c r="H865" s="333"/>
      <c r="I865" s="333"/>
      <c r="J865" s="333"/>
      <c r="K865" s="333"/>
      <c r="L865" s="333"/>
      <c r="M865" s="333"/>
      <c r="N865" s="333"/>
      <c r="O865" s="333"/>
      <c r="P865" s="333"/>
      <c r="Q865" s="333"/>
      <c r="R865" s="333"/>
      <c r="S865" s="333"/>
      <c r="T865" s="333"/>
      <c r="U865" s="333"/>
      <c r="V865" s="333"/>
    </row>
    <row r="866" spans="1:22">
      <c r="A866" s="333"/>
      <c r="B866" s="333"/>
      <c r="C866" s="333"/>
      <c r="D866" s="333"/>
      <c r="E866" s="333"/>
      <c r="F866" s="333"/>
      <c r="G866" s="333"/>
      <c r="H866" s="333"/>
      <c r="I866" s="333"/>
      <c r="J866" s="333"/>
      <c r="K866" s="333"/>
      <c r="L866" s="333"/>
      <c r="M866" s="333"/>
      <c r="N866" s="333"/>
      <c r="O866" s="333"/>
      <c r="P866" s="333"/>
      <c r="Q866" s="333"/>
      <c r="R866" s="333"/>
      <c r="S866" s="333"/>
      <c r="T866" s="333"/>
      <c r="U866" s="333"/>
      <c r="V866" s="333"/>
    </row>
    <row r="867" spans="1:22">
      <c r="A867" s="333"/>
      <c r="B867" s="333"/>
      <c r="C867" s="333"/>
      <c r="D867" s="333"/>
      <c r="E867" s="333"/>
      <c r="F867" s="333"/>
      <c r="G867" s="333"/>
      <c r="H867" s="333"/>
      <c r="I867" s="333"/>
      <c r="J867" s="333"/>
      <c r="K867" s="333"/>
      <c r="L867" s="333"/>
      <c r="M867" s="333"/>
      <c r="N867" s="333"/>
      <c r="O867" s="333"/>
      <c r="P867" s="333"/>
      <c r="Q867" s="333"/>
      <c r="R867" s="333"/>
      <c r="S867" s="333"/>
      <c r="T867" s="333"/>
      <c r="U867" s="333"/>
      <c r="V867" s="333"/>
    </row>
    <row r="868" spans="1:22">
      <c r="A868" s="333"/>
      <c r="B868" s="333"/>
      <c r="C868" s="333"/>
      <c r="D868" s="333"/>
      <c r="E868" s="333"/>
      <c r="F868" s="333"/>
      <c r="G868" s="333"/>
      <c r="H868" s="333"/>
      <c r="I868" s="333"/>
      <c r="J868" s="333"/>
      <c r="K868" s="333"/>
      <c r="L868" s="333"/>
      <c r="M868" s="333"/>
      <c r="N868" s="333"/>
      <c r="O868" s="333"/>
      <c r="P868" s="333"/>
      <c r="Q868" s="333"/>
      <c r="R868" s="333"/>
      <c r="S868" s="333"/>
      <c r="T868" s="333"/>
      <c r="U868" s="333"/>
      <c r="V868" s="333"/>
    </row>
    <row r="869" spans="1:22">
      <c r="A869" s="333"/>
      <c r="B869" s="333"/>
      <c r="C869" s="333"/>
      <c r="D869" s="333"/>
      <c r="E869" s="333"/>
      <c r="F869" s="333"/>
      <c r="G869" s="333"/>
      <c r="H869" s="333"/>
      <c r="I869" s="333"/>
      <c r="J869" s="333"/>
      <c r="K869" s="333"/>
      <c r="L869" s="333"/>
      <c r="M869" s="333"/>
      <c r="N869" s="333"/>
      <c r="O869" s="333"/>
      <c r="P869" s="333"/>
      <c r="Q869" s="333"/>
      <c r="R869" s="333"/>
      <c r="S869" s="333"/>
      <c r="T869" s="333"/>
      <c r="U869" s="333"/>
      <c r="V869" s="333"/>
    </row>
    <row r="870" spans="1:22">
      <c r="A870" s="333"/>
      <c r="B870" s="333"/>
      <c r="C870" s="333"/>
      <c r="D870" s="333"/>
      <c r="E870" s="333"/>
      <c r="F870" s="333"/>
      <c r="G870" s="333"/>
      <c r="H870" s="333"/>
      <c r="I870" s="333"/>
      <c r="J870" s="333"/>
      <c r="K870" s="333"/>
      <c r="L870" s="333"/>
      <c r="M870" s="333"/>
      <c r="N870" s="333"/>
      <c r="O870" s="333"/>
      <c r="P870" s="333"/>
      <c r="Q870" s="333"/>
      <c r="R870" s="333"/>
      <c r="S870" s="333"/>
      <c r="T870" s="333"/>
      <c r="U870" s="333"/>
      <c r="V870" s="333"/>
    </row>
    <row r="871" spans="1:22">
      <c r="A871" s="333"/>
      <c r="B871" s="333"/>
      <c r="C871" s="333"/>
      <c r="D871" s="333"/>
      <c r="E871" s="333"/>
      <c r="F871" s="333"/>
      <c r="G871" s="333"/>
      <c r="H871" s="333"/>
      <c r="I871" s="333"/>
      <c r="J871" s="333"/>
      <c r="K871" s="333"/>
      <c r="L871" s="333"/>
      <c r="M871" s="333"/>
      <c r="N871" s="333"/>
      <c r="O871" s="333"/>
      <c r="P871" s="333"/>
      <c r="Q871" s="333"/>
      <c r="R871" s="333"/>
      <c r="S871" s="333"/>
      <c r="T871" s="333"/>
      <c r="U871" s="333"/>
      <c r="V871" s="333"/>
    </row>
    <row r="872" spans="1:22">
      <c r="A872" s="333"/>
      <c r="B872" s="333"/>
      <c r="C872" s="333"/>
      <c r="D872" s="333"/>
      <c r="E872" s="333"/>
      <c r="F872" s="333"/>
      <c r="G872" s="333"/>
      <c r="H872" s="333"/>
      <c r="I872" s="333"/>
      <c r="J872" s="333"/>
      <c r="K872" s="333"/>
      <c r="L872" s="333"/>
      <c r="M872" s="333"/>
      <c r="N872" s="333"/>
      <c r="O872" s="333"/>
      <c r="P872" s="333"/>
      <c r="Q872" s="333"/>
      <c r="R872" s="333"/>
      <c r="S872" s="333"/>
      <c r="T872" s="333"/>
      <c r="U872" s="333"/>
      <c r="V872" s="333"/>
    </row>
    <row r="873" spans="1:22">
      <c r="A873" s="333"/>
      <c r="B873" s="333"/>
      <c r="C873" s="333"/>
      <c r="D873" s="333"/>
      <c r="E873" s="333"/>
      <c r="F873" s="333"/>
      <c r="G873" s="333"/>
      <c r="H873" s="333"/>
      <c r="I873" s="333"/>
      <c r="J873" s="333"/>
      <c r="K873" s="333"/>
      <c r="L873" s="333"/>
      <c r="M873" s="333"/>
      <c r="N873" s="333"/>
      <c r="O873" s="333"/>
      <c r="P873" s="333"/>
      <c r="Q873" s="333"/>
      <c r="R873" s="333"/>
      <c r="S873" s="333"/>
      <c r="T873" s="333"/>
      <c r="U873" s="333"/>
      <c r="V873" s="333"/>
    </row>
    <row r="874" spans="1:22">
      <c r="A874" s="333"/>
      <c r="B874" s="333"/>
      <c r="C874" s="333"/>
      <c r="D874" s="333"/>
      <c r="E874" s="333"/>
      <c r="F874" s="333"/>
      <c r="G874" s="333"/>
      <c r="H874" s="333"/>
      <c r="I874" s="333"/>
      <c r="J874" s="333"/>
      <c r="K874" s="333"/>
      <c r="L874" s="333"/>
      <c r="M874" s="333"/>
      <c r="N874" s="333"/>
      <c r="O874" s="333"/>
      <c r="P874" s="333"/>
      <c r="Q874" s="333"/>
      <c r="R874" s="333"/>
      <c r="S874" s="333"/>
      <c r="T874" s="333"/>
      <c r="U874" s="333"/>
      <c r="V874" s="333"/>
    </row>
    <row r="875" spans="1:22">
      <c r="A875" s="333"/>
      <c r="B875" s="333"/>
      <c r="C875" s="333"/>
      <c r="D875" s="333"/>
      <c r="E875" s="333"/>
      <c r="F875" s="333"/>
      <c r="G875" s="333"/>
      <c r="H875" s="333"/>
      <c r="I875" s="333"/>
      <c r="J875" s="333"/>
      <c r="K875" s="333"/>
      <c r="L875" s="333"/>
      <c r="M875" s="333"/>
      <c r="N875" s="333"/>
      <c r="O875" s="333"/>
      <c r="P875" s="333"/>
      <c r="Q875" s="333"/>
      <c r="R875" s="333"/>
      <c r="S875" s="333"/>
      <c r="T875" s="333"/>
      <c r="U875" s="333"/>
      <c r="V875" s="333"/>
    </row>
    <row r="876" spans="1:22">
      <c r="A876" s="333"/>
      <c r="B876" s="333"/>
      <c r="C876" s="333"/>
      <c r="D876" s="333"/>
      <c r="E876" s="333"/>
      <c r="F876" s="333"/>
      <c r="G876" s="333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</row>
    <row r="877" spans="1:22">
      <c r="A877" s="333"/>
      <c r="B877" s="333"/>
      <c r="C877" s="333"/>
      <c r="D877" s="333"/>
      <c r="E877" s="333"/>
      <c r="F877" s="333"/>
      <c r="G877" s="333"/>
      <c r="H877" s="333"/>
      <c r="I877" s="333"/>
      <c r="J877" s="333"/>
      <c r="K877" s="333"/>
      <c r="L877" s="333"/>
      <c r="M877" s="333"/>
      <c r="N877" s="333"/>
      <c r="O877" s="333"/>
      <c r="P877" s="333"/>
      <c r="Q877" s="333"/>
      <c r="R877" s="333"/>
      <c r="S877" s="333"/>
      <c r="T877" s="333"/>
      <c r="U877" s="333"/>
      <c r="V877" s="333"/>
    </row>
    <row r="878" spans="1:22">
      <c r="A878" s="333"/>
      <c r="B878" s="333"/>
      <c r="C878" s="333"/>
      <c r="D878" s="333"/>
      <c r="E878" s="333"/>
      <c r="F878" s="333"/>
      <c r="G878" s="333"/>
      <c r="H878" s="333"/>
      <c r="I878" s="333"/>
      <c r="J878" s="333"/>
      <c r="K878" s="333"/>
      <c r="L878" s="333"/>
      <c r="M878" s="333"/>
      <c r="N878" s="333"/>
      <c r="O878" s="333"/>
      <c r="P878" s="333"/>
      <c r="Q878" s="333"/>
      <c r="R878" s="333"/>
      <c r="S878" s="333"/>
      <c r="T878" s="333"/>
      <c r="U878" s="333"/>
      <c r="V878" s="333"/>
    </row>
    <row r="879" spans="1:22">
      <c r="A879" s="333"/>
      <c r="B879" s="333"/>
      <c r="C879" s="333"/>
      <c r="D879" s="333"/>
      <c r="E879" s="333"/>
      <c r="F879" s="333"/>
      <c r="G879" s="333"/>
      <c r="H879" s="333"/>
      <c r="I879" s="333"/>
      <c r="J879" s="333"/>
      <c r="K879" s="333"/>
      <c r="L879" s="333"/>
      <c r="M879" s="333"/>
      <c r="N879" s="333"/>
      <c r="O879" s="333"/>
      <c r="P879" s="333"/>
      <c r="Q879" s="333"/>
      <c r="R879" s="333"/>
      <c r="S879" s="333"/>
      <c r="T879" s="333"/>
      <c r="U879" s="333"/>
      <c r="V879" s="333"/>
    </row>
    <row r="880" spans="1:22">
      <c r="A880" s="333"/>
      <c r="B880" s="333"/>
      <c r="C880" s="333"/>
      <c r="D880" s="333"/>
      <c r="E880" s="333"/>
      <c r="F880" s="333"/>
      <c r="G880" s="333"/>
      <c r="H880" s="333"/>
      <c r="I880" s="333"/>
      <c r="J880" s="333"/>
      <c r="K880" s="333"/>
      <c r="L880" s="333"/>
      <c r="M880" s="333"/>
      <c r="N880" s="333"/>
      <c r="O880" s="333"/>
      <c r="P880" s="333"/>
      <c r="Q880" s="333"/>
      <c r="R880" s="333"/>
      <c r="S880" s="333"/>
      <c r="T880" s="333"/>
      <c r="U880" s="333"/>
      <c r="V880" s="333"/>
    </row>
    <row r="881" spans="1:22">
      <c r="A881" s="333"/>
      <c r="B881" s="333"/>
      <c r="C881" s="333"/>
      <c r="D881" s="333"/>
      <c r="E881" s="333"/>
      <c r="F881" s="333"/>
      <c r="G881" s="333"/>
      <c r="H881" s="333"/>
      <c r="I881" s="333"/>
      <c r="J881" s="333"/>
      <c r="K881" s="333"/>
      <c r="L881" s="333"/>
      <c r="M881" s="333"/>
      <c r="N881" s="333"/>
      <c r="O881" s="333"/>
      <c r="P881" s="333"/>
      <c r="Q881" s="333"/>
      <c r="R881" s="333"/>
      <c r="S881" s="333"/>
      <c r="T881" s="333"/>
      <c r="U881" s="333"/>
      <c r="V881" s="333"/>
    </row>
    <row r="882" spans="1:22">
      <c r="A882" s="333"/>
      <c r="B882" s="333"/>
      <c r="C882" s="333"/>
      <c r="D882" s="333"/>
      <c r="E882" s="333"/>
      <c r="F882" s="333"/>
      <c r="G882" s="333"/>
      <c r="H882" s="333"/>
      <c r="I882" s="333"/>
      <c r="J882" s="333"/>
      <c r="K882" s="333"/>
      <c r="L882" s="333"/>
      <c r="M882" s="333"/>
      <c r="N882" s="333"/>
      <c r="O882" s="333"/>
      <c r="P882" s="333"/>
      <c r="Q882" s="333"/>
      <c r="R882" s="333"/>
      <c r="S882" s="333"/>
      <c r="T882" s="333"/>
      <c r="U882" s="333"/>
      <c r="V882" s="333"/>
    </row>
    <row r="883" spans="1:22">
      <c r="A883" s="333"/>
      <c r="B883" s="333"/>
      <c r="C883" s="333"/>
      <c r="D883" s="333"/>
      <c r="E883" s="333"/>
      <c r="F883" s="333"/>
      <c r="G883" s="333"/>
      <c r="H883" s="333"/>
      <c r="I883" s="333"/>
      <c r="J883" s="333"/>
      <c r="K883" s="333"/>
      <c r="L883" s="333"/>
      <c r="M883" s="333"/>
      <c r="N883" s="333"/>
      <c r="O883" s="333"/>
      <c r="P883" s="333"/>
      <c r="Q883" s="333"/>
      <c r="R883" s="333"/>
      <c r="S883" s="333"/>
      <c r="T883" s="333"/>
      <c r="U883" s="333"/>
      <c r="V883" s="333"/>
    </row>
    <row r="884" spans="1:22">
      <c r="A884" s="333"/>
      <c r="B884" s="333"/>
      <c r="C884" s="333"/>
      <c r="D884" s="333"/>
      <c r="E884" s="333"/>
      <c r="F884" s="333"/>
      <c r="G884" s="333"/>
      <c r="H884" s="333"/>
      <c r="I884" s="333"/>
      <c r="J884" s="333"/>
      <c r="K884" s="333"/>
      <c r="L884" s="333"/>
      <c r="M884" s="333"/>
      <c r="N884" s="333"/>
      <c r="O884" s="333"/>
      <c r="P884" s="333"/>
      <c r="Q884" s="333"/>
      <c r="R884" s="333"/>
      <c r="S884" s="333"/>
      <c r="T884" s="333"/>
      <c r="U884" s="333"/>
      <c r="V884" s="333"/>
    </row>
    <row r="885" spans="1:22">
      <c r="A885" s="333"/>
      <c r="B885" s="333"/>
      <c r="C885" s="333"/>
      <c r="D885" s="333"/>
      <c r="E885" s="333"/>
      <c r="F885" s="333"/>
      <c r="G885" s="333"/>
      <c r="H885" s="333"/>
      <c r="I885" s="333"/>
      <c r="J885" s="333"/>
      <c r="K885" s="333"/>
      <c r="L885" s="333"/>
      <c r="M885" s="333"/>
      <c r="N885" s="333"/>
      <c r="O885" s="333"/>
      <c r="P885" s="333"/>
      <c r="Q885" s="333"/>
      <c r="R885" s="333"/>
      <c r="S885" s="333"/>
      <c r="T885" s="333"/>
      <c r="U885" s="333"/>
      <c r="V885" s="333"/>
    </row>
    <row r="886" spans="1:22">
      <c r="A886" s="333"/>
      <c r="B886" s="333"/>
      <c r="C886" s="333"/>
      <c r="D886" s="333"/>
      <c r="E886" s="333"/>
      <c r="F886" s="333"/>
      <c r="G886" s="333"/>
      <c r="H886" s="333"/>
      <c r="I886" s="333"/>
      <c r="J886" s="333"/>
      <c r="K886" s="333"/>
      <c r="L886" s="333"/>
      <c r="M886" s="333"/>
      <c r="N886" s="333"/>
      <c r="O886" s="333"/>
      <c r="P886" s="333"/>
      <c r="Q886" s="333"/>
      <c r="R886" s="333"/>
      <c r="S886" s="333"/>
      <c r="T886" s="333"/>
      <c r="U886" s="333"/>
      <c r="V886" s="333"/>
    </row>
    <row r="887" spans="1:22">
      <c r="A887" s="333"/>
      <c r="B887" s="333"/>
      <c r="C887" s="333"/>
      <c r="D887" s="333"/>
      <c r="E887" s="333"/>
      <c r="F887" s="333"/>
      <c r="G887" s="333"/>
      <c r="H887" s="333"/>
      <c r="I887" s="333"/>
      <c r="J887" s="333"/>
      <c r="K887" s="333"/>
      <c r="L887" s="333"/>
      <c r="M887" s="333"/>
      <c r="N887" s="333"/>
      <c r="O887" s="333"/>
      <c r="P887" s="333"/>
      <c r="Q887" s="333"/>
      <c r="R887" s="333"/>
      <c r="S887" s="333"/>
      <c r="T887" s="333"/>
      <c r="U887" s="333"/>
      <c r="V887" s="333"/>
    </row>
    <row r="888" spans="1:22">
      <c r="A888" s="333"/>
      <c r="B888" s="333"/>
      <c r="C888" s="333"/>
      <c r="D888" s="333"/>
      <c r="E888" s="333"/>
      <c r="F888" s="333"/>
      <c r="G888" s="333"/>
      <c r="H888" s="333"/>
      <c r="I888" s="333"/>
      <c r="J888" s="333"/>
      <c r="K888" s="333"/>
      <c r="L888" s="333"/>
      <c r="M888" s="333"/>
      <c r="N888" s="333"/>
      <c r="O888" s="333"/>
      <c r="P888" s="333"/>
      <c r="Q888" s="333"/>
      <c r="R888" s="333"/>
      <c r="S888" s="333"/>
      <c r="T888" s="333"/>
      <c r="U888" s="333"/>
      <c r="V888" s="333"/>
    </row>
    <row r="889" spans="1:22">
      <c r="A889" s="333"/>
      <c r="B889" s="333"/>
      <c r="C889" s="333"/>
      <c r="D889" s="333"/>
      <c r="E889" s="333"/>
      <c r="F889" s="333"/>
      <c r="G889" s="333"/>
      <c r="H889" s="333"/>
      <c r="I889" s="333"/>
      <c r="J889" s="333"/>
      <c r="K889" s="333"/>
      <c r="L889" s="333"/>
      <c r="M889" s="333"/>
      <c r="N889" s="333"/>
      <c r="O889" s="333"/>
      <c r="P889" s="333"/>
      <c r="Q889" s="333"/>
      <c r="R889" s="333"/>
      <c r="S889" s="333"/>
      <c r="T889" s="333"/>
      <c r="U889" s="333"/>
      <c r="V889" s="333"/>
    </row>
    <row r="890" spans="1:22">
      <c r="A890" s="333"/>
      <c r="B890" s="333"/>
      <c r="C890" s="333"/>
      <c r="D890" s="333"/>
      <c r="E890" s="333"/>
      <c r="F890" s="333"/>
      <c r="G890" s="333"/>
      <c r="H890" s="333"/>
      <c r="I890" s="333"/>
      <c r="J890" s="333"/>
      <c r="K890" s="333"/>
      <c r="L890" s="333"/>
      <c r="M890" s="333"/>
      <c r="N890" s="333"/>
      <c r="O890" s="333"/>
      <c r="P890" s="333"/>
      <c r="Q890" s="333"/>
      <c r="R890" s="333"/>
      <c r="S890" s="333"/>
      <c r="T890" s="333"/>
      <c r="U890" s="333"/>
      <c r="V890" s="333"/>
    </row>
    <row r="891" spans="1:22">
      <c r="A891" s="333"/>
      <c r="B891" s="333"/>
      <c r="C891" s="333"/>
      <c r="D891" s="333"/>
      <c r="E891" s="333"/>
      <c r="F891" s="333"/>
      <c r="G891" s="333"/>
      <c r="H891" s="333"/>
      <c r="I891" s="333"/>
      <c r="J891" s="333"/>
      <c r="K891" s="333"/>
      <c r="L891" s="333"/>
      <c r="M891" s="333"/>
      <c r="N891" s="333"/>
      <c r="O891" s="333"/>
      <c r="P891" s="333"/>
      <c r="Q891" s="333"/>
      <c r="R891" s="333"/>
      <c r="S891" s="333"/>
      <c r="T891" s="333"/>
      <c r="U891" s="333"/>
      <c r="V891" s="333"/>
    </row>
    <row r="892" spans="1:22">
      <c r="A892" s="333"/>
      <c r="B892" s="333"/>
      <c r="C892" s="333"/>
      <c r="D892" s="333"/>
      <c r="E892" s="333"/>
      <c r="F892" s="333"/>
      <c r="G892" s="333"/>
      <c r="H892" s="333"/>
      <c r="I892" s="333"/>
      <c r="J892" s="333"/>
      <c r="K892" s="333"/>
      <c r="L892" s="333"/>
      <c r="M892" s="333"/>
      <c r="N892" s="333"/>
      <c r="O892" s="333"/>
      <c r="P892" s="333"/>
      <c r="Q892" s="333"/>
      <c r="R892" s="333"/>
      <c r="S892" s="333"/>
      <c r="T892" s="333"/>
      <c r="U892" s="333"/>
      <c r="V892" s="333"/>
    </row>
    <row r="893" spans="1:22">
      <c r="A893" s="333"/>
      <c r="B893" s="333"/>
      <c r="C893" s="333"/>
      <c r="D893" s="333"/>
      <c r="E893" s="333"/>
      <c r="F893" s="333"/>
      <c r="G893" s="333"/>
      <c r="H893" s="333"/>
      <c r="I893" s="333"/>
      <c r="J893" s="333"/>
      <c r="K893" s="333"/>
      <c r="L893" s="333"/>
      <c r="M893" s="333"/>
      <c r="N893" s="333"/>
      <c r="O893" s="333"/>
      <c r="P893" s="333"/>
      <c r="Q893" s="333"/>
      <c r="R893" s="333"/>
      <c r="S893" s="333"/>
      <c r="T893" s="333"/>
      <c r="U893" s="333"/>
      <c r="V893" s="333"/>
    </row>
    <row r="894" spans="1:22">
      <c r="A894" s="333"/>
      <c r="B894" s="333"/>
      <c r="C894" s="333"/>
      <c r="D894" s="333"/>
      <c r="E894" s="333"/>
      <c r="F894" s="333"/>
      <c r="G894" s="333"/>
      <c r="H894" s="333"/>
      <c r="I894" s="333"/>
      <c r="J894" s="333"/>
      <c r="K894" s="333"/>
      <c r="L894" s="333"/>
      <c r="M894" s="333"/>
      <c r="N894" s="333"/>
      <c r="O894" s="333"/>
      <c r="P894" s="333"/>
      <c r="Q894" s="333"/>
      <c r="R894" s="333"/>
      <c r="S894" s="333"/>
      <c r="T894" s="333"/>
      <c r="U894" s="333"/>
      <c r="V894" s="333"/>
    </row>
    <row r="895" spans="1:22">
      <c r="A895" s="333"/>
      <c r="B895" s="333"/>
      <c r="C895" s="333"/>
      <c r="D895" s="333"/>
      <c r="E895" s="333"/>
      <c r="F895" s="333"/>
      <c r="G895" s="333"/>
      <c r="H895" s="333"/>
      <c r="I895" s="333"/>
      <c r="J895" s="333"/>
      <c r="K895" s="333"/>
      <c r="L895" s="333"/>
      <c r="M895" s="333"/>
      <c r="N895" s="333"/>
      <c r="O895" s="333"/>
      <c r="P895" s="333"/>
      <c r="Q895" s="333"/>
      <c r="R895" s="333"/>
      <c r="S895" s="333"/>
      <c r="T895" s="333"/>
      <c r="U895" s="333"/>
      <c r="V895" s="333"/>
    </row>
    <row r="896" spans="1:22">
      <c r="A896" s="333"/>
      <c r="B896" s="333"/>
      <c r="C896" s="333"/>
      <c r="D896" s="333"/>
      <c r="E896" s="333"/>
      <c r="F896" s="333"/>
      <c r="G896" s="333"/>
      <c r="H896" s="333"/>
      <c r="I896" s="333"/>
      <c r="J896" s="333"/>
      <c r="K896" s="333"/>
      <c r="L896" s="333"/>
      <c r="M896" s="333"/>
      <c r="N896" s="333"/>
      <c r="O896" s="333"/>
      <c r="P896" s="333"/>
      <c r="Q896" s="333"/>
      <c r="R896" s="333"/>
      <c r="S896" s="333"/>
      <c r="T896" s="333"/>
      <c r="U896" s="333"/>
      <c r="V896" s="333"/>
    </row>
    <row r="897" spans="1:22">
      <c r="A897" s="333"/>
      <c r="B897" s="333"/>
      <c r="C897" s="333"/>
      <c r="D897" s="333"/>
      <c r="E897" s="333"/>
      <c r="F897" s="333"/>
      <c r="G897" s="333"/>
      <c r="H897" s="333"/>
      <c r="I897" s="333"/>
      <c r="J897" s="333"/>
      <c r="K897" s="333"/>
      <c r="L897" s="333"/>
      <c r="M897" s="333"/>
      <c r="N897" s="333"/>
      <c r="O897" s="333"/>
      <c r="P897" s="333"/>
      <c r="Q897" s="333"/>
      <c r="R897" s="333"/>
      <c r="S897" s="333"/>
      <c r="T897" s="333"/>
      <c r="U897" s="333"/>
      <c r="V897" s="333"/>
    </row>
    <row r="898" spans="1:22">
      <c r="A898" s="333"/>
      <c r="B898" s="333"/>
      <c r="C898" s="333"/>
      <c r="D898" s="333"/>
      <c r="E898" s="333"/>
      <c r="F898" s="333"/>
      <c r="G898" s="333"/>
      <c r="H898" s="333"/>
      <c r="I898" s="333"/>
      <c r="J898" s="333"/>
      <c r="K898" s="333"/>
      <c r="L898" s="333"/>
      <c r="M898" s="333"/>
      <c r="N898" s="333"/>
      <c r="O898" s="333"/>
      <c r="P898" s="333"/>
      <c r="Q898" s="333"/>
      <c r="R898" s="333"/>
      <c r="S898" s="333"/>
      <c r="T898" s="333"/>
      <c r="U898" s="333"/>
      <c r="V898" s="333"/>
    </row>
    <row r="899" spans="1:22">
      <c r="A899" s="333"/>
      <c r="B899" s="333"/>
      <c r="C899" s="333"/>
      <c r="D899" s="333"/>
      <c r="E899" s="333"/>
      <c r="F899" s="333"/>
      <c r="G899" s="333"/>
      <c r="H899" s="333"/>
      <c r="I899" s="333"/>
      <c r="J899" s="333"/>
      <c r="K899" s="333"/>
      <c r="L899" s="333"/>
      <c r="M899" s="333"/>
      <c r="N899" s="333"/>
      <c r="O899" s="333"/>
      <c r="P899" s="333"/>
      <c r="Q899" s="333"/>
      <c r="R899" s="333"/>
      <c r="S899" s="333"/>
      <c r="T899" s="333"/>
      <c r="U899" s="333"/>
      <c r="V899" s="333"/>
    </row>
    <row r="900" spans="1:22">
      <c r="A900" s="333"/>
      <c r="B900" s="333"/>
      <c r="C900" s="333"/>
      <c r="D900" s="333"/>
      <c r="E900" s="333"/>
      <c r="F900" s="333"/>
      <c r="G900" s="333"/>
      <c r="H900" s="333"/>
      <c r="I900" s="333"/>
      <c r="J900" s="333"/>
      <c r="K900" s="333"/>
      <c r="L900" s="333"/>
      <c r="M900" s="333"/>
      <c r="N900" s="333"/>
      <c r="O900" s="333"/>
      <c r="P900" s="333"/>
      <c r="Q900" s="333"/>
      <c r="R900" s="333"/>
      <c r="S900" s="333"/>
      <c r="T900" s="333"/>
      <c r="U900" s="333"/>
      <c r="V900" s="333"/>
    </row>
    <row r="901" spans="1:22">
      <c r="A901" s="333"/>
      <c r="B901" s="333"/>
      <c r="C901" s="333"/>
      <c r="D901" s="333"/>
      <c r="E901" s="333"/>
      <c r="F901" s="333"/>
      <c r="G901" s="333"/>
      <c r="H901" s="333"/>
      <c r="I901" s="333"/>
      <c r="J901" s="333"/>
      <c r="K901" s="333"/>
      <c r="L901" s="333"/>
      <c r="M901" s="333"/>
      <c r="N901" s="333"/>
      <c r="O901" s="333"/>
      <c r="P901" s="333"/>
      <c r="Q901" s="333"/>
      <c r="R901" s="333"/>
      <c r="S901" s="333"/>
      <c r="T901" s="333"/>
      <c r="U901" s="333"/>
      <c r="V901" s="333"/>
    </row>
    <row r="902" spans="1:22">
      <c r="A902" s="333"/>
      <c r="B902" s="333"/>
      <c r="C902" s="333"/>
      <c r="D902" s="333"/>
      <c r="E902" s="333"/>
      <c r="F902" s="333"/>
      <c r="G902" s="333"/>
      <c r="H902" s="333"/>
      <c r="I902" s="333"/>
      <c r="J902" s="333"/>
      <c r="K902" s="333"/>
      <c r="L902" s="333"/>
      <c r="M902" s="333"/>
      <c r="N902" s="333"/>
      <c r="O902" s="333"/>
      <c r="P902" s="333"/>
      <c r="Q902" s="333"/>
      <c r="R902" s="333"/>
      <c r="S902" s="333"/>
      <c r="T902" s="333"/>
      <c r="U902" s="333"/>
      <c r="V902" s="333"/>
    </row>
    <row r="903" spans="1:22">
      <c r="A903" s="333"/>
      <c r="B903" s="333"/>
      <c r="C903" s="333"/>
      <c r="D903" s="333"/>
      <c r="E903" s="333"/>
      <c r="F903" s="333"/>
      <c r="G903" s="333"/>
      <c r="H903" s="333"/>
      <c r="I903" s="333"/>
      <c r="J903" s="333"/>
      <c r="K903" s="333"/>
      <c r="L903" s="333"/>
      <c r="M903" s="333"/>
      <c r="N903" s="333"/>
      <c r="O903" s="333"/>
      <c r="P903" s="333"/>
      <c r="Q903" s="333"/>
      <c r="R903" s="333"/>
      <c r="S903" s="333"/>
      <c r="T903" s="333"/>
      <c r="U903" s="333"/>
      <c r="V903" s="333"/>
    </row>
    <row r="904" spans="1:22">
      <c r="A904" s="333"/>
      <c r="B904" s="333"/>
      <c r="C904" s="333"/>
      <c r="D904" s="333"/>
      <c r="E904" s="333"/>
      <c r="F904" s="333"/>
      <c r="G904" s="333"/>
      <c r="H904" s="333"/>
      <c r="I904" s="333"/>
      <c r="J904" s="333"/>
      <c r="K904" s="333"/>
      <c r="L904" s="333"/>
      <c r="M904" s="333"/>
      <c r="N904" s="333"/>
      <c r="O904" s="333"/>
      <c r="P904" s="333"/>
      <c r="Q904" s="333"/>
      <c r="R904" s="333"/>
      <c r="S904" s="333"/>
      <c r="T904" s="333"/>
      <c r="U904" s="333"/>
      <c r="V904" s="333"/>
    </row>
    <row r="905" spans="1:22">
      <c r="A905" s="333"/>
      <c r="B905" s="333"/>
      <c r="C905" s="333"/>
      <c r="D905" s="333"/>
      <c r="E905" s="333"/>
      <c r="F905" s="333"/>
      <c r="G905" s="333"/>
      <c r="H905" s="333"/>
      <c r="I905" s="333"/>
      <c r="J905" s="333"/>
      <c r="K905" s="333"/>
      <c r="L905" s="333"/>
      <c r="M905" s="333"/>
      <c r="N905" s="333"/>
      <c r="O905" s="333"/>
      <c r="P905" s="333"/>
      <c r="Q905" s="333"/>
      <c r="R905" s="333"/>
      <c r="S905" s="333"/>
      <c r="T905" s="333"/>
      <c r="U905" s="333"/>
      <c r="V905" s="333"/>
    </row>
    <row r="906" spans="1:22">
      <c r="A906" s="333"/>
      <c r="B906" s="333"/>
      <c r="C906" s="333"/>
      <c r="D906" s="333"/>
      <c r="E906" s="333"/>
      <c r="F906" s="333"/>
      <c r="G906" s="333"/>
      <c r="H906" s="333"/>
      <c r="I906" s="333"/>
      <c r="J906" s="333"/>
      <c r="K906" s="333"/>
      <c r="L906" s="333"/>
      <c r="M906" s="333"/>
      <c r="N906" s="333"/>
      <c r="O906" s="333"/>
      <c r="P906" s="333"/>
      <c r="Q906" s="333"/>
      <c r="R906" s="333"/>
      <c r="S906" s="333"/>
      <c r="T906" s="333"/>
      <c r="U906" s="333"/>
      <c r="V906" s="333"/>
    </row>
    <row r="907" spans="1:22">
      <c r="A907" s="333"/>
      <c r="B907" s="333"/>
      <c r="C907" s="333"/>
      <c r="D907" s="333"/>
      <c r="E907" s="333"/>
      <c r="F907" s="333"/>
      <c r="G907" s="333"/>
      <c r="H907" s="333"/>
      <c r="I907" s="333"/>
      <c r="J907" s="333"/>
      <c r="K907" s="333"/>
      <c r="L907" s="333"/>
      <c r="M907" s="333"/>
      <c r="N907" s="333"/>
      <c r="O907" s="333"/>
      <c r="P907" s="333"/>
      <c r="Q907" s="333"/>
      <c r="R907" s="333"/>
      <c r="S907" s="333"/>
      <c r="T907" s="333"/>
      <c r="U907" s="333"/>
      <c r="V907" s="333"/>
    </row>
    <row r="908" spans="1:22">
      <c r="A908" s="333"/>
      <c r="B908" s="333"/>
      <c r="C908" s="333"/>
      <c r="D908" s="333"/>
      <c r="E908" s="333"/>
      <c r="F908" s="333"/>
      <c r="G908" s="333"/>
      <c r="H908" s="333"/>
      <c r="I908" s="333"/>
      <c r="J908" s="333"/>
      <c r="K908" s="333"/>
      <c r="L908" s="333"/>
      <c r="M908" s="333"/>
      <c r="N908" s="333"/>
      <c r="O908" s="333"/>
      <c r="P908" s="333"/>
      <c r="Q908" s="333"/>
      <c r="R908" s="333"/>
      <c r="S908" s="333"/>
      <c r="T908" s="333"/>
      <c r="U908" s="333"/>
      <c r="V908" s="333"/>
    </row>
    <row r="909" spans="1:22">
      <c r="A909" s="333"/>
      <c r="B909" s="333"/>
      <c r="C909" s="333"/>
      <c r="D909" s="333"/>
      <c r="E909" s="333"/>
      <c r="F909" s="333"/>
      <c r="G909" s="333"/>
      <c r="H909" s="333"/>
      <c r="I909" s="333"/>
      <c r="J909" s="333"/>
      <c r="K909" s="333"/>
      <c r="L909" s="333"/>
      <c r="M909" s="333"/>
      <c r="N909" s="333"/>
      <c r="O909" s="333"/>
      <c r="P909" s="333"/>
      <c r="Q909" s="333"/>
      <c r="R909" s="333"/>
      <c r="S909" s="333"/>
      <c r="T909" s="333"/>
      <c r="U909" s="333"/>
      <c r="V909" s="333"/>
    </row>
    <row r="910" spans="1:22">
      <c r="A910" s="333"/>
      <c r="B910" s="333"/>
      <c r="C910" s="333"/>
      <c r="D910" s="333"/>
      <c r="E910" s="333"/>
      <c r="F910" s="333"/>
      <c r="G910" s="333"/>
      <c r="H910" s="333"/>
      <c r="I910" s="333"/>
      <c r="J910" s="333"/>
      <c r="K910" s="333"/>
      <c r="L910" s="333"/>
      <c r="M910" s="333"/>
      <c r="N910" s="333"/>
      <c r="O910" s="333"/>
      <c r="P910" s="333"/>
      <c r="Q910" s="333"/>
      <c r="R910" s="333"/>
      <c r="S910" s="333"/>
      <c r="T910" s="333"/>
      <c r="U910" s="333"/>
      <c r="V910" s="333"/>
    </row>
    <row r="911" spans="1:22">
      <c r="A911" s="333"/>
      <c r="B911" s="333"/>
      <c r="C911" s="333"/>
      <c r="D911" s="333"/>
      <c r="E911" s="333"/>
      <c r="F911" s="333"/>
      <c r="G911" s="333"/>
      <c r="H911" s="333"/>
      <c r="I911" s="333"/>
      <c r="J911" s="333"/>
      <c r="K911" s="333"/>
      <c r="L911" s="333"/>
      <c r="M911" s="333"/>
      <c r="N911" s="333"/>
      <c r="O911" s="333"/>
      <c r="P911" s="333"/>
      <c r="Q911" s="333"/>
      <c r="R911" s="333"/>
      <c r="S911" s="333"/>
      <c r="T911" s="333"/>
      <c r="U911" s="333"/>
      <c r="V911" s="333"/>
    </row>
    <row r="912" spans="1:22">
      <c r="A912" s="333"/>
      <c r="B912" s="333"/>
      <c r="C912" s="333"/>
      <c r="D912" s="333"/>
      <c r="E912" s="333"/>
      <c r="F912" s="333"/>
      <c r="G912" s="333"/>
      <c r="H912" s="333"/>
      <c r="I912" s="333"/>
      <c r="J912" s="333"/>
      <c r="K912" s="333"/>
      <c r="L912" s="333"/>
      <c r="M912" s="333"/>
      <c r="N912" s="333"/>
      <c r="O912" s="333"/>
      <c r="P912" s="333"/>
      <c r="Q912" s="333"/>
      <c r="R912" s="333"/>
      <c r="S912" s="333"/>
      <c r="T912" s="333"/>
      <c r="U912" s="333"/>
      <c r="V912" s="333"/>
    </row>
    <row r="913" spans="1:22">
      <c r="A913" s="333"/>
      <c r="B913" s="333"/>
      <c r="C913" s="333"/>
      <c r="D913" s="333"/>
      <c r="E913" s="333"/>
      <c r="F913" s="333"/>
      <c r="G913" s="333"/>
      <c r="H913" s="333"/>
      <c r="I913" s="333"/>
      <c r="J913" s="333"/>
      <c r="K913" s="333"/>
      <c r="L913" s="333"/>
      <c r="M913" s="333"/>
      <c r="N913" s="333"/>
      <c r="O913" s="333"/>
      <c r="P913" s="333"/>
      <c r="Q913" s="333"/>
      <c r="R913" s="333"/>
      <c r="S913" s="333"/>
      <c r="T913" s="333"/>
      <c r="U913" s="333"/>
      <c r="V913" s="333"/>
    </row>
    <row r="914" spans="1:22">
      <c r="A914" s="333"/>
      <c r="B914" s="333"/>
      <c r="C914" s="333"/>
      <c r="D914" s="333"/>
      <c r="E914" s="333"/>
      <c r="F914" s="333"/>
      <c r="G914" s="333"/>
      <c r="H914" s="333"/>
      <c r="I914" s="333"/>
      <c r="J914" s="333"/>
      <c r="K914" s="333"/>
      <c r="L914" s="333"/>
      <c r="M914" s="333"/>
      <c r="N914" s="333"/>
      <c r="O914" s="333"/>
      <c r="P914" s="333"/>
      <c r="Q914" s="333"/>
      <c r="R914" s="333"/>
      <c r="S914" s="333"/>
      <c r="T914" s="333"/>
      <c r="U914" s="333"/>
      <c r="V914" s="333"/>
    </row>
    <row r="915" spans="1:22">
      <c r="A915" s="333"/>
      <c r="B915" s="333"/>
      <c r="C915" s="333"/>
      <c r="D915" s="333"/>
      <c r="E915" s="333"/>
      <c r="F915" s="333"/>
      <c r="G915" s="333"/>
      <c r="H915" s="333"/>
      <c r="I915" s="333"/>
      <c r="J915" s="333"/>
      <c r="K915" s="333"/>
      <c r="L915" s="333"/>
      <c r="M915" s="333"/>
      <c r="N915" s="333"/>
      <c r="O915" s="333"/>
      <c r="P915" s="333"/>
      <c r="Q915" s="333"/>
      <c r="R915" s="333"/>
      <c r="S915" s="333"/>
      <c r="T915" s="333"/>
      <c r="U915" s="333"/>
      <c r="V915" s="333"/>
    </row>
    <row r="916" spans="1:22">
      <c r="A916" s="333"/>
      <c r="B916" s="333"/>
      <c r="C916" s="333"/>
      <c r="D916" s="333"/>
      <c r="E916" s="333"/>
      <c r="F916" s="333"/>
      <c r="G916" s="333"/>
      <c r="H916" s="333"/>
      <c r="I916" s="333"/>
      <c r="J916" s="333"/>
      <c r="K916" s="333"/>
      <c r="L916" s="333"/>
      <c r="M916" s="333"/>
      <c r="N916" s="333"/>
      <c r="O916" s="333"/>
      <c r="P916" s="333"/>
      <c r="Q916" s="333"/>
      <c r="R916" s="333"/>
      <c r="S916" s="333"/>
      <c r="T916" s="333"/>
      <c r="U916" s="333"/>
      <c r="V916" s="333"/>
    </row>
    <row r="917" spans="1:22">
      <c r="A917" s="333"/>
      <c r="B917" s="333"/>
      <c r="C917" s="333"/>
      <c r="D917" s="333"/>
      <c r="E917" s="333"/>
      <c r="F917" s="333"/>
      <c r="G917" s="333"/>
      <c r="H917" s="333"/>
      <c r="I917" s="333"/>
      <c r="J917" s="333"/>
      <c r="K917" s="333"/>
      <c r="L917" s="333"/>
      <c r="M917" s="333"/>
      <c r="N917" s="333"/>
      <c r="O917" s="333"/>
      <c r="P917" s="333"/>
      <c r="Q917" s="333"/>
      <c r="R917" s="333"/>
      <c r="S917" s="333"/>
      <c r="T917" s="333"/>
      <c r="U917" s="333"/>
      <c r="V917" s="333"/>
    </row>
    <row r="918" spans="1:22">
      <c r="A918" s="333"/>
      <c r="B918" s="333"/>
      <c r="C918" s="333"/>
      <c r="D918" s="333"/>
      <c r="E918" s="333"/>
      <c r="F918" s="333"/>
      <c r="G918" s="333"/>
      <c r="H918" s="333"/>
      <c r="I918" s="333"/>
      <c r="J918" s="333"/>
      <c r="K918" s="333"/>
      <c r="L918" s="333"/>
      <c r="M918" s="333"/>
      <c r="N918" s="333"/>
      <c r="O918" s="333"/>
      <c r="P918" s="333"/>
      <c r="Q918" s="333"/>
      <c r="R918" s="333"/>
      <c r="S918" s="333"/>
      <c r="T918" s="333"/>
      <c r="U918" s="333"/>
      <c r="V918" s="333"/>
    </row>
    <row r="919" spans="1:22">
      <c r="A919" s="333"/>
      <c r="B919" s="333"/>
      <c r="C919" s="333"/>
      <c r="D919" s="333"/>
      <c r="E919" s="333"/>
      <c r="F919" s="333"/>
      <c r="G919" s="333"/>
      <c r="H919" s="333"/>
      <c r="I919" s="333"/>
      <c r="J919" s="333"/>
      <c r="K919" s="333"/>
      <c r="L919" s="333"/>
      <c r="M919" s="333"/>
      <c r="N919" s="333"/>
      <c r="O919" s="333"/>
      <c r="P919" s="333"/>
      <c r="Q919" s="333"/>
      <c r="R919" s="333"/>
      <c r="S919" s="333"/>
      <c r="T919" s="333"/>
      <c r="U919" s="333"/>
      <c r="V919" s="333"/>
    </row>
    <row r="920" spans="1:22">
      <c r="A920" s="333"/>
      <c r="B920" s="333"/>
      <c r="C920" s="333"/>
      <c r="D920" s="333"/>
      <c r="E920" s="333"/>
      <c r="F920" s="333"/>
      <c r="G920" s="333"/>
      <c r="H920" s="333"/>
      <c r="I920" s="333"/>
      <c r="J920" s="333"/>
      <c r="K920" s="333"/>
      <c r="L920" s="333"/>
      <c r="M920" s="333"/>
      <c r="N920" s="333"/>
      <c r="O920" s="333"/>
      <c r="P920" s="333"/>
      <c r="Q920" s="333"/>
      <c r="R920" s="333"/>
      <c r="S920" s="333"/>
      <c r="T920" s="333"/>
      <c r="U920" s="333"/>
      <c r="V920" s="333"/>
    </row>
    <row r="921" spans="1:22">
      <c r="A921" s="333"/>
      <c r="B921" s="333"/>
      <c r="C921" s="333"/>
      <c r="D921" s="333"/>
      <c r="E921" s="333"/>
      <c r="F921" s="333"/>
      <c r="G921" s="333"/>
      <c r="H921" s="333"/>
      <c r="I921" s="333"/>
      <c r="J921" s="333"/>
      <c r="K921" s="333"/>
      <c r="L921" s="333"/>
      <c r="M921" s="333"/>
      <c r="N921" s="333"/>
      <c r="O921" s="333"/>
      <c r="P921" s="333"/>
      <c r="Q921" s="333"/>
      <c r="R921" s="333"/>
      <c r="S921" s="333"/>
      <c r="T921" s="333"/>
      <c r="U921" s="333"/>
      <c r="V921" s="333"/>
    </row>
    <row r="922" spans="1:22">
      <c r="A922" s="333"/>
      <c r="B922" s="333"/>
      <c r="C922" s="333"/>
      <c r="D922" s="333"/>
      <c r="E922" s="333"/>
      <c r="F922" s="333"/>
      <c r="G922" s="333"/>
      <c r="H922" s="333"/>
      <c r="I922" s="333"/>
      <c r="J922" s="333"/>
      <c r="K922" s="333"/>
      <c r="L922" s="333"/>
      <c r="M922" s="333"/>
      <c r="N922" s="333"/>
      <c r="O922" s="333"/>
      <c r="P922" s="333"/>
      <c r="Q922" s="333"/>
      <c r="R922" s="333"/>
      <c r="S922" s="333"/>
      <c r="T922" s="333"/>
      <c r="U922" s="333"/>
      <c r="V922" s="333"/>
    </row>
    <row r="923" spans="1:22">
      <c r="A923" s="333"/>
      <c r="B923" s="333"/>
      <c r="C923" s="333"/>
      <c r="D923" s="333"/>
      <c r="E923" s="333"/>
      <c r="F923" s="333"/>
      <c r="G923" s="333"/>
      <c r="H923" s="333"/>
      <c r="I923" s="333"/>
      <c r="J923" s="333"/>
      <c r="K923" s="333"/>
      <c r="L923" s="333"/>
      <c r="M923" s="333"/>
      <c r="N923" s="333"/>
      <c r="O923" s="333"/>
      <c r="P923" s="333"/>
      <c r="Q923" s="333"/>
      <c r="R923" s="333"/>
      <c r="S923" s="333"/>
      <c r="T923" s="333"/>
      <c r="U923" s="333"/>
      <c r="V923" s="333"/>
    </row>
    <row r="924" spans="1:22">
      <c r="A924" s="333"/>
      <c r="B924" s="333"/>
      <c r="C924" s="333"/>
      <c r="D924" s="333"/>
      <c r="E924" s="333"/>
      <c r="F924" s="333"/>
      <c r="G924" s="333"/>
      <c r="H924" s="333"/>
      <c r="I924" s="333"/>
      <c r="J924" s="333"/>
      <c r="K924" s="333"/>
      <c r="L924" s="333"/>
      <c r="M924" s="333"/>
      <c r="N924" s="333"/>
      <c r="O924" s="333"/>
      <c r="P924" s="333"/>
      <c r="Q924" s="333"/>
      <c r="R924" s="333"/>
      <c r="S924" s="333"/>
      <c r="T924" s="333"/>
      <c r="U924" s="333"/>
      <c r="V924" s="333"/>
    </row>
    <row r="925" spans="1:22">
      <c r="A925" s="333"/>
      <c r="B925" s="333"/>
      <c r="C925" s="333"/>
      <c r="D925" s="333"/>
      <c r="E925" s="333"/>
      <c r="F925" s="333"/>
      <c r="G925" s="333"/>
      <c r="H925" s="333"/>
      <c r="I925" s="333"/>
      <c r="J925" s="333"/>
      <c r="K925" s="333"/>
      <c r="L925" s="333"/>
      <c r="M925" s="333"/>
      <c r="N925" s="333"/>
      <c r="O925" s="333"/>
      <c r="P925" s="333"/>
      <c r="Q925" s="333"/>
      <c r="R925" s="333"/>
      <c r="S925" s="333"/>
      <c r="T925" s="333"/>
      <c r="U925" s="333"/>
      <c r="V925" s="333"/>
    </row>
    <row r="926" spans="1:22">
      <c r="A926" s="333"/>
      <c r="B926" s="333"/>
      <c r="C926" s="333"/>
      <c r="D926" s="333"/>
      <c r="E926" s="333"/>
      <c r="F926" s="333"/>
      <c r="G926" s="333"/>
      <c r="H926" s="333"/>
      <c r="I926" s="333"/>
      <c r="J926" s="333"/>
      <c r="K926" s="333"/>
      <c r="L926" s="333"/>
      <c r="M926" s="333"/>
      <c r="N926" s="333"/>
      <c r="O926" s="333"/>
      <c r="P926" s="333"/>
      <c r="Q926" s="333"/>
      <c r="R926" s="333"/>
      <c r="S926" s="333"/>
      <c r="T926" s="333"/>
      <c r="U926" s="333"/>
      <c r="V926" s="333"/>
    </row>
    <row r="927" spans="1:22">
      <c r="A927" s="333"/>
      <c r="B927" s="333"/>
      <c r="C927" s="333"/>
      <c r="D927" s="333"/>
      <c r="E927" s="333"/>
      <c r="F927" s="333"/>
      <c r="G927" s="333"/>
      <c r="H927" s="333"/>
      <c r="I927" s="333"/>
      <c r="J927" s="333"/>
      <c r="K927" s="333"/>
      <c r="L927" s="333"/>
      <c r="M927" s="333"/>
      <c r="N927" s="333"/>
      <c r="O927" s="333"/>
      <c r="P927" s="333"/>
      <c r="Q927" s="333"/>
      <c r="R927" s="333"/>
      <c r="S927" s="333"/>
      <c r="T927" s="333"/>
      <c r="U927" s="333"/>
      <c r="V927" s="333"/>
    </row>
    <row r="928" spans="1:22">
      <c r="A928" s="333"/>
      <c r="B928" s="333"/>
      <c r="C928" s="333"/>
      <c r="D928" s="333"/>
      <c r="E928" s="333"/>
      <c r="F928" s="333"/>
      <c r="G928" s="333"/>
      <c r="H928" s="333"/>
      <c r="I928" s="333"/>
      <c r="J928" s="333"/>
      <c r="K928" s="333"/>
      <c r="L928" s="333"/>
      <c r="M928" s="333"/>
      <c r="N928" s="333"/>
      <c r="O928" s="333"/>
      <c r="P928" s="333"/>
      <c r="Q928" s="333"/>
      <c r="R928" s="333"/>
      <c r="S928" s="333"/>
      <c r="T928" s="333"/>
      <c r="U928" s="333"/>
      <c r="V928" s="333"/>
    </row>
    <row r="929" spans="1:22">
      <c r="A929" s="333"/>
      <c r="B929" s="333"/>
      <c r="C929" s="333"/>
      <c r="D929" s="333"/>
      <c r="E929" s="333"/>
      <c r="F929" s="333"/>
      <c r="G929" s="333"/>
      <c r="H929" s="333"/>
      <c r="I929" s="333"/>
      <c r="J929" s="333"/>
      <c r="K929" s="333"/>
      <c r="L929" s="333"/>
      <c r="M929" s="333"/>
      <c r="N929" s="333"/>
      <c r="O929" s="333"/>
      <c r="P929" s="333"/>
      <c r="Q929" s="333"/>
      <c r="R929" s="333"/>
      <c r="S929" s="333"/>
      <c r="T929" s="333"/>
      <c r="U929" s="333"/>
      <c r="V929" s="333"/>
    </row>
    <row r="930" spans="1:22">
      <c r="A930" s="333"/>
      <c r="B930" s="333"/>
      <c r="C930" s="333"/>
      <c r="D930" s="333"/>
      <c r="E930" s="333"/>
      <c r="F930" s="333"/>
      <c r="G930" s="333"/>
      <c r="H930" s="333"/>
      <c r="I930" s="333"/>
      <c r="J930" s="333"/>
      <c r="K930" s="333"/>
      <c r="L930" s="333"/>
      <c r="M930" s="333"/>
      <c r="N930" s="333"/>
      <c r="O930" s="333"/>
      <c r="P930" s="333"/>
      <c r="Q930" s="333"/>
      <c r="R930" s="333"/>
      <c r="S930" s="333"/>
      <c r="T930" s="333"/>
      <c r="U930" s="333"/>
      <c r="V930" s="333"/>
    </row>
    <row r="931" spans="1:22">
      <c r="A931" s="333"/>
      <c r="B931" s="333"/>
      <c r="C931" s="333"/>
      <c r="D931" s="333"/>
      <c r="E931" s="333"/>
      <c r="F931" s="333"/>
      <c r="G931" s="333"/>
      <c r="H931" s="333"/>
      <c r="I931" s="333"/>
      <c r="J931" s="333"/>
      <c r="K931" s="333"/>
      <c r="L931" s="333"/>
      <c r="M931" s="333"/>
      <c r="N931" s="333"/>
      <c r="O931" s="333"/>
      <c r="P931" s="333"/>
      <c r="Q931" s="333"/>
      <c r="R931" s="333"/>
      <c r="S931" s="333"/>
      <c r="T931" s="333"/>
      <c r="U931" s="333"/>
      <c r="V931" s="333"/>
    </row>
    <row r="932" spans="1:22">
      <c r="A932" s="333"/>
      <c r="B932" s="333"/>
      <c r="C932" s="333"/>
      <c r="D932" s="333"/>
      <c r="E932" s="333"/>
      <c r="F932" s="333"/>
      <c r="G932" s="333"/>
      <c r="H932" s="333"/>
      <c r="I932" s="333"/>
      <c r="J932" s="333"/>
      <c r="K932" s="333"/>
      <c r="L932" s="333"/>
      <c r="M932" s="333"/>
      <c r="N932" s="333"/>
      <c r="O932" s="333"/>
      <c r="P932" s="333"/>
      <c r="Q932" s="333"/>
      <c r="R932" s="333"/>
      <c r="S932" s="333"/>
      <c r="T932" s="333"/>
      <c r="U932" s="333"/>
      <c r="V932" s="333"/>
    </row>
    <row r="933" spans="1:22">
      <c r="A933" s="333"/>
      <c r="B933" s="333"/>
      <c r="C933" s="333"/>
      <c r="D933" s="333"/>
      <c r="E933" s="333"/>
      <c r="F933" s="333"/>
      <c r="G933" s="333"/>
      <c r="H933" s="333"/>
      <c r="I933" s="333"/>
      <c r="J933" s="333"/>
      <c r="K933" s="333"/>
      <c r="L933" s="333"/>
      <c r="M933" s="333"/>
      <c r="N933" s="333"/>
      <c r="O933" s="333"/>
      <c r="P933" s="333"/>
      <c r="Q933" s="333"/>
      <c r="R933" s="333"/>
      <c r="S933" s="333"/>
      <c r="T933" s="333"/>
      <c r="U933" s="333"/>
      <c r="V933" s="333"/>
    </row>
    <row r="934" spans="1:22">
      <c r="A934" s="333"/>
      <c r="B934" s="333"/>
      <c r="C934" s="333"/>
      <c r="D934" s="333"/>
      <c r="E934" s="333"/>
      <c r="F934" s="333"/>
      <c r="G934" s="333"/>
      <c r="H934" s="333"/>
      <c r="I934" s="333"/>
      <c r="J934" s="333"/>
      <c r="K934" s="333"/>
      <c r="L934" s="333"/>
      <c r="M934" s="333"/>
      <c r="N934" s="333"/>
      <c r="O934" s="333"/>
      <c r="P934" s="333"/>
      <c r="Q934" s="333"/>
      <c r="R934" s="333"/>
      <c r="S934" s="333"/>
      <c r="T934" s="333"/>
      <c r="U934" s="333"/>
      <c r="V934" s="333"/>
    </row>
    <row r="935" spans="1:22">
      <c r="A935" s="333"/>
      <c r="B935" s="333"/>
      <c r="C935" s="333"/>
      <c r="D935" s="333"/>
      <c r="E935" s="333"/>
      <c r="F935" s="333"/>
      <c r="G935" s="333"/>
      <c r="H935" s="333"/>
      <c r="I935" s="333"/>
      <c r="J935" s="333"/>
      <c r="K935" s="333"/>
      <c r="L935" s="333"/>
      <c r="M935" s="333"/>
      <c r="N935" s="333"/>
      <c r="O935" s="333"/>
      <c r="P935" s="333"/>
      <c r="Q935" s="333"/>
      <c r="R935" s="333"/>
      <c r="S935" s="333"/>
      <c r="T935" s="333"/>
      <c r="U935" s="333"/>
      <c r="V935" s="333"/>
    </row>
    <row r="936" spans="1:22">
      <c r="A936" s="333"/>
      <c r="B936" s="333"/>
      <c r="C936" s="333"/>
      <c r="D936" s="333"/>
      <c r="E936" s="333"/>
      <c r="F936" s="333"/>
      <c r="G936" s="333"/>
      <c r="H936" s="333"/>
      <c r="I936" s="333"/>
      <c r="J936" s="333"/>
      <c r="K936" s="333"/>
      <c r="L936" s="333"/>
      <c r="M936" s="333"/>
      <c r="N936" s="333"/>
      <c r="O936" s="333"/>
      <c r="P936" s="333"/>
      <c r="Q936" s="333"/>
      <c r="R936" s="333"/>
      <c r="S936" s="333"/>
      <c r="T936" s="333"/>
      <c r="U936" s="333"/>
      <c r="V936" s="333"/>
    </row>
    <row r="937" spans="1:22">
      <c r="A937" s="333"/>
      <c r="B937" s="333"/>
      <c r="C937" s="333"/>
      <c r="D937" s="333"/>
      <c r="E937" s="333"/>
      <c r="F937" s="333"/>
      <c r="G937" s="333"/>
      <c r="H937" s="333"/>
      <c r="I937" s="333"/>
      <c r="J937" s="333"/>
      <c r="K937" s="333"/>
      <c r="L937" s="333"/>
      <c r="M937" s="333"/>
      <c r="N937" s="333"/>
      <c r="O937" s="333"/>
      <c r="P937" s="333"/>
      <c r="Q937" s="333"/>
      <c r="R937" s="333"/>
      <c r="S937" s="333"/>
      <c r="T937" s="333"/>
      <c r="U937" s="333"/>
      <c r="V937" s="333"/>
    </row>
    <row r="938" spans="1:22">
      <c r="A938" s="333"/>
      <c r="B938" s="333"/>
      <c r="C938" s="333"/>
      <c r="D938" s="333"/>
      <c r="E938" s="333"/>
      <c r="F938" s="333"/>
      <c r="G938" s="333"/>
      <c r="H938" s="333"/>
      <c r="I938" s="333"/>
      <c r="J938" s="333"/>
      <c r="K938" s="333"/>
      <c r="L938" s="333"/>
      <c r="M938" s="333"/>
      <c r="N938" s="333"/>
      <c r="O938" s="333"/>
      <c r="P938" s="333"/>
      <c r="Q938" s="333"/>
      <c r="R938" s="333"/>
      <c r="S938" s="333"/>
      <c r="T938" s="333"/>
      <c r="U938" s="333"/>
      <c r="V938" s="333"/>
    </row>
    <row r="939" spans="1:22">
      <c r="A939" s="333"/>
      <c r="B939" s="333"/>
      <c r="C939" s="333"/>
      <c r="D939" s="333"/>
      <c r="E939" s="333"/>
      <c r="F939" s="333"/>
      <c r="G939" s="333"/>
      <c r="H939" s="333"/>
      <c r="I939" s="333"/>
      <c r="J939" s="333"/>
      <c r="K939" s="333"/>
      <c r="L939" s="333"/>
      <c r="M939" s="333"/>
      <c r="N939" s="333"/>
      <c r="O939" s="333"/>
      <c r="P939" s="333"/>
      <c r="Q939" s="333"/>
      <c r="R939" s="333"/>
      <c r="S939" s="333"/>
      <c r="T939" s="333"/>
      <c r="U939" s="333"/>
      <c r="V939" s="333"/>
    </row>
    <row r="940" spans="1:22">
      <c r="A940" s="333"/>
      <c r="B940" s="333"/>
      <c r="C940" s="333"/>
      <c r="D940" s="333"/>
      <c r="E940" s="333"/>
      <c r="F940" s="333"/>
      <c r="G940" s="333"/>
      <c r="H940" s="333"/>
      <c r="I940" s="333"/>
      <c r="J940" s="333"/>
      <c r="K940" s="333"/>
      <c r="L940" s="333"/>
      <c r="M940" s="333"/>
      <c r="N940" s="333"/>
      <c r="O940" s="333"/>
      <c r="P940" s="333"/>
      <c r="Q940" s="333"/>
      <c r="R940" s="333"/>
      <c r="S940" s="333"/>
      <c r="T940" s="333"/>
      <c r="U940" s="333"/>
      <c r="V940" s="333"/>
    </row>
    <row r="941" spans="1:22">
      <c r="A941" s="333"/>
      <c r="B941" s="333"/>
      <c r="C941" s="333"/>
      <c r="D941" s="333"/>
      <c r="E941" s="333"/>
      <c r="F941" s="333"/>
      <c r="G941" s="333"/>
      <c r="H941" s="333"/>
      <c r="I941" s="333"/>
      <c r="J941" s="333"/>
      <c r="K941" s="333"/>
      <c r="L941" s="333"/>
      <c r="M941" s="333"/>
      <c r="N941" s="333"/>
      <c r="O941" s="333"/>
      <c r="P941" s="333"/>
      <c r="Q941" s="333"/>
      <c r="R941" s="333"/>
      <c r="S941" s="333"/>
      <c r="T941" s="333"/>
      <c r="U941" s="333"/>
      <c r="V941" s="333"/>
    </row>
    <row r="942" spans="1:22">
      <c r="A942" s="333"/>
      <c r="B942" s="333"/>
      <c r="C942" s="333"/>
      <c r="D942" s="333"/>
      <c r="E942" s="333"/>
      <c r="F942" s="333"/>
      <c r="G942" s="333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</row>
    <row r="943" spans="1:22">
      <c r="A943" s="333"/>
      <c r="B943" s="333"/>
      <c r="C943" s="333"/>
      <c r="D943" s="333"/>
      <c r="E943" s="333"/>
      <c r="F943" s="333"/>
      <c r="G943" s="333"/>
      <c r="H943" s="333"/>
      <c r="I943" s="333"/>
      <c r="J943" s="333"/>
      <c r="K943" s="333"/>
      <c r="L943" s="333"/>
      <c r="M943" s="333"/>
      <c r="N943" s="333"/>
      <c r="O943" s="333"/>
      <c r="P943" s="333"/>
      <c r="Q943" s="333"/>
      <c r="R943" s="333"/>
      <c r="S943" s="333"/>
      <c r="T943" s="333"/>
      <c r="U943" s="333"/>
      <c r="V943" s="333"/>
    </row>
    <row r="944" spans="1:22">
      <c r="A944" s="333"/>
      <c r="B944" s="333"/>
      <c r="C944" s="333"/>
      <c r="D944" s="333"/>
      <c r="E944" s="333"/>
      <c r="F944" s="333"/>
      <c r="G944" s="333"/>
      <c r="H944" s="333"/>
      <c r="I944" s="333"/>
      <c r="J944" s="333"/>
      <c r="K944" s="333"/>
      <c r="L944" s="333"/>
      <c r="M944" s="333"/>
      <c r="N944" s="333"/>
      <c r="O944" s="333"/>
      <c r="P944" s="333"/>
      <c r="Q944" s="333"/>
      <c r="R944" s="333"/>
      <c r="S944" s="333"/>
      <c r="T944" s="333"/>
      <c r="U944" s="333"/>
      <c r="V944" s="333"/>
    </row>
    <row r="945" spans="1:22">
      <c r="A945" s="333"/>
      <c r="B945" s="333"/>
      <c r="C945" s="333"/>
      <c r="D945" s="333"/>
      <c r="E945" s="333"/>
      <c r="F945" s="333"/>
      <c r="G945" s="333"/>
      <c r="H945" s="333"/>
      <c r="I945" s="333"/>
      <c r="J945" s="333"/>
      <c r="K945" s="333"/>
      <c r="L945" s="333"/>
      <c r="M945" s="333"/>
      <c r="N945" s="333"/>
      <c r="O945" s="333"/>
      <c r="P945" s="333"/>
      <c r="Q945" s="333"/>
      <c r="R945" s="333"/>
      <c r="S945" s="333"/>
      <c r="T945" s="333"/>
      <c r="U945" s="333"/>
      <c r="V945" s="333"/>
    </row>
    <row r="946" spans="1:22">
      <c r="A946" s="333"/>
      <c r="B946" s="333"/>
      <c r="C946" s="333"/>
      <c r="D946" s="333"/>
      <c r="E946" s="333"/>
      <c r="F946" s="333"/>
      <c r="G946" s="333"/>
      <c r="H946" s="333"/>
      <c r="I946" s="333"/>
      <c r="J946" s="333"/>
      <c r="K946" s="333"/>
      <c r="L946" s="333"/>
      <c r="M946" s="333"/>
      <c r="N946" s="333"/>
      <c r="O946" s="333"/>
      <c r="P946" s="333"/>
      <c r="Q946" s="333"/>
      <c r="R946" s="333"/>
      <c r="S946" s="333"/>
      <c r="T946" s="333"/>
      <c r="U946" s="333"/>
      <c r="V946" s="333"/>
    </row>
    <row r="947" spans="1:22">
      <c r="A947" s="333"/>
      <c r="B947" s="333"/>
      <c r="C947" s="333"/>
      <c r="D947" s="333"/>
      <c r="E947" s="333"/>
      <c r="F947" s="333"/>
      <c r="G947" s="333"/>
      <c r="H947" s="333"/>
      <c r="I947" s="333"/>
      <c r="J947" s="333"/>
      <c r="K947" s="333"/>
      <c r="L947" s="333"/>
      <c r="M947" s="333"/>
      <c r="N947" s="333"/>
      <c r="O947" s="333"/>
      <c r="P947" s="333"/>
      <c r="Q947" s="333"/>
      <c r="R947" s="333"/>
      <c r="S947" s="333"/>
      <c r="T947" s="333"/>
      <c r="U947" s="333"/>
      <c r="V947" s="333"/>
    </row>
    <row r="948" spans="1:22">
      <c r="A948" s="333"/>
      <c r="B948" s="333"/>
      <c r="C948" s="333"/>
      <c r="D948" s="333"/>
      <c r="E948" s="333"/>
      <c r="F948" s="333"/>
      <c r="G948" s="333"/>
      <c r="H948" s="333"/>
      <c r="I948" s="333"/>
      <c r="J948" s="333"/>
      <c r="K948" s="333"/>
      <c r="L948" s="333"/>
      <c r="M948" s="333"/>
      <c r="N948" s="333"/>
      <c r="O948" s="333"/>
      <c r="P948" s="333"/>
      <c r="Q948" s="333"/>
      <c r="R948" s="333"/>
      <c r="S948" s="333"/>
      <c r="T948" s="333"/>
      <c r="U948" s="333"/>
      <c r="V948" s="333"/>
    </row>
    <row r="949" spans="1:22">
      <c r="A949" s="333"/>
      <c r="B949" s="333"/>
      <c r="C949" s="333"/>
      <c r="D949" s="333"/>
      <c r="E949" s="333"/>
      <c r="F949" s="333"/>
      <c r="G949" s="333"/>
      <c r="H949" s="333"/>
      <c r="I949" s="333"/>
      <c r="J949" s="333"/>
      <c r="K949" s="333"/>
      <c r="L949" s="333"/>
      <c r="M949" s="333"/>
      <c r="N949" s="333"/>
      <c r="O949" s="333"/>
      <c r="P949" s="333"/>
      <c r="Q949" s="333"/>
      <c r="R949" s="333"/>
      <c r="S949" s="333"/>
      <c r="T949" s="333"/>
      <c r="U949" s="333"/>
      <c r="V949" s="333"/>
    </row>
    <row r="950" spans="1:22">
      <c r="A950" s="333"/>
      <c r="B950" s="333"/>
      <c r="C950" s="333"/>
      <c r="D950" s="333"/>
      <c r="E950" s="333"/>
      <c r="F950" s="333"/>
      <c r="G950" s="333"/>
      <c r="H950" s="333"/>
      <c r="I950" s="333"/>
      <c r="J950" s="333"/>
      <c r="K950" s="333"/>
      <c r="L950" s="333"/>
      <c r="M950" s="333"/>
      <c r="N950" s="333"/>
      <c r="O950" s="333"/>
      <c r="P950" s="333"/>
      <c r="Q950" s="333"/>
      <c r="R950" s="333"/>
      <c r="S950" s="333"/>
      <c r="T950" s="333"/>
      <c r="U950" s="333"/>
      <c r="V950" s="333"/>
    </row>
    <row r="951" spans="1:22">
      <c r="A951" s="333"/>
      <c r="B951" s="333"/>
      <c r="C951" s="333"/>
      <c r="D951" s="333"/>
      <c r="E951" s="333"/>
      <c r="F951" s="333"/>
      <c r="G951" s="333"/>
      <c r="H951" s="333"/>
      <c r="I951" s="333"/>
      <c r="J951" s="333"/>
      <c r="K951" s="333"/>
      <c r="L951" s="333"/>
      <c r="M951" s="333"/>
      <c r="N951" s="333"/>
      <c r="O951" s="333"/>
      <c r="P951" s="333"/>
      <c r="Q951" s="333"/>
      <c r="R951" s="333"/>
      <c r="S951" s="333"/>
      <c r="T951" s="333"/>
      <c r="U951" s="333"/>
      <c r="V951" s="333"/>
    </row>
    <row r="952" spans="1:22">
      <c r="A952" s="333"/>
      <c r="B952" s="333"/>
      <c r="C952" s="333"/>
      <c r="D952" s="333"/>
      <c r="E952" s="333"/>
      <c r="F952" s="333"/>
      <c r="G952" s="333"/>
      <c r="H952" s="333"/>
      <c r="I952" s="333"/>
      <c r="J952" s="333"/>
      <c r="K952" s="333"/>
      <c r="L952" s="333"/>
      <c r="M952" s="333"/>
      <c r="N952" s="333"/>
      <c r="O952" s="333"/>
      <c r="P952" s="333"/>
      <c r="Q952" s="333"/>
      <c r="R952" s="333"/>
      <c r="S952" s="333"/>
      <c r="T952" s="333"/>
      <c r="U952" s="333"/>
      <c r="V952" s="333"/>
    </row>
    <row r="953" spans="1:22">
      <c r="A953" s="333"/>
      <c r="B953" s="333"/>
      <c r="C953" s="333"/>
      <c r="D953" s="333"/>
      <c r="E953" s="333"/>
      <c r="F953" s="333"/>
      <c r="G953" s="333"/>
      <c r="H953" s="333"/>
      <c r="I953" s="333"/>
      <c r="J953" s="333"/>
      <c r="K953" s="333"/>
      <c r="L953" s="333"/>
      <c r="M953" s="333"/>
      <c r="N953" s="333"/>
      <c r="O953" s="333"/>
      <c r="P953" s="333"/>
      <c r="Q953" s="333"/>
      <c r="R953" s="333"/>
      <c r="S953" s="333"/>
      <c r="T953" s="333"/>
      <c r="U953" s="333"/>
      <c r="V953" s="333"/>
    </row>
    <row r="954" spans="1:22">
      <c r="A954" s="333"/>
      <c r="B954" s="333"/>
      <c r="C954" s="333"/>
      <c r="D954" s="333"/>
      <c r="E954" s="333"/>
      <c r="F954" s="333"/>
      <c r="G954" s="333"/>
      <c r="H954" s="333"/>
      <c r="I954" s="333"/>
      <c r="J954" s="333"/>
      <c r="K954" s="333"/>
      <c r="L954" s="333"/>
      <c r="M954" s="333"/>
      <c r="N954" s="333"/>
      <c r="O954" s="333"/>
      <c r="P954" s="333"/>
      <c r="Q954" s="333"/>
      <c r="R954" s="333"/>
      <c r="S954" s="333"/>
      <c r="T954" s="333"/>
      <c r="U954" s="333"/>
      <c r="V954" s="333"/>
    </row>
    <row r="955" spans="1:22">
      <c r="A955" s="333"/>
      <c r="B955" s="333"/>
      <c r="C955" s="333"/>
      <c r="D955" s="333"/>
      <c r="E955" s="333"/>
      <c r="F955" s="333"/>
      <c r="G955" s="333"/>
      <c r="H955" s="333"/>
      <c r="I955" s="333"/>
      <c r="J955" s="333"/>
      <c r="K955" s="333"/>
      <c r="L955" s="333"/>
      <c r="M955" s="333"/>
      <c r="N955" s="333"/>
      <c r="O955" s="333"/>
      <c r="P955" s="333"/>
      <c r="Q955" s="333"/>
      <c r="R955" s="333"/>
      <c r="S955" s="333"/>
      <c r="T955" s="333"/>
      <c r="U955" s="333"/>
      <c r="V955" s="333"/>
    </row>
    <row r="956" spans="1:22">
      <c r="A956" s="333"/>
      <c r="B956" s="333"/>
      <c r="C956" s="333"/>
      <c r="D956" s="333"/>
      <c r="E956" s="333"/>
      <c r="F956" s="333"/>
      <c r="G956" s="333"/>
      <c r="H956" s="333"/>
      <c r="I956" s="333"/>
      <c r="J956" s="333"/>
      <c r="K956" s="333"/>
      <c r="L956" s="333"/>
      <c r="M956" s="333"/>
      <c r="N956" s="333"/>
      <c r="O956" s="333"/>
      <c r="P956" s="333"/>
      <c r="Q956" s="333"/>
      <c r="R956" s="333"/>
      <c r="S956" s="333"/>
      <c r="T956" s="333"/>
      <c r="U956" s="333"/>
      <c r="V956" s="333"/>
    </row>
    <row r="957" spans="1:22">
      <c r="A957" s="333"/>
      <c r="B957" s="333"/>
      <c r="C957" s="333"/>
      <c r="D957" s="333"/>
      <c r="E957" s="333"/>
      <c r="F957" s="333"/>
      <c r="G957" s="333"/>
      <c r="H957" s="333"/>
      <c r="I957" s="333"/>
      <c r="J957" s="333"/>
      <c r="K957" s="333"/>
      <c r="L957" s="333"/>
      <c r="M957" s="333"/>
      <c r="N957" s="333"/>
      <c r="O957" s="333"/>
      <c r="P957" s="333"/>
      <c r="Q957" s="333"/>
      <c r="R957" s="333"/>
      <c r="S957" s="333"/>
      <c r="T957" s="333"/>
      <c r="U957" s="333"/>
      <c r="V957" s="333"/>
    </row>
    <row r="958" spans="1:22">
      <c r="A958" s="333"/>
      <c r="B958" s="333"/>
      <c r="C958" s="333"/>
      <c r="D958" s="333"/>
      <c r="E958" s="333"/>
      <c r="F958" s="333"/>
      <c r="G958" s="333"/>
      <c r="H958" s="333"/>
      <c r="I958" s="333"/>
      <c r="J958" s="333"/>
      <c r="K958" s="333"/>
      <c r="L958" s="333"/>
      <c r="M958" s="333"/>
      <c r="N958" s="333"/>
      <c r="O958" s="333"/>
      <c r="P958" s="333"/>
      <c r="Q958" s="333"/>
      <c r="R958" s="333"/>
      <c r="S958" s="333"/>
      <c r="T958" s="333"/>
      <c r="U958" s="333"/>
      <c r="V958" s="333"/>
    </row>
    <row r="959" spans="1:22">
      <c r="A959" s="333"/>
      <c r="B959" s="333"/>
      <c r="C959" s="333"/>
      <c r="D959" s="333"/>
      <c r="E959" s="333"/>
      <c r="F959" s="333"/>
      <c r="G959" s="333"/>
      <c r="H959" s="333"/>
      <c r="I959" s="333"/>
      <c r="J959" s="333"/>
      <c r="K959" s="333"/>
      <c r="L959" s="333"/>
      <c r="M959" s="333"/>
      <c r="N959" s="333"/>
      <c r="O959" s="333"/>
      <c r="P959" s="333"/>
      <c r="Q959" s="333"/>
      <c r="R959" s="333"/>
      <c r="S959" s="333"/>
      <c r="T959" s="333"/>
      <c r="U959" s="333"/>
      <c r="V959" s="333"/>
    </row>
    <row r="960" spans="1:22">
      <c r="A960" s="333"/>
      <c r="B960" s="333"/>
      <c r="C960" s="333"/>
      <c r="D960" s="333"/>
      <c r="E960" s="333"/>
      <c r="F960" s="333"/>
      <c r="G960" s="333"/>
      <c r="H960" s="333"/>
      <c r="I960" s="333"/>
      <c r="J960" s="333"/>
      <c r="K960" s="333"/>
      <c r="L960" s="333"/>
      <c r="M960" s="333"/>
      <c r="N960" s="333"/>
      <c r="O960" s="333"/>
      <c r="P960" s="333"/>
      <c r="Q960" s="333"/>
      <c r="R960" s="333"/>
      <c r="S960" s="333"/>
      <c r="T960" s="333"/>
      <c r="U960" s="333"/>
      <c r="V960" s="333"/>
    </row>
    <row r="961" spans="1:22">
      <c r="A961" s="333"/>
      <c r="B961" s="333"/>
      <c r="C961" s="333"/>
      <c r="D961" s="333"/>
      <c r="E961" s="333"/>
      <c r="F961" s="333"/>
      <c r="G961" s="333"/>
      <c r="H961" s="333"/>
      <c r="I961" s="333"/>
      <c r="J961" s="333"/>
      <c r="K961" s="333"/>
      <c r="L961" s="333"/>
      <c r="M961" s="333"/>
      <c r="N961" s="333"/>
      <c r="O961" s="333"/>
      <c r="P961" s="333"/>
      <c r="Q961" s="333"/>
      <c r="R961" s="333"/>
      <c r="S961" s="333"/>
      <c r="T961" s="333"/>
      <c r="U961" s="333"/>
      <c r="V961" s="333"/>
    </row>
    <row r="962" spans="1:22">
      <c r="A962" s="333"/>
      <c r="B962" s="333"/>
      <c r="C962" s="333"/>
      <c r="D962" s="333"/>
      <c r="E962" s="333"/>
      <c r="F962" s="333"/>
      <c r="G962" s="333"/>
      <c r="H962" s="333"/>
      <c r="I962" s="333"/>
      <c r="J962" s="333"/>
      <c r="K962" s="333"/>
      <c r="L962" s="333"/>
      <c r="M962" s="333"/>
      <c r="N962" s="333"/>
      <c r="O962" s="333"/>
      <c r="P962" s="333"/>
      <c r="Q962" s="333"/>
      <c r="R962" s="333"/>
      <c r="S962" s="333"/>
      <c r="T962" s="333"/>
      <c r="U962" s="333"/>
      <c r="V962" s="333"/>
    </row>
    <row r="963" spans="1:22">
      <c r="A963" s="333"/>
      <c r="B963" s="333"/>
      <c r="C963" s="333"/>
      <c r="D963" s="333"/>
      <c r="E963" s="333"/>
      <c r="F963" s="333"/>
      <c r="G963" s="333"/>
      <c r="H963" s="333"/>
      <c r="I963" s="333"/>
      <c r="J963" s="333"/>
      <c r="K963" s="333"/>
      <c r="L963" s="333"/>
      <c r="M963" s="333"/>
      <c r="N963" s="333"/>
      <c r="O963" s="333"/>
      <c r="P963" s="333"/>
      <c r="Q963" s="333"/>
      <c r="R963" s="333"/>
      <c r="S963" s="333"/>
      <c r="T963" s="333"/>
      <c r="U963" s="333"/>
      <c r="V963" s="333"/>
    </row>
    <row r="964" spans="1:22">
      <c r="A964" s="333"/>
      <c r="B964" s="333"/>
      <c r="C964" s="333"/>
      <c r="D964" s="333"/>
      <c r="E964" s="333"/>
      <c r="F964" s="333"/>
      <c r="G964" s="333"/>
      <c r="H964" s="333"/>
      <c r="I964" s="333"/>
      <c r="J964" s="333"/>
      <c r="K964" s="333"/>
      <c r="L964" s="333"/>
      <c r="M964" s="333"/>
      <c r="N964" s="333"/>
      <c r="O964" s="333"/>
      <c r="P964" s="333"/>
      <c r="Q964" s="333"/>
      <c r="R964" s="333"/>
      <c r="S964" s="333"/>
      <c r="T964" s="333"/>
      <c r="U964" s="333"/>
      <c r="V964" s="333"/>
    </row>
    <row r="965" spans="1:22">
      <c r="A965" s="333"/>
      <c r="B965" s="333"/>
      <c r="C965" s="333"/>
      <c r="D965" s="333"/>
      <c r="E965" s="333"/>
      <c r="F965" s="333"/>
      <c r="G965" s="333"/>
      <c r="H965" s="333"/>
      <c r="I965" s="333"/>
      <c r="J965" s="333"/>
      <c r="K965" s="333"/>
      <c r="L965" s="333"/>
      <c r="M965" s="333"/>
      <c r="N965" s="333"/>
      <c r="O965" s="333"/>
      <c r="P965" s="333"/>
      <c r="Q965" s="333"/>
      <c r="R965" s="333"/>
      <c r="S965" s="333"/>
      <c r="T965" s="333"/>
      <c r="U965" s="333"/>
      <c r="V965" s="333"/>
    </row>
    <row r="966" spans="1:22">
      <c r="A966" s="333"/>
      <c r="B966" s="333"/>
      <c r="C966" s="333"/>
      <c r="D966" s="333"/>
      <c r="E966" s="333"/>
      <c r="F966" s="333"/>
      <c r="G966" s="333"/>
      <c r="H966" s="333"/>
      <c r="I966" s="333"/>
      <c r="J966" s="333"/>
      <c r="K966" s="333"/>
      <c r="L966" s="333"/>
      <c r="M966" s="333"/>
      <c r="N966" s="333"/>
      <c r="O966" s="333"/>
      <c r="P966" s="333"/>
      <c r="Q966" s="333"/>
      <c r="R966" s="333"/>
      <c r="S966" s="333"/>
      <c r="T966" s="333"/>
      <c r="U966" s="333"/>
      <c r="V966" s="333"/>
    </row>
    <row r="967" spans="1:22">
      <c r="A967" s="333"/>
      <c r="B967" s="333"/>
      <c r="C967" s="333"/>
      <c r="D967" s="333"/>
      <c r="E967" s="333"/>
      <c r="F967" s="333"/>
      <c r="G967" s="333"/>
      <c r="H967" s="333"/>
      <c r="I967" s="333"/>
      <c r="J967" s="333"/>
      <c r="K967" s="333"/>
      <c r="L967" s="333"/>
      <c r="M967" s="333"/>
      <c r="N967" s="333"/>
      <c r="O967" s="333"/>
      <c r="P967" s="333"/>
      <c r="Q967" s="333"/>
      <c r="R967" s="333"/>
      <c r="S967" s="333"/>
      <c r="T967" s="333"/>
      <c r="U967" s="333"/>
      <c r="V967" s="333"/>
    </row>
    <row r="968" spans="1:22">
      <c r="A968" s="333"/>
      <c r="B968" s="333"/>
      <c r="C968" s="333"/>
      <c r="D968" s="333"/>
      <c r="E968" s="333"/>
      <c r="F968" s="333"/>
      <c r="G968" s="333"/>
      <c r="H968" s="333"/>
      <c r="I968" s="333"/>
      <c r="J968" s="333"/>
      <c r="K968" s="333"/>
      <c r="L968" s="333"/>
      <c r="M968" s="333"/>
      <c r="N968" s="333"/>
      <c r="O968" s="333"/>
      <c r="P968" s="333"/>
      <c r="Q968" s="333"/>
      <c r="R968" s="333"/>
      <c r="S968" s="333"/>
      <c r="T968" s="333"/>
      <c r="U968" s="333"/>
      <c r="V968" s="333"/>
    </row>
    <row r="969" spans="1:22">
      <c r="A969" s="333"/>
      <c r="B969" s="333"/>
      <c r="C969" s="333"/>
      <c r="D969" s="333"/>
      <c r="E969" s="333"/>
      <c r="F969" s="333"/>
      <c r="G969" s="333"/>
      <c r="H969" s="333"/>
      <c r="I969" s="333"/>
      <c r="J969" s="333"/>
      <c r="K969" s="333"/>
      <c r="L969" s="333"/>
      <c r="M969" s="333"/>
      <c r="N969" s="333"/>
      <c r="O969" s="333"/>
      <c r="P969" s="333"/>
      <c r="Q969" s="333"/>
      <c r="R969" s="333"/>
      <c r="S969" s="333"/>
      <c r="T969" s="333"/>
      <c r="U969" s="333"/>
      <c r="V969" s="333"/>
    </row>
    <row r="970" spans="1:22">
      <c r="A970" s="333"/>
      <c r="B970" s="333"/>
      <c r="C970" s="333"/>
      <c r="D970" s="333"/>
      <c r="E970" s="333"/>
      <c r="F970" s="333"/>
      <c r="G970" s="333"/>
      <c r="H970" s="333"/>
      <c r="I970" s="333"/>
      <c r="J970" s="333"/>
      <c r="K970" s="333"/>
      <c r="L970" s="333"/>
      <c r="M970" s="333"/>
      <c r="N970" s="333"/>
      <c r="O970" s="333"/>
      <c r="P970" s="333"/>
      <c r="Q970" s="333"/>
      <c r="R970" s="333"/>
      <c r="S970" s="333"/>
      <c r="T970" s="333"/>
      <c r="U970" s="333"/>
      <c r="V970" s="333"/>
    </row>
    <row r="971" spans="1:22">
      <c r="A971" s="333"/>
      <c r="B971" s="333"/>
      <c r="C971" s="333"/>
      <c r="D971" s="333"/>
      <c r="E971" s="333"/>
      <c r="F971" s="333"/>
      <c r="G971" s="333"/>
      <c r="H971" s="333"/>
      <c r="I971" s="333"/>
      <c r="J971" s="333"/>
      <c r="K971" s="333"/>
      <c r="L971" s="333"/>
      <c r="M971" s="333"/>
      <c r="N971" s="333"/>
      <c r="O971" s="333"/>
      <c r="P971" s="333"/>
      <c r="Q971" s="333"/>
      <c r="R971" s="333"/>
      <c r="S971" s="333"/>
      <c r="T971" s="333"/>
      <c r="U971" s="333"/>
      <c r="V971" s="333"/>
    </row>
    <row r="972" spans="1:22">
      <c r="A972" s="333"/>
      <c r="B972" s="333"/>
      <c r="C972" s="333"/>
      <c r="D972" s="333"/>
      <c r="E972" s="333"/>
      <c r="F972" s="333"/>
      <c r="G972" s="333"/>
      <c r="H972" s="333"/>
      <c r="I972" s="333"/>
      <c r="J972" s="333"/>
      <c r="K972" s="333"/>
      <c r="L972" s="333"/>
      <c r="M972" s="333"/>
      <c r="N972" s="333"/>
      <c r="O972" s="333"/>
      <c r="P972" s="333"/>
      <c r="Q972" s="333"/>
      <c r="R972" s="333"/>
      <c r="S972" s="333"/>
      <c r="T972" s="333"/>
      <c r="U972" s="333"/>
      <c r="V972" s="333"/>
    </row>
    <row r="973" spans="1:22">
      <c r="A973" s="333"/>
      <c r="B973" s="333"/>
      <c r="C973" s="333"/>
      <c r="D973" s="333"/>
      <c r="E973" s="333"/>
      <c r="F973" s="333"/>
      <c r="G973" s="333"/>
      <c r="H973" s="333"/>
      <c r="I973" s="333"/>
      <c r="J973" s="333"/>
      <c r="K973" s="333"/>
      <c r="L973" s="333"/>
      <c r="M973" s="333"/>
      <c r="N973" s="333"/>
      <c r="O973" s="333"/>
      <c r="P973" s="333"/>
      <c r="Q973" s="333"/>
      <c r="R973" s="333"/>
      <c r="S973" s="333"/>
      <c r="T973" s="333"/>
      <c r="U973" s="333"/>
      <c r="V973" s="333"/>
    </row>
    <row r="974" spans="1:22">
      <c r="A974" s="333"/>
      <c r="B974" s="333"/>
      <c r="C974" s="333"/>
      <c r="D974" s="333"/>
      <c r="E974" s="333"/>
      <c r="F974" s="333"/>
      <c r="G974" s="333"/>
      <c r="H974" s="333"/>
      <c r="I974" s="333"/>
      <c r="J974" s="333"/>
      <c r="K974" s="333"/>
      <c r="L974" s="333"/>
      <c r="M974" s="333"/>
      <c r="N974" s="333"/>
      <c r="O974" s="333"/>
      <c r="P974" s="333"/>
      <c r="Q974" s="333"/>
      <c r="R974" s="333"/>
      <c r="S974" s="333"/>
      <c r="T974" s="333"/>
      <c r="U974" s="333"/>
      <c r="V974" s="333"/>
    </row>
    <row r="975" spans="1:22">
      <c r="A975" s="333"/>
      <c r="B975" s="333"/>
      <c r="C975" s="333"/>
      <c r="D975" s="333"/>
      <c r="E975" s="333"/>
      <c r="F975" s="333"/>
      <c r="G975" s="333"/>
      <c r="H975" s="333"/>
      <c r="I975" s="333"/>
      <c r="J975" s="333"/>
      <c r="K975" s="333"/>
      <c r="L975" s="333"/>
      <c r="M975" s="333"/>
      <c r="N975" s="333"/>
      <c r="O975" s="333"/>
      <c r="P975" s="333"/>
      <c r="Q975" s="333"/>
      <c r="R975" s="333"/>
      <c r="S975" s="333"/>
      <c r="T975" s="333"/>
      <c r="U975" s="333"/>
      <c r="V975" s="333"/>
    </row>
    <row r="976" spans="1:22">
      <c r="A976" s="333"/>
      <c r="B976" s="333"/>
      <c r="C976" s="333"/>
      <c r="D976" s="333"/>
      <c r="E976" s="333"/>
      <c r="F976" s="333"/>
      <c r="G976" s="333"/>
      <c r="H976" s="333"/>
      <c r="I976" s="333"/>
      <c r="J976" s="333"/>
      <c r="K976" s="333"/>
      <c r="L976" s="333"/>
      <c r="M976" s="333"/>
      <c r="N976" s="333"/>
      <c r="O976" s="333"/>
      <c r="P976" s="333"/>
      <c r="Q976" s="333"/>
      <c r="R976" s="333"/>
      <c r="S976" s="333"/>
      <c r="T976" s="333"/>
      <c r="U976" s="333"/>
      <c r="V976" s="333"/>
    </row>
    <row r="977" spans="1:22">
      <c r="A977" s="333"/>
      <c r="B977" s="333"/>
      <c r="C977" s="333"/>
      <c r="D977" s="333"/>
      <c r="E977" s="333"/>
      <c r="F977" s="333"/>
      <c r="G977" s="333"/>
      <c r="H977" s="333"/>
      <c r="I977" s="333"/>
      <c r="J977" s="333"/>
      <c r="K977" s="333"/>
      <c r="L977" s="333"/>
      <c r="M977" s="333"/>
      <c r="N977" s="333"/>
      <c r="O977" s="333"/>
      <c r="P977" s="333"/>
      <c r="Q977" s="333"/>
      <c r="R977" s="333"/>
      <c r="S977" s="333"/>
      <c r="T977" s="333"/>
      <c r="U977" s="333"/>
      <c r="V977" s="333"/>
    </row>
    <row r="978" spans="1:22">
      <c r="A978" s="333"/>
      <c r="B978" s="333"/>
      <c r="C978" s="333"/>
      <c r="D978" s="333"/>
      <c r="E978" s="333"/>
      <c r="F978" s="333"/>
      <c r="G978" s="333"/>
      <c r="H978" s="333"/>
      <c r="I978" s="333"/>
      <c r="J978" s="333"/>
      <c r="K978" s="333"/>
      <c r="L978" s="333"/>
      <c r="M978" s="333"/>
      <c r="N978" s="333"/>
      <c r="O978" s="333"/>
      <c r="P978" s="333"/>
      <c r="Q978" s="333"/>
      <c r="R978" s="333"/>
      <c r="S978" s="333"/>
      <c r="T978" s="333"/>
      <c r="U978" s="333"/>
      <c r="V978" s="333"/>
    </row>
    <row r="979" spans="1:22">
      <c r="A979" s="333"/>
      <c r="B979" s="333"/>
      <c r="C979" s="333"/>
      <c r="D979" s="333"/>
      <c r="E979" s="333"/>
      <c r="F979" s="333"/>
      <c r="G979" s="333"/>
      <c r="H979" s="333"/>
      <c r="I979" s="333"/>
      <c r="J979" s="333"/>
      <c r="K979" s="333"/>
      <c r="L979" s="333"/>
      <c r="M979" s="333"/>
      <c r="N979" s="333"/>
      <c r="O979" s="333"/>
      <c r="P979" s="333"/>
      <c r="Q979" s="333"/>
      <c r="R979" s="333"/>
      <c r="S979" s="333"/>
      <c r="T979" s="333"/>
      <c r="U979" s="333"/>
      <c r="V979" s="333"/>
    </row>
    <row r="980" spans="1:22">
      <c r="A980" s="333"/>
      <c r="B980" s="333"/>
      <c r="C980" s="333"/>
      <c r="D980" s="333"/>
      <c r="E980" s="333"/>
      <c r="F980" s="333"/>
      <c r="G980" s="333"/>
      <c r="H980" s="333"/>
      <c r="I980" s="333"/>
      <c r="J980" s="333"/>
      <c r="K980" s="333"/>
      <c r="L980" s="333"/>
      <c r="M980" s="333"/>
      <c r="N980" s="333"/>
      <c r="O980" s="333"/>
      <c r="P980" s="333"/>
      <c r="Q980" s="333"/>
      <c r="R980" s="333"/>
      <c r="S980" s="333"/>
      <c r="T980" s="333"/>
      <c r="U980" s="333"/>
      <c r="V980" s="333"/>
    </row>
    <row r="981" spans="1:22">
      <c r="A981" s="333"/>
      <c r="B981" s="333"/>
      <c r="C981" s="333"/>
      <c r="D981" s="333"/>
      <c r="E981" s="333"/>
      <c r="F981" s="333"/>
      <c r="G981" s="333"/>
      <c r="H981" s="333"/>
      <c r="I981" s="333"/>
      <c r="J981" s="333"/>
      <c r="K981" s="333"/>
      <c r="L981" s="333"/>
      <c r="M981" s="333"/>
      <c r="N981" s="333"/>
      <c r="O981" s="333"/>
      <c r="P981" s="333"/>
      <c r="Q981" s="333"/>
      <c r="R981" s="333"/>
      <c r="S981" s="333"/>
      <c r="T981" s="333"/>
      <c r="U981" s="333"/>
      <c r="V981" s="333"/>
    </row>
    <row r="982" spans="1:22">
      <c r="A982" s="333"/>
      <c r="B982" s="333"/>
      <c r="C982" s="333"/>
      <c r="D982" s="333"/>
      <c r="E982" s="333"/>
      <c r="F982" s="333"/>
      <c r="G982" s="333"/>
      <c r="H982" s="333"/>
      <c r="I982" s="333"/>
      <c r="J982" s="333"/>
      <c r="K982" s="333"/>
      <c r="L982" s="333"/>
      <c r="M982" s="333"/>
      <c r="N982" s="333"/>
      <c r="O982" s="333"/>
      <c r="P982" s="333"/>
      <c r="Q982" s="333"/>
      <c r="R982" s="333"/>
      <c r="S982" s="333"/>
      <c r="T982" s="333"/>
      <c r="U982" s="333"/>
      <c r="V982" s="333"/>
    </row>
    <row r="983" spans="1:22">
      <c r="A983" s="333"/>
      <c r="B983" s="333"/>
      <c r="C983" s="333"/>
      <c r="D983" s="333"/>
      <c r="E983" s="333"/>
      <c r="F983" s="333"/>
      <c r="G983" s="333"/>
      <c r="H983" s="333"/>
      <c r="I983" s="333"/>
      <c r="J983" s="333"/>
      <c r="K983" s="333"/>
      <c r="L983" s="333"/>
      <c r="M983" s="333"/>
      <c r="N983" s="333"/>
      <c r="O983" s="333"/>
      <c r="P983" s="333"/>
      <c r="Q983" s="333"/>
      <c r="R983" s="333"/>
      <c r="S983" s="333"/>
      <c r="T983" s="333"/>
      <c r="U983" s="333"/>
      <c r="V983" s="333"/>
    </row>
    <row r="984" spans="1:22">
      <c r="A984" s="333"/>
      <c r="B984" s="333"/>
      <c r="C984" s="333"/>
      <c r="D984" s="333"/>
      <c r="E984" s="333"/>
      <c r="F984" s="333"/>
      <c r="G984" s="333"/>
      <c r="H984" s="333"/>
      <c r="I984" s="333"/>
      <c r="J984" s="333"/>
      <c r="K984" s="333"/>
      <c r="L984" s="333"/>
      <c r="M984" s="333"/>
      <c r="N984" s="333"/>
      <c r="O984" s="333"/>
      <c r="P984" s="333"/>
      <c r="Q984" s="333"/>
      <c r="R984" s="333"/>
      <c r="S984" s="333"/>
      <c r="T984" s="333"/>
      <c r="U984" s="333"/>
      <c r="V984" s="333"/>
    </row>
    <row r="985" spans="1:22">
      <c r="A985" s="333"/>
      <c r="B985" s="333"/>
      <c r="C985" s="333"/>
      <c r="D985" s="333"/>
      <c r="E985" s="333"/>
      <c r="F985" s="333"/>
      <c r="G985" s="333"/>
      <c r="H985" s="333"/>
      <c r="I985" s="333"/>
      <c r="J985" s="333"/>
      <c r="K985" s="333"/>
      <c r="L985" s="333"/>
      <c r="M985" s="333"/>
      <c r="N985" s="333"/>
      <c r="O985" s="333"/>
      <c r="P985" s="333"/>
      <c r="Q985" s="333"/>
      <c r="R985" s="333"/>
      <c r="S985" s="333"/>
      <c r="T985" s="333"/>
      <c r="U985" s="333"/>
      <c r="V985" s="333"/>
    </row>
    <row r="986" spans="1:22">
      <c r="A986" s="333"/>
      <c r="B986" s="333"/>
      <c r="C986" s="333"/>
      <c r="D986" s="333"/>
      <c r="E986" s="333"/>
      <c r="F986" s="333"/>
      <c r="G986" s="333"/>
      <c r="H986" s="333"/>
      <c r="I986" s="333"/>
      <c r="J986" s="333"/>
      <c r="K986" s="333"/>
      <c r="L986" s="333"/>
      <c r="M986" s="333"/>
      <c r="N986" s="333"/>
      <c r="O986" s="333"/>
      <c r="P986" s="333"/>
      <c r="Q986" s="333"/>
      <c r="R986" s="333"/>
      <c r="S986" s="333"/>
      <c r="T986" s="333"/>
      <c r="U986" s="333"/>
    </row>
  </sheetData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4"/>
  <sheetViews>
    <sheetView topLeftCell="A14" workbookViewId="0">
      <selection activeCell="B43" sqref="B43:B44"/>
    </sheetView>
  </sheetViews>
  <sheetFormatPr baseColWidth="10" defaultColWidth="12.6640625" defaultRowHeight="15.75" customHeight="1"/>
  <cols>
    <col min="1" max="1" width="50" customWidth="1"/>
    <col min="2" max="2" width="28.6640625" customWidth="1"/>
    <col min="3" max="3" width="20.1640625" customWidth="1"/>
    <col min="4" max="4" width="15.1640625" customWidth="1"/>
  </cols>
  <sheetData>
    <row r="1" spans="1:2" ht="15">
      <c r="A1" s="112"/>
      <c r="B1" s="113"/>
    </row>
    <row r="2" spans="1:2" ht="15">
      <c r="A2" s="113" t="s">
        <v>449</v>
      </c>
      <c r="B2" s="114">
        <v>1.1399999999999999</v>
      </c>
    </row>
    <row r="3" spans="1:2" ht="15">
      <c r="A3" s="115" t="s">
        <v>450</v>
      </c>
      <c r="B3" s="113"/>
    </row>
    <row r="4" spans="1:2" ht="23">
      <c r="A4" s="116" t="s">
        <v>451</v>
      </c>
      <c r="B4" s="113"/>
    </row>
    <row r="5" spans="1:2" ht="23">
      <c r="A5" s="116" t="s">
        <v>452</v>
      </c>
      <c r="B5" s="113"/>
    </row>
    <row r="6" spans="1:2" ht="15">
      <c r="A6" s="117"/>
      <c r="B6" s="113"/>
    </row>
    <row r="7" spans="1:2" ht="15">
      <c r="A7" s="118" t="s">
        <v>453</v>
      </c>
      <c r="B7" s="119"/>
    </row>
    <row r="8" spans="1:2" ht="14">
      <c r="A8" s="120" t="s">
        <v>453</v>
      </c>
      <c r="B8" s="121" t="s">
        <v>239</v>
      </c>
    </row>
    <row r="9" spans="1:2" ht="14">
      <c r="A9" s="120" t="s">
        <v>454</v>
      </c>
      <c r="B9" s="122">
        <v>243840</v>
      </c>
    </row>
    <row r="10" spans="1:2" ht="14">
      <c r="A10" s="120" t="s">
        <v>455</v>
      </c>
      <c r="B10" s="121"/>
    </row>
    <row r="11" spans="1:2" ht="14">
      <c r="A11" s="120" t="s">
        <v>456</v>
      </c>
      <c r="B11" s="121"/>
    </row>
    <row r="12" spans="1:2" ht="14">
      <c r="A12" s="120" t="s">
        <v>457</v>
      </c>
      <c r="B12" s="121"/>
    </row>
    <row r="13" spans="1:2" ht="14">
      <c r="A13" s="120" t="s">
        <v>458</v>
      </c>
      <c r="B13" s="121"/>
    </row>
    <row r="14" spans="1:2" ht="14">
      <c r="A14" s="120" t="s">
        <v>459</v>
      </c>
      <c r="B14" s="121"/>
    </row>
    <row r="15" spans="1:2" ht="14">
      <c r="A15" s="120" t="s">
        <v>460</v>
      </c>
      <c r="B15" s="121"/>
    </row>
    <row r="16" spans="1:2" ht="14">
      <c r="A16" s="120" t="s">
        <v>461</v>
      </c>
      <c r="B16" s="122">
        <v>37080</v>
      </c>
    </row>
    <row r="17" spans="1:2" ht="15">
      <c r="A17" s="123" t="s">
        <v>462</v>
      </c>
      <c r="B17" s="124">
        <f>SUM(B9:B16)</f>
        <v>280920</v>
      </c>
    </row>
    <row r="18" spans="1:2" ht="14">
      <c r="A18" s="120" t="s">
        <v>463</v>
      </c>
      <c r="B18" s="125">
        <v>100</v>
      </c>
    </row>
    <row r="19" spans="1:2" ht="14">
      <c r="A19" s="120"/>
      <c r="B19" s="121"/>
    </row>
    <row r="20" spans="1:2" ht="15">
      <c r="A20" s="126" t="s">
        <v>464</v>
      </c>
      <c r="B20" s="121"/>
    </row>
    <row r="21" spans="1:2" ht="15">
      <c r="A21" s="123" t="s">
        <v>465</v>
      </c>
      <c r="B21" s="127" t="s">
        <v>466</v>
      </c>
    </row>
    <row r="22" spans="1:2" ht="14">
      <c r="A22" s="128" t="s">
        <v>467</v>
      </c>
      <c r="B22" s="121"/>
    </row>
    <row r="23" spans="1:2" ht="14">
      <c r="A23" s="128" t="s">
        <v>468</v>
      </c>
      <c r="B23" s="121" t="s">
        <v>469</v>
      </c>
    </row>
    <row r="24" spans="1:2" ht="14">
      <c r="A24" s="128" t="s">
        <v>470</v>
      </c>
      <c r="B24" s="121" t="s">
        <v>471</v>
      </c>
    </row>
    <row r="25" spans="1:2" ht="15">
      <c r="A25" s="112" t="s">
        <v>472</v>
      </c>
      <c r="B25" s="113"/>
    </row>
    <row r="27" spans="1:2" ht="23">
      <c r="A27" s="116" t="s">
        <v>473</v>
      </c>
      <c r="B27" s="113"/>
    </row>
    <row r="28" spans="1:2" ht="15">
      <c r="A28" s="129"/>
      <c r="B28" s="113"/>
    </row>
    <row r="29" spans="1:2" ht="14">
      <c r="A29" s="612" t="s">
        <v>474</v>
      </c>
      <c r="B29" s="130"/>
    </row>
    <row r="30" spans="1:2" ht="14">
      <c r="A30" s="613"/>
      <c r="B30" s="125" t="s">
        <v>239</v>
      </c>
    </row>
    <row r="31" spans="1:2" ht="14">
      <c r="A31" s="131" t="s">
        <v>475</v>
      </c>
      <c r="B31" s="125" t="s">
        <v>476</v>
      </c>
    </row>
    <row r="32" spans="1:2" ht="14">
      <c r="A32" s="131"/>
      <c r="B32" s="125"/>
    </row>
    <row r="33" spans="1:3" ht="14">
      <c r="A33" s="131"/>
      <c r="B33" s="125"/>
    </row>
    <row r="34" spans="1:3" ht="14">
      <c r="A34" s="131" t="s">
        <v>477</v>
      </c>
      <c r="B34" s="125"/>
    </row>
    <row r="35" spans="1:3" ht="14">
      <c r="A35" s="131" t="s">
        <v>463</v>
      </c>
      <c r="B35" s="125">
        <v>40</v>
      </c>
    </row>
    <row r="36" spans="1:3" ht="14">
      <c r="A36" s="131" t="s">
        <v>478</v>
      </c>
      <c r="B36" s="125" t="s">
        <v>479</v>
      </c>
    </row>
    <row r="37" spans="1:3" ht="14">
      <c r="A37" s="131" t="s">
        <v>480</v>
      </c>
      <c r="B37" s="125" t="s">
        <v>481</v>
      </c>
    </row>
    <row r="38" spans="1:3" ht="15">
      <c r="A38" s="112"/>
      <c r="B38" s="113"/>
    </row>
    <row r="39" spans="1:3" ht="15">
      <c r="A39" s="112"/>
      <c r="B39" s="113"/>
    </row>
    <row r="40" spans="1:3" ht="13">
      <c r="A40" s="1" t="s">
        <v>482</v>
      </c>
      <c r="B40" s="132"/>
    </row>
    <row r="41" spans="1:3" ht="13">
      <c r="A41" s="1" t="s">
        <v>483</v>
      </c>
      <c r="C41" s="133"/>
    </row>
    <row r="42" spans="1:3" ht="13">
      <c r="A42" s="1" t="s">
        <v>484</v>
      </c>
      <c r="B42" s="134">
        <f>B17*B2</f>
        <v>320248.8</v>
      </c>
    </row>
    <row r="43" spans="1:3" ht="13">
      <c r="A43" s="1" t="s">
        <v>485</v>
      </c>
      <c r="B43" s="135">
        <f>70*B2</f>
        <v>79.8</v>
      </c>
    </row>
    <row r="44" spans="1:3" ht="13">
      <c r="A44" s="1" t="s">
        <v>486</v>
      </c>
      <c r="B44" s="135">
        <f>460*B2/300</f>
        <v>1.748</v>
      </c>
    </row>
    <row r="45" spans="1:3" ht="13">
      <c r="A45" s="1" t="s">
        <v>487</v>
      </c>
      <c r="B45" s="135">
        <v>20</v>
      </c>
    </row>
    <row r="46" spans="1:3" ht="13">
      <c r="A46" s="1" t="s">
        <v>488</v>
      </c>
      <c r="B46" s="135">
        <f>SUM(B43:B45)</f>
        <v>101.548</v>
      </c>
    </row>
    <row r="47" spans="1:3" ht="13">
      <c r="A47" s="1" t="s">
        <v>489</v>
      </c>
      <c r="B47" s="136">
        <f>B42/B46</f>
        <v>3153.6692007720485</v>
      </c>
      <c r="C47" s="1" t="s">
        <v>490</v>
      </c>
    </row>
    <row r="48" spans="1:3" ht="13">
      <c r="A48" s="1" t="s">
        <v>491</v>
      </c>
      <c r="B48" s="132" t="str">
        <f>B18/B35&amp;" times"</f>
        <v>2.5 times</v>
      </c>
    </row>
    <row r="49" spans="1:4" ht="13">
      <c r="A49" s="137"/>
      <c r="B49" s="132"/>
    </row>
    <row r="50" spans="1:4" ht="13">
      <c r="A50" s="137" t="s">
        <v>492</v>
      </c>
      <c r="B50" s="132"/>
    </row>
    <row r="51" spans="1:4" ht="13">
      <c r="A51" s="137" t="s">
        <v>493</v>
      </c>
      <c r="B51" s="132"/>
    </row>
    <row r="52" spans="1:4" ht="13">
      <c r="A52" s="1"/>
      <c r="B52" s="132"/>
    </row>
    <row r="53" spans="1:4" ht="28.5" customHeight="1">
      <c r="A53" s="1"/>
      <c r="B53" s="16" t="s">
        <v>494</v>
      </c>
      <c r="C53" s="16" t="s">
        <v>495</v>
      </c>
      <c r="D53" s="16" t="s">
        <v>496</v>
      </c>
    </row>
    <row r="54" spans="1:4" ht="13">
      <c r="A54" s="1" t="s">
        <v>497</v>
      </c>
      <c r="B54" s="135">
        <f>'02 Rev Forecasts; Internal KPIs'!B34*B46</f>
        <v>406192</v>
      </c>
      <c r="C54" s="138">
        <f>B42</f>
        <v>320248.8</v>
      </c>
      <c r="D54" s="18">
        <f t="shared" ref="D54:D55" si="0">B54-C54</f>
        <v>85943.200000000012</v>
      </c>
    </row>
    <row r="55" spans="1:4" ht="13">
      <c r="A55" s="1" t="s">
        <v>498</v>
      </c>
      <c r="B55" s="135">
        <f>'02 Rev Forecasts; Internal KPIs'!B35*B46</f>
        <v>710836</v>
      </c>
      <c r="C55" s="138">
        <f>B42*0.2</f>
        <v>64049.760000000002</v>
      </c>
      <c r="D55" s="18">
        <f t="shared" si="0"/>
        <v>646786.24</v>
      </c>
    </row>
    <row r="56" spans="1:4" ht="13">
      <c r="B56" s="132"/>
    </row>
    <row r="57" spans="1:4" ht="13">
      <c r="B57" s="132"/>
    </row>
    <row r="58" spans="1:4" ht="13">
      <c r="B58" s="132"/>
    </row>
    <row r="59" spans="1:4" ht="13">
      <c r="B59" s="132"/>
    </row>
    <row r="60" spans="1:4" ht="13">
      <c r="B60" s="132"/>
    </row>
    <row r="61" spans="1:4" ht="13">
      <c r="B61" s="132"/>
    </row>
    <row r="62" spans="1:4" ht="13">
      <c r="B62" s="132"/>
    </row>
    <row r="63" spans="1:4" ht="13">
      <c r="B63" s="132"/>
    </row>
    <row r="64" spans="1:4" ht="13">
      <c r="B64" s="132"/>
    </row>
    <row r="65" spans="2:2" ht="13">
      <c r="B65" s="132"/>
    </row>
    <row r="66" spans="2:2" ht="13">
      <c r="B66" s="132"/>
    </row>
    <row r="67" spans="2:2" ht="13">
      <c r="B67" s="132"/>
    </row>
    <row r="68" spans="2:2" ht="13">
      <c r="B68" s="132"/>
    </row>
    <row r="69" spans="2:2" ht="13">
      <c r="B69" s="132"/>
    </row>
    <row r="70" spans="2:2" ht="13">
      <c r="B70" s="132"/>
    </row>
    <row r="71" spans="2:2" ht="13">
      <c r="B71" s="132"/>
    </row>
    <row r="72" spans="2:2" ht="13">
      <c r="B72" s="132"/>
    </row>
    <row r="73" spans="2:2" ht="13">
      <c r="B73" s="132"/>
    </row>
    <row r="74" spans="2:2" ht="13">
      <c r="B74" s="132"/>
    </row>
    <row r="75" spans="2:2" ht="13">
      <c r="B75" s="132"/>
    </row>
    <row r="76" spans="2:2" ht="13">
      <c r="B76" s="132"/>
    </row>
    <row r="77" spans="2:2" ht="13">
      <c r="B77" s="132"/>
    </row>
    <row r="78" spans="2:2" ht="13">
      <c r="B78" s="132"/>
    </row>
    <row r="79" spans="2:2" ht="13">
      <c r="B79" s="132"/>
    </row>
    <row r="80" spans="2:2" ht="13">
      <c r="B80" s="132"/>
    </row>
    <row r="81" spans="2:2" ht="13">
      <c r="B81" s="132"/>
    </row>
    <row r="82" spans="2:2" ht="13">
      <c r="B82" s="132"/>
    </row>
    <row r="83" spans="2:2" ht="13">
      <c r="B83" s="132"/>
    </row>
    <row r="84" spans="2:2" ht="13">
      <c r="B84" s="132"/>
    </row>
    <row r="85" spans="2:2" ht="13">
      <c r="B85" s="132"/>
    </row>
    <row r="86" spans="2:2" ht="13">
      <c r="B86" s="132"/>
    </row>
    <row r="87" spans="2:2" ht="13">
      <c r="B87" s="132"/>
    </row>
    <row r="88" spans="2:2" ht="13">
      <c r="B88" s="132"/>
    </row>
    <row r="89" spans="2:2" ht="13">
      <c r="B89" s="132"/>
    </row>
    <row r="90" spans="2:2" ht="13">
      <c r="B90" s="132"/>
    </row>
    <row r="91" spans="2:2" ht="13">
      <c r="B91" s="132"/>
    </row>
    <row r="92" spans="2:2" ht="13">
      <c r="B92" s="132"/>
    </row>
    <row r="93" spans="2:2" ht="13">
      <c r="B93" s="132"/>
    </row>
    <row r="94" spans="2:2" ht="13">
      <c r="B94" s="132"/>
    </row>
    <row r="95" spans="2:2" ht="13">
      <c r="B95" s="132"/>
    </row>
    <row r="96" spans="2:2" ht="13">
      <c r="B96" s="132"/>
    </row>
    <row r="97" spans="2:2" ht="13">
      <c r="B97" s="132"/>
    </row>
    <row r="98" spans="2:2" ht="13">
      <c r="B98" s="132"/>
    </row>
    <row r="99" spans="2:2" ht="13">
      <c r="B99" s="132"/>
    </row>
    <row r="100" spans="2:2" ht="13">
      <c r="B100" s="132"/>
    </row>
    <row r="101" spans="2:2" ht="13">
      <c r="B101" s="132"/>
    </row>
    <row r="102" spans="2:2" ht="13">
      <c r="B102" s="132"/>
    </row>
    <row r="103" spans="2:2" ht="13">
      <c r="B103" s="132"/>
    </row>
    <row r="104" spans="2:2" ht="13">
      <c r="B104" s="132"/>
    </row>
    <row r="105" spans="2:2" ht="13">
      <c r="B105" s="132"/>
    </row>
    <row r="106" spans="2:2" ht="13">
      <c r="B106" s="132"/>
    </row>
    <row r="107" spans="2:2" ht="13">
      <c r="B107" s="132"/>
    </row>
    <row r="108" spans="2:2" ht="13">
      <c r="B108" s="132"/>
    </row>
    <row r="109" spans="2:2" ht="13">
      <c r="B109" s="132"/>
    </row>
    <row r="110" spans="2:2" ht="13">
      <c r="B110" s="132"/>
    </row>
    <row r="111" spans="2:2" ht="13">
      <c r="B111" s="132"/>
    </row>
    <row r="112" spans="2:2" ht="13">
      <c r="B112" s="132"/>
    </row>
    <row r="113" spans="2:2" ht="13">
      <c r="B113" s="132"/>
    </row>
    <row r="114" spans="2:2" ht="13">
      <c r="B114" s="132"/>
    </row>
    <row r="115" spans="2:2" ht="13">
      <c r="B115" s="132"/>
    </row>
    <row r="116" spans="2:2" ht="13">
      <c r="B116" s="132"/>
    </row>
    <row r="117" spans="2:2" ht="13">
      <c r="B117" s="132"/>
    </row>
    <row r="118" spans="2:2" ht="13">
      <c r="B118" s="132"/>
    </row>
    <row r="119" spans="2:2" ht="13">
      <c r="B119" s="132"/>
    </row>
    <row r="120" spans="2:2" ht="13">
      <c r="B120" s="132"/>
    </row>
    <row r="121" spans="2:2" ht="13">
      <c r="B121" s="132"/>
    </row>
    <row r="122" spans="2:2" ht="13">
      <c r="B122" s="132"/>
    </row>
    <row r="123" spans="2:2" ht="13">
      <c r="B123" s="132"/>
    </row>
    <row r="124" spans="2:2" ht="13">
      <c r="B124" s="132"/>
    </row>
    <row r="125" spans="2:2" ht="13">
      <c r="B125" s="132"/>
    </row>
    <row r="126" spans="2:2" ht="13">
      <c r="B126" s="132"/>
    </row>
    <row r="127" spans="2:2" ht="13">
      <c r="B127" s="132"/>
    </row>
    <row r="128" spans="2:2" ht="13">
      <c r="B128" s="132"/>
    </row>
    <row r="129" spans="2:2" ht="13">
      <c r="B129" s="132"/>
    </row>
    <row r="130" spans="2:2" ht="13">
      <c r="B130" s="132"/>
    </row>
    <row r="131" spans="2:2" ht="13">
      <c r="B131" s="132"/>
    </row>
    <row r="132" spans="2:2" ht="13">
      <c r="B132" s="132"/>
    </row>
    <row r="133" spans="2:2" ht="13">
      <c r="B133" s="132"/>
    </row>
    <row r="134" spans="2:2" ht="13">
      <c r="B134" s="132"/>
    </row>
    <row r="135" spans="2:2" ht="13">
      <c r="B135" s="132"/>
    </row>
    <row r="136" spans="2:2" ht="13">
      <c r="B136" s="132"/>
    </row>
    <row r="137" spans="2:2" ht="13">
      <c r="B137" s="132"/>
    </row>
    <row r="138" spans="2:2" ht="13">
      <c r="B138" s="132"/>
    </row>
    <row r="139" spans="2:2" ht="13">
      <c r="B139" s="132"/>
    </row>
    <row r="140" spans="2:2" ht="13">
      <c r="B140" s="132"/>
    </row>
    <row r="141" spans="2:2" ht="13">
      <c r="B141" s="132"/>
    </row>
    <row r="142" spans="2:2" ht="13">
      <c r="B142" s="132"/>
    </row>
    <row r="143" spans="2:2" ht="13">
      <c r="B143" s="132"/>
    </row>
    <row r="144" spans="2:2" ht="13">
      <c r="B144" s="132"/>
    </row>
    <row r="145" spans="2:2" ht="13">
      <c r="B145" s="132"/>
    </row>
    <row r="146" spans="2:2" ht="13">
      <c r="B146" s="132"/>
    </row>
    <row r="147" spans="2:2" ht="13">
      <c r="B147" s="132"/>
    </row>
    <row r="148" spans="2:2" ht="13">
      <c r="B148" s="132"/>
    </row>
    <row r="149" spans="2:2" ht="13">
      <c r="B149" s="132"/>
    </row>
    <row r="150" spans="2:2" ht="13">
      <c r="B150" s="132"/>
    </row>
    <row r="151" spans="2:2" ht="13">
      <c r="B151" s="132"/>
    </row>
    <row r="152" spans="2:2" ht="13">
      <c r="B152" s="132"/>
    </row>
    <row r="153" spans="2:2" ht="13">
      <c r="B153" s="132"/>
    </row>
    <row r="154" spans="2:2" ht="13">
      <c r="B154" s="132"/>
    </row>
    <row r="155" spans="2:2" ht="13">
      <c r="B155" s="132"/>
    </row>
    <row r="156" spans="2:2" ht="13">
      <c r="B156" s="132"/>
    </row>
    <row r="157" spans="2:2" ht="13">
      <c r="B157" s="132"/>
    </row>
    <row r="158" spans="2:2" ht="13">
      <c r="B158" s="132"/>
    </row>
    <row r="159" spans="2:2" ht="13">
      <c r="B159" s="132"/>
    </row>
    <row r="160" spans="2:2" ht="13">
      <c r="B160" s="132"/>
    </row>
    <row r="161" spans="2:2" ht="13">
      <c r="B161" s="132"/>
    </row>
    <row r="162" spans="2:2" ht="13">
      <c r="B162" s="132"/>
    </row>
    <row r="163" spans="2:2" ht="13">
      <c r="B163" s="132"/>
    </row>
    <row r="164" spans="2:2" ht="13">
      <c r="B164" s="132"/>
    </row>
    <row r="165" spans="2:2" ht="13">
      <c r="B165" s="132"/>
    </row>
    <row r="166" spans="2:2" ht="13">
      <c r="B166" s="132"/>
    </row>
    <row r="167" spans="2:2" ht="13">
      <c r="B167" s="132"/>
    </row>
    <row r="168" spans="2:2" ht="13">
      <c r="B168" s="132"/>
    </row>
    <row r="169" spans="2:2" ht="13">
      <c r="B169" s="132"/>
    </row>
    <row r="170" spans="2:2" ht="13">
      <c r="B170" s="132"/>
    </row>
    <row r="171" spans="2:2" ht="13">
      <c r="B171" s="132"/>
    </row>
    <row r="172" spans="2:2" ht="13">
      <c r="B172" s="132"/>
    </row>
    <row r="173" spans="2:2" ht="13">
      <c r="B173" s="132"/>
    </row>
    <row r="174" spans="2:2" ht="13">
      <c r="B174" s="132"/>
    </row>
    <row r="175" spans="2:2" ht="13">
      <c r="B175" s="132"/>
    </row>
    <row r="176" spans="2:2" ht="13">
      <c r="B176" s="132"/>
    </row>
    <row r="177" spans="2:2" ht="13">
      <c r="B177" s="132"/>
    </row>
    <row r="178" spans="2:2" ht="13">
      <c r="B178" s="132"/>
    </row>
    <row r="179" spans="2:2" ht="13">
      <c r="B179" s="132"/>
    </row>
    <row r="180" spans="2:2" ht="13">
      <c r="B180" s="132"/>
    </row>
    <row r="181" spans="2:2" ht="13">
      <c r="B181" s="132"/>
    </row>
    <row r="182" spans="2:2" ht="13">
      <c r="B182" s="132"/>
    </row>
    <row r="183" spans="2:2" ht="13">
      <c r="B183" s="132"/>
    </row>
    <row r="184" spans="2:2" ht="13">
      <c r="B184" s="132"/>
    </row>
    <row r="185" spans="2:2" ht="13">
      <c r="B185" s="132"/>
    </row>
    <row r="186" spans="2:2" ht="13">
      <c r="B186" s="132"/>
    </row>
    <row r="187" spans="2:2" ht="13">
      <c r="B187" s="132"/>
    </row>
    <row r="188" spans="2:2" ht="13">
      <c r="B188" s="132"/>
    </row>
    <row r="189" spans="2:2" ht="13">
      <c r="B189" s="132"/>
    </row>
    <row r="190" spans="2:2" ht="13">
      <c r="B190" s="132"/>
    </row>
    <row r="191" spans="2:2" ht="13">
      <c r="B191" s="132"/>
    </row>
    <row r="192" spans="2:2" ht="13">
      <c r="B192" s="132"/>
    </row>
    <row r="193" spans="2:2" ht="13">
      <c r="B193" s="132"/>
    </row>
    <row r="194" spans="2:2" ht="13">
      <c r="B194" s="132"/>
    </row>
    <row r="195" spans="2:2" ht="13">
      <c r="B195" s="132"/>
    </row>
    <row r="196" spans="2:2" ht="13">
      <c r="B196" s="132"/>
    </row>
    <row r="197" spans="2:2" ht="13">
      <c r="B197" s="132"/>
    </row>
    <row r="198" spans="2:2" ht="13">
      <c r="B198" s="132"/>
    </row>
    <row r="199" spans="2:2" ht="13">
      <c r="B199" s="132"/>
    </row>
    <row r="200" spans="2:2" ht="13">
      <c r="B200" s="132"/>
    </row>
    <row r="201" spans="2:2" ht="13">
      <c r="B201" s="132"/>
    </row>
    <row r="202" spans="2:2" ht="13">
      <c r="B202" s="132"/>
    </row>
    <row r="203" spans="2:2" ht="13">
      <c r="B203" s="132"/>
    </row>
    <row r="204" spans="2:2" ht="13">
      <c r="B204" s="132"/>
    </row>
    <row r="205" spans="2:2" ht="13">
      <c r="B205" s="132"/>
    </row>
    <row r="206" spans="2:2" ht="13">
      <c r="B206" s="132"/>
    </row>
    <row r="207" spans="2:2" ht="13">
      <c r="B207" s="132"/>
    </row>
    <row r="208" spans="2:2" ht="13">
      <c r="B208" s="132"/>
    </row>
    <row r="209" spans="2:2" ht="13">
      <c r="B209" s="132"/>
    </row>
    <row r="210" spans="2:2" ht="13">
      <c r="B210" s="132"/>
    </row>
    <row r="211" spans="2:2" ht="13">
      <c r="B211" s="132"/>
    </row>
    <row r="212" spans="2:2" ht="13">
      <c r="B212" s="132"/>
    </row>
    <row r="213" spans="2:2" ht="13">
      <c r="B213" s="132"/>
    </row>
    <row r="214" spans="2:2" ht="13">
      <c r="B214" s="132"/>
    </row>
    <row r="215" spans="2:2" ht="13">
      <c r="B215" s="132"/>
    </row>
    <row r="216" spans="2:2" ht="13">
      <c r="B216" s="132"/>
    </row>
    <row r="217" spans="2:2" ht="13">
      <c r="B217" s="132"/>
    </row>
    <row r="218" spans="2:2" ht="13">
      <c r="B218" s="132"/>
    </row>
    <row r="219" spans="2:2" ht="13">
      <c r="B219" s="132"/>
    </row>
    <row r="220" spans="2:2" ht="13">
      <c r="B220" s="132"/>
    </row>
    <row r="221" spans="2:2" ht="13">
      <c r="B221" s="132"/>
    </row>
    <row r="222" spans="2:2" ht="13">
      <c r="B222" s="132"/>
    </row>
    <row r="223" spans="2:2" ht="13">
      <c r="B223" s="132"/>
    </row>
    <row r="224" spans="2:2" ht="13">
      <c r="B224" s="132"/>
    </row>
    <row r="225" spans="2:2" ht="13">
      <c r="B225" s="132"/>
    </row>
    <row r="226" spans="2:2" ht="13">
      <c r="B226" s="132"/>
    </row>
    <row r="227" spans="2:2" ht="13">
      <c r="B227" s="132"/>
    </row>
    <row r="228" spans="2:2" ht="13">
      <c r="B228" s="132"/>
    </row>
    <row r="229" spans="2:2" ht="13">
      <c r="B229" s="132"/>
    </row>
    <row r="230" spans="2:2" ht="13">
      <c r="B230" s="132"/>
    </row>
    <row r="231" spans="2:2" ht="13">
      <c r="B231" s="132"/>
    </row>
    <row r="232" spans="2:2" ht="13">
      <c r="B232" s="132"/>
    </row>
    <row r="233" spans="2:2" ht="13">
      <c r="B233" s="132"/>
    </row>
    <row r="234" spans="2:2" ht="13">
      <c r="B234" s="132"/>
    </row>
    <row r="235" spans="2:2" ht="13">
      <c r="B235" s="132"/>
    </row>
    <row r="236" spans="2:2" ht="13">
      <c r="B236" s="132"/>
    </row>
    <row r="237" spans="2:2" ht="13">
      <c r="B237" s="132"/>
    </row>
    <row r="238" spans="2:2" ht="13">
      <c r="B238" s="132"/>
    </row>
    <row r="239" spans="2:2" ht="13">
      <c r="B239" s="132"/>
    </row>
    <row r="240" spans="2:2" ht="13">
      <c r="B240" s="132"/>
    </row>
    <row r="241" spans="2:2" ht="13">
      <c r="B241" s="132"/>
    </row>
    <row r="242" spans="2:2" ht="13">
      <c r="B242" s="132"/>
    </row>
    <row r="243" spans="2:2" ht="13">
      <c r="B243" s="132"/>
    </row>
    <row r="244" spans="2:2" ht="13">
      <c r="B244" s="132"/>
    </row>
    <row r="245" spans="2:2" ht="13">
      <c r="B245" s="132"/>
    </row>
    <row r="246" spans="2:2" ht="13">
      <c r="B246" s="132"/>
    </row>
    <row r="247" spans="2:2" ht="13">
      <c r="B247" s="132"/>
    </row>
    <row r="248" spans="2:2" ht="13">
      <c r="B248" s="132"/>
    </row>
    <row r="249" spans="2:2" ht="13">
      <c r="B249" s="132"/>
    </row>
    <row r="250" spans="2:2" ht="13">
      <c r="B250" s="132"/>
    </row>
    <row r="251" spans="2:2" ht="13">
      <c r="B251" s="132"/>
    </row>
    <row r="252" spans="2:2" ht="13">
      <c r="B252" s="132"/>
    </row>
    <row r="253" spans="2:2" ht="13">
      <c r="B253" s="132"/>
    </row>
    <row r="254" spans="2:2" ht="13">
      <c r="B254" s="132"/>
    </row>
    <row r="255" spans="2:2" ht="13">
      <c r="B255" s="132"/>
    </row>
    <row r="256" spans="2:2" ht="13">
      <c r="B256" s="132"/>
    </row>
    <row r="257" spans="2:2" ht="13">
      <c r="B257" s="132"/>
    </row>
    <row r="258" spans="2:2" ht="13">
      <c r="B258" s="132"/>
    </row>
    <row r="259" spans="2:2" ht="13">
      <c r="B259" s="132"/>
    </row>
    <row r="260" spans="2:2" ht="13">
      <c r="B260" s="132"/>
    </row>
    <row r="261" spans="2:2" ht="13">
      <c r="B261" s="132"/>
    </row>
    <row r="262" spans="2:2" ht="13">
      <c r="B262" s="132"/>
    </row>
    <row r="263" spans="2:2" ht="13">
      <c r="B263" s="132"/>
    </row>
    <row r="264" spans="2:2" ht="13">
      <c r="B264" s="132"/>
    </row>
    <row r="265" spans="2:2" ht="13">
      <c r="B265" s="132"/>
    </row>
    <row r="266" spans="2:2" ht="13">
      <c r="B266" s="132"/>
    </row>
    <row r="267" spans="2:2" ht="13">
      <c r="B267" s="132"/>
    </row>
    <row r="268" spans="2:2" ht="13">
      <c r="B268" s="132"/>
    </row>
    <row r="269" spans="2:2" ht="13">
      <c r="B269" s="132"/>
    </row>
    <row r="270" spans="2:2" ht="13">
      <c r="B270" s="132"/>
    </row>
    <row r="271" spans="2:2" ht="13">
      <c r="B271" s="132"/>
    </row>
    <row r="272" spans="2:2" ht="13">
      <c r="B272" s="132"/>
    </row>
    <row r="273" spans="2:2" ht="13">
      <c r="B273" s="132"/>
    </row>
    <row r="274" spans="2:2" ht="13">
      <c r="B274" s="132"/>
    </row>
    <row r="275" spans="2:2" ht="13">
      <c r="B275" s="132"/>
    </row>
    <row r="276" spans="2:2" ht="13">
      <c r="B276" s="132"/>
    </row>
    <row r="277" spans="2:2" ht="13">
      <c r="B277" s="132"/>
    </row>
    <row r="278" spans="2:2" ht="13">
      <c r="B278" s="132"/>
    </row>
    <row r="279" spans="2:2" ht="13">
      <c r="B279" s="132"/>
    </row>
    <row r="280" spans="2:2" ht="13">
      <c r="B280" s="132"/>
    </row>
    <row r="281" spans="2:2" ht="13">
      <c r="B281" s="132"/>
    </row>
    <row r="282" spans="2:2" ht="13">
      <c r="B282" s="132"/>
    </row>
    <row r="283" spans="2:2" ht="13">
      <c r="B283" s="132"/>
    </row>
    <row r="284" spans="2:2" ht="13">
      <c r="B284" s="132"/>
    </row>
    <row r="285" spans="2:2" ht="13">
      <c r="B285" s="132"/>
    </row>
    <row r="286" spans="2:2" ht="13">
      <c r="B286" s="132"/>
    </row>
    <row r="287" spans="2:2" ht="13">
      <c r="B287" s="132"/>
    </row>
    <row r="288" spans="2:2" ht="13">
      <c r="B288" s="132"/>
    </row>
    <row r="289" spans="2:2" ht="13">
      <c r="B289" s="132"/>
    </row>
    <row r="290" spans="2:2" ht="13">
      <c r="B290" s="132"/>
    </row>
    <row r="291" spans="2:2" ht="13">
      <c r="B291" s="132"/>
    </row>
    <row r="292" spans="2:2" ht="13">
      <c r="B292" s="132"/>
    </row>
    <row r="293" spans="2:2" ht="13">
      <c r="B293" s="132"/>
    </row>
    <row r="294" spans="2:2" ht="13">
      <c r="B294" s="132"/>
    </row>
    <row r="295" spans="2:2" ht="13">
      <c r="B295" s="132"/>
    </row>
    <row r="296" spans="2:2" ht="13">
      <c r="B296" s="132"/>
    </row>
    <row r="297" spans="2:2" ht="13">
      <c r="B297" s="132"/>
    </row>
    <row r="298" spans="2:2" ht="13">
      <c r="B298" s="132"/>
    </row>
    <row r="299" spans="2:2" ht="13">
      <c r="B299" s="132"/>
    </row>
    <row r="300" spans="2:2" ht="13">
      <c r="B300" s="132"/>
    </row>
    <row r="301" spans="2:2" ht="13">
      <c r="B301" s="132"/>
    </row>
    <row r="302" spans="2:2" ht="13">
      <c r="B302" s="132"/>
    </row>
    <row r="303" spans="2:2" ht="13">
      <c r="B303" s="132"/>
    </row>
    <row r="304" spans="2:2" ht="13">
      <c r="B304" s="132"/>
    </row>
    <row r="305" spans="2:2" ht="13">
      <c r="B305" s="132"/>
    </row>
    <row r="306" spans="2:2" ht="13">
      <c r="B306" s="132"/>
    </row>
    <row r="307" spans="2:2" ht="13">
      <c r="B307" s="132"/>
    </row>
    <row r="308" spans="2:2" ht="13">
      <c r="B308" s="132"/>
    </row>
    <row r="309" spans="2:2" ht="13">
      <c r="B309" s="132"/>
    </row>
    <row r="310" spans="2:2" ht="13">
      <c r="B310" s="132"/>
    </row>
    <row r="311" spans="2:2" ht="13">
      <c r="B311" s="132"/>
    </row>
    <row r="312" spans="2:2" ht="13">
      <c r="B312" s="132"/>
    </row>
    <row r="313" spans="2:2" ht="13">
      <c r="B313" s="132"/>
    </row>
    <row r="314" spans="2:2" ht="13">
      <c r="B314" s="132"/>
    </row>
    <row r="315" spans="2:2" ht="13">
      <c r="B315" s="132"/>
    </row>
    <row r="316" spans="2:2" ht="13">
      <c r="B316" s="132"/>
    </row>
    <row r="317" spans="2:2" ht="13">
      <c r="B317" s="132"/>
    </row>
    <row r="318" spans="2:2" ht="13">
      <c r="B318" s="132"/>
    </row>
    <row r="319" spans="2:2" ht="13">
      <c r="B319" s="132"/>
    </row>
    <row r="320" spans="2:2" ht="13">
      <c r="B320" s="132"/>
    </row>
    <row r="321" spans="2:2" ht="13">
      <c r="B321" s="132"/>
    </row>
    <row r="322" spans="2:2" ht="13">
      <c r="B322" s="132"/>
    </row>
    <row r="323" spans="2:2" ht="13">
      <c r="B323" s="132"/>
    </row>
    <row r="324" spans="2:2" ht="13">
      <c r="B324" s="132"/>
    </row>
    <row r="325" spans="2:2" ht="13">
      <c r="B325" s="132"/>
    </row>
    <row r="326" spans="2:2" ht="13">
      <c r="B326" s="132"/>
    </row>
    <row r="327" spans="2:2" ht="13">
      <c r="B327" s="132"/>
    </row>
    <row r="328" spans="2:2" ht="13">
      <c r="B328" s="132"/>
    </row>
    <row r="329" spans="2:2" ht="13">
      <c r="B329" s="132"/>
    </row>
    <row r="330" spans="2:2" ht="13">
      <c r="B330" s="132"/>
    </row>
    <row r="331" spans="2:2" ht="13">
      <c r="B331" s="132"/>
    </row>
    <row r="332" spans="2:2" ht="13">
      <c r="B332" s="132"/>
    </row>
    <row r="333" spans="2:2" ht="13">
      <c r="B333" s="132"/>
    </row>
    <row r="334" spans="2:2" ht="13">
      <c r="B334" s="132"/>
    </row>
    <row r="335" spans="2:2" ht="13">
      <c r="B335" s="132"/>
    </row>
    <row r="336" spans="2:2" ht="13">
      <c r="B336" s="132"/>
    </row>
    <row r="337" spans="2:2" ht="13">
      <c r="B337" s="132"/>
    </row>
    <row r="338" spans="2:2" ht="13">
      <c r="B338" s="132"/>
    </row>
    <row r="339" spans="2:2" ht="13">
      <c r="B339" s="132"/>
    </row>
    <row r="340" spans="2:2" ht="13">
      <c r="B340" s="132"/>
    </row>
    <row r="341" spans="2:2" ht="13">
      <c r="B341" s="132"/>
    </row>
    <row r="342" spans="2:2" ht="13">
      <c r="B342" s="132"/>
    </row>
    <row r="343" spans="2:2" ht="13">
      <c r="B343" s="132"/>
    </row>
    <row r="344" spans="2:2" ht="13">
      <c r="B344" s="132"/>
    </row>
    <row r="345" spans="2:2" ht="13">
      <c r="B345" s="132"/>
    </row>
    <row r="346" spans="2:2" ht="13">
      <c r="B346" s="132"/>
    </row>
    <row r="347" spans="2:2" ht="13">
      <c r="B347" s="132"/>
    </row>
    <row r="348" spans="2:2" ht="13">
      <c r="B348" s="132"/>
    </row>
    <row r="349" spans="2:2" ht="13">
      <c r="B349" s="132"/>
    </row>
    <row r="350" spans="2:2" ht="13">
      <c r="B350" s="132"/>
    </row>
    <row r="351" spans="2:2" ht="13">
      <c r="B351" s="132"/>
    </row>
    <row r="352" spans="2:2" ht="13">
      <c r="B352" s="132"/>
    </row>
    <row r="353" spans="2:2" ht="13">
      <c r="B353" s="132"/>
    </row>
    <row r="354" spans="2:2" ht="13">
      <c r="B354" s="132"/>
    </row>
    <row r="355" spans="2:2" ht="13">
      <c r="B355" s="132"/>
    </row>
    <row r="356" spans="2:2" ht="13">
      <c r="B356" s="132"/>
    </row>
    <row r="357" spans="2:2" ht="13">
      <c r="B357" s="132"/>
    </row>
    <row r="358" spans="2:2" ht="13">
      <c r="B358" s="132"/>
    </row>
    <row r="359" spans="2:2" ht="13">
      <c r="B359" s="132"/>
    </row>
    <row r="360" spans="2:2" ht="13">
      <c r="B360" s="132"/>
    </row>
    <row r="361" spans="2:2" ht="13">
      <c r="B361" s="132"/>
    </row>
    <row r="362" spans="2:2" ht="13">
      <c r="B362" s="132"/>
    </row>
    <row r="363" spans="2:2" ht="13">
      <c r="B363" s="132"/>
    </row>
    <row r="364" spans="2:2" ht="13">
      <c r="B364" s="132"/>
    </row>
    <row r="365" spans="2:2" ht="13">
      <c r="B365" s="132"/>
    </row>
    <row r="366" spans="2:2" ht="13">
      <c r="B366" s="132"/>
    </row>
    <row r="367" spans="2:2" ht="13">
      <c r="B367" s="132"/>
    </row>
    <row r="368" spans="2:2" ht="13">
      <c r="B368" s="132"/>
    </row>
    <row r="369" spans="2:2" ht="13">
      <c r="B369" s="132"/>
    </row>
    <row r="370" spans="2:2" ht="13">
      <c r="B370" s="132"/>
    </row>
    <row r="371" spans="2:2" ht="13">
      <c r="B371" s="132"/>
    </row>
    <row r="372" spans="2:2" ht="13">
      <c r="B372" s="132"/>
    </row>
    <row r="373" spans="2:2" ht="13">
      <c r="B373" s="132"/>
    </row>
    <row r="374" spans="2:2" ht="13">
      <c r="B374" s="132"/>
    </row>
    <row r="375" spans="2:2" ht="13">
      <c r="B375" s="132"/>
    </row>
    <row r="376" spans="2:2" ht="13">
      <c r="B376" s="132"/>
    </row>
    <row r="377" spans="2:2" ht="13">
      <c r="B377" s="132"/>
    </row>
    <row r="378" spans="2:2" ht="13">
      <c r="B378" s="132"/>
    </row>
    <row r="379" spans="2:2" ht="13">
      <c r="B379" s="132"/>
    </row>
    <row r="380" spans="2:2" ht="13">
      <c r="B380" s="132"/>
    </row>
    <row r="381" spans="2:2" ht="13">
      <c r="B381" s="132"/>
    </row>
    <row r="382" spans="2:2" ht="13">
      <c r="B382" s="132"/>
    </row>
    <row r="383" spans="2:2" ht="13">
      <c r="B383" s="132"/>
    </row>
    <row r="384" spans="2:2" ht="13">
      <c r="B384" s="132"/>
    </row>
    <row r="385" spans="2:2" ht="13">
      <c r="B385" s="132"/>
    </row>
    <row r="386" spans="2:2" ht="13">
      <c r="B386" s="132"/>
    </row>
    <row r="387" spans="2:2" ht="13">
      <c r="B387" s="132"/>
    </row>
    <row r="388" spans="2:2" ht="13">
      <c r="B388" s="132"/>
    </row>
    <row r="389" spans="2:2" ht="13">
      <c r="B389" s="132"/>
    </row>
    <row r="390" spans="2:2" ht="13">
      <c r="B390" s="132"/>
    </row>
    <row r="391" spans="2:2" ht="13">
      <c r="B391" s="132"/>
    </row>
    <row r="392" spans="2:2" ht="13">
      <c r="B392" s="132"/>
    </row>
    <row r="393" spans="2:2" ht="13">
      <c r="B393" s="132"/>
    </row>
    <row r="394" spans="2:2" ht="13">
      <c r="B394" s="132"/>
    </row>
    <row r="395" spans="2:2" ht="13">
      <c r="B395" s="132"/>
    </row>
    <row r="396" spans="2:2" ht="13">
      <c r="B396" s="132"/>
    </row>
    <row r="397" spans="2:2" ht="13">
      <c r="B397" s="132"/>
    </row>
    <row r="398" spans="2:2" ht="13">
      <c r="B398" s="132"/>
    </row>
    <row r="399" spans="2:2" ht="13">
      <c r="B399" s="132"/>
    </row>
    <row r="400" spans="2:2" ht="13">
      <c r="B400" s="132"/>
    </row>
    <row r="401" spans="2:2" ht="13">
      <c r="B401" s="132"/>
    </row>
    <row r="402" spans="2:2" ht="13">
      <c r="B402" s="132"/>
    </row>
    <row r="403" spans="2:2" ht="13">
      <c r="B403" s="132"/>
    </row>
    <row r="404" spans="2:2" ht="13">
      <c r="B404" s="132"/>
    </row>
    <row r="405" spans="2:2" ht="13">
      <c r="B405" s="132"/>
    </row>
    <row r="406" spans="2:2" ht="13">
      <c r="B406" s="132"/>
    </row>
    <row r="407" spans="2:2" ht="13">
      <c r="B407" s="132"/>
    </row>
    <row r="408" spans="2:2" ht="13">
      <c r="B408" s="132"/>
    </row>
    <row r="409" spans="2:2" ht="13">
      <c r="B409" s="132"/>
    </row>
    <row r="410" spans="2:2" ht="13">
      <c r="B410" s="132"/>
    </row>
    <row r="411" spans="2:2" ht="13">
      <c r="B411" s="132"/>
    </row>
    <row r="412" spans="2:2" ht="13">
      <c r="B412" s="132"/>
    </row>
    <row r="413" spans="2:2" ht="13">
      <c r="B413" s="132"/>
    </row>
    <row r="414" spans="2:2" ht="13">
      <c r="B414" s="132"/>
    </row>
    <row r="415" spans="2:2" ht="13">
      <c r="B415" s="132"/>
    </row>
    <row r="416" spans="2:2" ht="13">
      <c r="B416" s="132"/>
    </row>
    <row r="417" spans="2:2" ht="13">
      <c r="B417" s="132"/>
    </row>
    <row r="418" spans="2:2" ht="13">
      <c r="B418" s="132"/>
    </row>
    <row r="419" spans="2:2" ht="13">
      <c r="B419" s="132"/>
    </row>
    <row r="420" spans="2:2" ht="13">
      <c r="B420" s="132"/>
    </row>
    <row r="421" spans="2:2" ht="13">
      <c r="B421" s="132"/>
    </row>
    <row r="422" spans="2:2" ht="13">
      <c r="B422" s="132"/>
    </row>
    <row r="423" spans="2:2" ht="13">
      <c r="B423" s="132"/>
    </row>
    <row r="424" spans="2:2" ht="13">
      <c r="B424" s="132"/>
    </row>
    <row r="425" spans="2:2" ht="13">
      <c r="B425" s="132"/>
    </row>
    <row r="426" spans="2:2" ht="13">
      <c r="B426" s="132"/>
    </row>
    <row r="427" spans="2:2" ht="13">
      <c r="B427" s="132"/>
    </row>
    <row r="428" spans="2:2" ht="13">
      <c r="B428" s="132"/>
    </row>
    <row r="429" spans="2:2" ht="13">
      <c r="B429" s="132"/>
    </row>
    <row r="430" spans="2:2" ht="13">
      <c r="B430" s="132"/>
    </row>
    <row r="431" spans="2:2" ht="13">
      <c r="B431" s="132"/>
    </row>
    <row r="432" spans="2:2" ht="13">
      <c r="B432" s="132"/>
    </row>
    <row r="433" spans="2:2" ht="13">
      <c r="B433" s="132"/>
    </row>
    <row r="434" spans="2:2" ht="13">
      <c r="B434" s="132"/>
    </row>
    <row r="435" spans="2:2" ht="13">
      <c r="B435" s="132"/>
    </row>
    <row r="436" spans="2:2" ht="13">
      <c r="B436" s="132"/>
    </row>
    <row r="437" spans="2:2" ht="13">
      <c r="B437" s="132"/>
    </row>
    <row r="438" spans="2:2" ht="13">
      <c r="B438" s="132"/>
    </row>
    <row r="439" spans="2:2" ht="13">
      <c r="B439" s="132"/>
    </row>
    <row r="440" spans="2:2" ht="13">
      <c r="B440" s="132"/>
    </row>
    <row r="441" spans="2:2" ht="13">
      <c r="B441" s="132"/>
    </row>
    <row r="442" spans="2:2" ht="13">
      <c r="B442" s="132"/>
    </row>
    <row r="443" spans="2:2" ht="13">
      <c r="B443" s="132"/>
    </row>
    <row r="444" spans="2:2" ht="13">
      <c r="B444" s="132"/>
    </row>
    <row r="445" spans="2:2" ht="13">
      <c r="B445" s="132"/>
    </row>
    <row r="446" spans="2:2" ht="13">
      <c r="B446" s="132"/>
    </row>
    <row r="447" spans="2:2" ht="13">
      <c r="B447" s="132"/>
    </row>
    <row r="448" spans="2:2" ht="13">
      <c r="B448" s="132"/>
    </row>
    <row r="449" spans="2:2" ht="13">
      <c r="B449" s="132"/>
    </row>
    <row r="450" spans="2:2" ht="13">
      <c r="B450" s="132"/>
    </row>
    <row r="451" spans="2:2" ht="13">
      <c r="B451" s="132"/>
    </row>
    <row r="452" spans="2:2" ht="13">
      <c r="B452" s="132"/>
    </row>
    <row r="453" spans="2:2" ht="13">
      <c r="B453" s="132"/>
    </row>
    <row r="454" spans="2:2" ht="13">
      <c r="B454" s="132"/>
    </row>
    <row r="455" spans="2:2" ht="13">
      <c r="B455" s="132"/>
    </row>
    <row r="456" spans="2:2" ht="13">
      <c r="B456" s="132"/>
    </row>
    <row r="457" spans="2:2" ht="13">
      <c r="B457" s="132"/>
    </row>
    <row r="458" spans="2:2" ht="13">
      <c r="B458" s="132"/>
    </row>
    <row r="459" spans="2:2" ht="13">
      <c r="B459" s="132"/>
    </row>
    <row r="460" spans="2:2" ht="13">
      <c r="B460" s="132"/>
    </row>
    <row r="461" spans="2:2" ht="13">
      <c r="B461" s="132"/>
    </row>
    <row r="462" spans="2:2" ht="13">
      <c r="B462" s="132"/>
    </row>
    <row r="463" spans="2:2" ht="13">
      <c r="B463" s="132"/>
    </row>
    <row r="464" spans="2:2" ht="13">
      <c r="B464" s="132"/>
    </row>
    <row r="465" spans="2:2" ht="13">
      <c r="B465" s="132"/>
    </row>
    <row r="466" spans="2:2" ht="13">
      <c r="B466" s="132"/>
    </row>
    <row r="467" spans="2:2" ht="13">
      <c r="B467" s="132"/>
    </row>
    <row r="468" spans="2:2" ht="13">
      <c r="B468" s="132"/>
    </row>
    <row r="469" spans="2:2" ht="13">
      <c r="B469" s="132"/>
    </row>
    <row r="470" spans="2:2" ht="13">
      <c r="B470" s="132"/>
    </row>
    <row r="471" spans="2:2" ht="13">
      <c r="B471" s="132"/>
    </row>
    <row r="472" spans="2:2" ht="13">
      <c r="B472" s="132"/>
    </row>
    <row r="473" spans="2:2" ht="13">
      <c r="B473" s="132"/>
    </row>
    <row r="474" spans="2:2" ht="13">
      <c r="B474" s="132"/>
    </row>
    <row r="475" spans="2:2" ht="13">
      <c r="B475" s="132"/>
    </row>
    <row r="476" spans="2:2" ht="13">
      <c r="B476" s="132"/>
    </row>
    <row r="477" spans="2:2" ht="13">
      <c r="B477" s="132"/>
    </row>
    <row r="478" spans="2:2" ht="13">
      <c r="B478" s="132"/>
    </row>
    <row r="479" spans="2:2" ht="13">
      <c r="B479" s="132"/>
    </row>
    <row r="480" spans="2:2" ht="13">
      <c r="B480" s="132"/>
    </row>
    <row r="481" spans="2:2" ht="13">
      <c r="B481" s="132"/>
    </row>
    <row r="482" spans="2:2" ht="13">
      <c r="B482" s="132"/>
    </row>
    <row r="483" spans="2:2" ht="13">
      <c r="B483" s="132"/>
    </row>
    <row r="484" spans="2:2" ht="13">
      <c r="B484" s="132"/>
    </row>
    <row r="485" spans="2:2" ht="13">
      <c r="B485" s="132"/>
    </row>
    <row r="486" spans="2:2" ht="13">
      <c r="B486" s="132"/>
    </row>
    <row r="487" spans="2:2" ht="13">
      <c r="B487" s="132"/>
    </row>
    <row r="488" spans="2:2" ht="13">
      <c r="B488" s="132"/>
    </row>
    <row r="489" spans="2:2" ht="13">
      <c r="B489" s="132"/>
    </row>
    <row r="490" spans="2:2" ht="13">
      <c r="B490" s="132"/>
    </row>
    <row r="491" spans="2:2" ht="13">
      <c r="B491" s="132"/>
    </row>
    <row r="492" spans="2:2" ht="13">
      <c r="B492" s="132"/>
    </row>
    <row r="493" spans="2:2" ht="13">
      <c r="B493" s="132"/>
    </row>
    <row r="494" spans="2:2" ht="13">
      <c r="B494" s="132"/>
    </row>
    <row r="495" spans="2:2" ht="13">
      <c r="B495" s="132"/>
    </row>
    <row r="496" spans="2:2" ht="13">
      <c r="B496" s="132"/>
    </row>
    <row r="497" spans="2:2" ht="13">
      <c r="B497" s="132"/>
    </row>
    <row r="498" spans="2:2" ht="13">
      <c r="B498" s="132"/>
    </row>
    <row r="499" spans="2:2" ht="13">
      <c r="B499" s="132"/>
    </row>
    <row r="500" spans="2:2" ht="13">
      <c r="B500" s="132"/>
    </row>
    <row r="501" spans="2:2" ht="13">
      <c r="B501" s="132"/>
    </row>
    <row r="502" spans="2:2" ht="13">
      <c r="B502" s="132"/>
    </row>
    <row r="503" spans="2:2" ht="13">
      <c r="B503" s="132"/>
    </row>
    <row r="504" spans="2:2" ht="13">
      <c r="B504" s="132"/>
    </row>
    <row r="505" spans="2:2" ht="13">
      <c r="B505" s="132"/>
    </row>
    <row r="506" spans="2:2" ht="13">
      <c r="B506" s="132"/>
    </row>
    <row r="507" spans="2:2" ht="13">
      <c r="B507" s="132"/>
    </row>
    <row r="508" spans="2:2" ht="13">
      <c r="B508" s="132"/>
    </row>
    <row r="509" spans="2:2" ht="13">
      <c r="B509" s="132"/>
    </row>
    <row r="510" spans="2:2" ht="13">
      <c r="B510" s="132"/>
    </row>
    <row r="511" spans="2:2" ht="13">
      <c r="B511" s="132"/>
    </row>
    <row r="512" spans="2:2" ht="13">
      <c r="B512" s="132"/>
    </row>
    <row r="513" spans="2:2" ht="13">
      <c r="B513" s="132"/>
    </row>
    <row r="514" spans="2:2" ht="13">
      <c r="B514" s="132"/>
    </row>
    <row r="515" spans="2:2" ht="13">
      <c r="B515" s="132"/>
    </row>
    <row r="516" spans="2:2" ht="13">
      <c r="B516" s="132"/>
    </row>
    <row r="517" spans="2:2" ht="13">
      <c r="B517" s="132"/>
    </row>
    <row r="518" spans="2:2" ht="13">
      <c r="B518" s="132"/>
    </row>
    <row r="519" spans="2:2" ht="13">
      <c r="B519" s="132"/>
    </row>
    <row r="520" spans="2:2" ht="13">
      <c r="B520" s="132"/>
    </row>
    <row r="521" spans="2:2" ht="13">
      <c r="B521" s="132"/>
    </row>
    <row r="522" spans="2:2" ht="13">
      <c r="B522" s="132"/>
    </row>
    <row r="523" spans="2:2" ht="13">
      <c r="B523" s="132"/>
    </row>
    <row r="524" spans="2:2" ht="13">
      <c r="B524" s="132"/>
    </row>
    <row r="525" spans="2:2" ht="13">
      <c r="B525" s="132"/>
    </row>
    <row r="526" spans="2:2" ht="13">
      <c r="B526" s="132"/>
    </row>
    <row r="527" spans="2:2" ht="13">
      <c r="B527" s="132"/>
    </row>
    <row r="528" spans="2:2" ht="13">
      <c r="B528" s="132"/>
    </row>
    <row r="529" spans="2:2" ht="13">
      <c r="B529" s="132"/>
    </row>
    <row r="530" spans="2:2" ht="13">
      <c r="B530" s="132"/>
    </row>
    <row r="531" spans="2:2" ht="13">
      <c r="B531" s="132"/>
    </row>
    <row r="532" spans="2:2" ht="13">
      <c r="B532" s="132"/>
    </row>
    <row r="533" spans="2:2" ht="13">
      <c r="B533" s="132"/>
    </row>
    <row r="534" spans="2:2" ht="13">
      <c r="B534" s="132"/>
    </row>
    <row r="535" spans="2:2" ht="13">
      <c r="B535" s="132"/>
    </row>
    <row r="536" spans="2:2" ht="13">
      <c r="B536" s="132"/>
    </row>
    <row r="537" spans="2:2" ht="13">
      <c r="B537" s="132"/>
    </row>
    <row r="538" spans="2:2" ht="13">
      <c r="B538" s="132"/>
    </row>
    <row r="539" spans="2:2" ht="13">
      <c r="B539" s="132"/>
    </row>
    <row r="540" spans="2:2" ht="13">
      <c r="B540" s="132"/>
    </row>
    <row r="541" spans="2:2" ht="13">
      <c r="B541" s="132"/>
    </row>
    <row r="542" spans="2:2" ht="13">
      <c r="B542" s="132"/>
    </row>
    <row r="543" spans="2:2" ht="13">
      <c r="B543" s="132"/>
    </row>
    <row r="544" spans="2:2" ht="13">
      <c r="B544" s="132"/>
    </row>
    <row r="545" spans="2:2" ht="13">
      <c r="B545" s="132"/>
    </row>
    <row r="546" spans="2:2" ht="13">
      <c r="B546" s="132"/>
    </row>
    <row r="547" spans="2:2" ht="13">
      <c r="B547" s="132"/>
    </row>
    <row r="548" spans="2:2" ht="13">
      <c r="B548" s="132"/>
    </row>
    <row r="549" spans="2:2" ht="13">
      <c r="B549" s="132"/>
    </row>
    <row r="550" spans="2:2" ht="13">
      <c r="B550" s="132"/>
    </row>
    <row r="551" spans="2:2" ht="13">
      <c r="B551" s="132"/>
    </row>
    <row r="552" spans="2:2" ht="13">
      <c r="B552" s="132"/>
    </row>
    <row r="553" spans="2:2" ht="13">
      <c r="B553" s="132"/>
    </row>
    <row r="554" spans="2:2" ht="13">
      <c r="B554" s="132"/>
    </row>
    <row r="555" spans="2:2" ht="13">
      <c r="B555" s="132"/>
    </row>
    <row r="556" spans="2:2" ht="13">
      <c r="B556" s="132"/>
    </row>
    <row r="557" spans="2:2" ht="13">
      <c r="B557" s="132"/>
    </row>
    <row r="558" spans="2:2" ht="13">
      <c r="B558" s="132"/>
    </row>
    <row r="559" spans="2:2" ht="13">
      <c r="B559" s="132"/>
    </row>
    <row r="560" spans="2:2" ht="13">
      <c r="B560" s="132"/>
    </row>
    <row r="561" spans="2:2" ht="13">
      <c r="B561" s="132"/>
    </row>
    <row r="562" spans="2:2" ht="13">
      <c r="B562" s="132"/>
    </row>
    <row r="563" spans="2:2" ht="13">
      <c r="B563" s="132"/>
    </row>
    <row r="564" spans="2:2" ht="13">
      <c r="B564" s="132"/>
    </row>
    <row r="565" spans="2:2" ht="13">
      <c r="B565" s="132"/>
    </row>
    <row r="566" spans="2:2" ht="13">
      <c r="B566" s="132"/>
    </row>
    <row r="567" spans="2:2" ht="13">
      <c r="B567" s="132"/>
    </row>
    <row r="568" spans="2:2" ht="13">
      <c r="B568" s="132"/>
    </row>
    <row r="569" spans="2:2" ht="13">
      <c r="B569" s="132"/>
    </row>
    <row r="570" spans="2:2" ht="13">
      <c r="B570" s="132"/>
    </row>
    <row r="571" spans="2:2" ht="13">
      <c r="B571" s="132"/>
    </row>
    <row r="572" spans="2:2" ht="13">
      <c r="B572" s="132"/>
    </row>
    <row r="573" spans="2:2" ht="13">
      <c r="B573" s="132"/>
    </row>
    <row r="574" spans="2:2" ht="13">
      <c r="B574" s="132"/>
    </row>
    <row r="575" spans="2:2" ht="13">
      <c r="B575" s="132"/>
    </row>
    <row r="576" spans="2:2" ht="13">
      <c r="B576" s="132"/>
    </row>
    <row r="577" spans="2:2" ht="13">
      <c r="B577" s="132"/>
    </row>
    <row r="578" spans="2:2" ht="13">
      <c r="B578" s="132"/>
    </row>
    <row r="579" spans="2:2" ht="13">
      <c r="B579" s="132"/>
    </row>
    <row r="580" spans="2:2" ht="13">
      <c r="B580" s="132"/>
    </row>
    <row r="581" spans="2:2" ht="13">
      <c r="B581" s="132"/>
    </row>
    <row r="582" spans="2:2" ht="13">
      <c r="B582" s="132"/>
    </row>
    <row r="583" spans="2:2" ht="13">
      <c r="B583" s="132"/>
    </row>
    <row r="584" spans="2:2" ht="13">
      <c r="B584" s="132"/>
    </row>
    <row r="585" spans="2:2" ht="13">
      <c r="B585" s="132"/>
    </row>
    <row r="586" spans="2:2" ht="13">
      <c r="B586" s="132"/>
    </row>
    <row r="587" spans="2:2" ht="13">
      <c r="B587" s="132"/>
    </row>
    <row r="588" spans="2:2" ht="13">
      <c r="B588" s="132"/>
    </row>
    <row r="589" spans="2:2" ht="13">
      <c r="B589" s="132"/>
    </row>
    <row r="590" spans="2:2" ht="13">
      <c r="B590" s="132"/>
    </row>
    <row r="591" spans="2:2" ht="13">
      <c r="B591" s="132"/>
    </row>
    <row r="592" spans="2:2" ht="13">
      <c r="B592" s="132"/>
    </row>
    <row r="593" spans="2:2" ht="13">
      <c r="B593" s="132"/>
    </row>
    <row r="594" spans="2:2" ht="13">
      <c r="B594" s="132"/>
    </row>
    <row r="595" spans="2:2" ht="13">
      <c r="B595" s="132"/>
    </row>
    <row r="596" spans="2:2" ht="13">
      <c r="B596" s="132"/>
    </row>
    <row r="597" spans="2:2" ht="13">
      <c r="B597" s="132"/>
    </row>
    <row r="598" spans="2:2" ht="13">
      <c r="B598" s="132"/>
    </row>
    <row r="599" spans="2:2" ht="13">
      <c r="B599" s="132"/>
    </row>
    <row r="600" spans="2:2" ht="13">
      <c r="B600" s="132"/>
    </row>
    <row r="601" spans="2:2" ht="13">
      <c r="B601" s="132"/>
    </row>
    <row r="602" spans="2:2" ht="13">
      <c r="B602" s="132"/>
    </row>
    <row r="603" spans="2:2" ht="13">
      <c r="B603" s="132"/>
    </row>
    <row r="604" spans="2:2" ht="13">
      <c r="B604" s="132"/>
    </row>
    <row r="605" spans="2:2" ht="13">
      <c r="B605" s="132"/>
    </row>
    <row r="606" spans="2:2" ht="13">
      <c r="B606" s="132"/>
    </row>
    <row r="607" spans="2:2" ht="13">
      <c r="B607" s="132"/>
    </row>
    <row r="608" spans="2:2" ht="13">
      <c r="B608" s="132"/>
    </row>
    <row r="609" spans="2:2" ht="13">
      <c r="B609" s="132"/>
    </row>
    <row r="610" spans="2:2" ht="13">
      <c r="B610" s="132"/>
    </row>
    <row r="611" spans="2:2" ht="13">
      <c r="B611" s="132"/>
    </row>
    <row r="612" spans="2:2" ht="13">
      <c r="B612" s="132"/>
    </row>
    <row r="613" spans="2:2" ht="13">
      <c r="B613" s="132"/>
    </row>
    <row r="614" spans="2:2" ht="13">
      <c r="B614" s="132"/>
    </row>
    <row r="615" spans="2:2" ht="13">
      <c r="B615" s="132"/>
    </row>
    <row r="616" spans="2:2" ht="13">
      <c r="B616" s="132"/>
    </row>
    <row r="617" spans="2:2" ht="13">
      <c r="B617" s="132"/>
    </row>
    <row r="618" spans="2:2" ht="13">
      <c r="B618" s="132"/>
    </row>
    <row r="619" spans="2:2" ht="13">
      <c r="B619" s="132"/>
    </row>
    <row r="620" spans="2:2" ht="13">
      <c r="B620" s="132"/>
    </row>
    <row r="621" spans="2:2" ht="13">
      <c r="B621" s="132"/>
    </row>
    <row r="622" spans="2:2" ht="13">
      <c r="B622" s="132"/>
    </row>
    <row r="623" spans="2:2" ht="13">
      <c r="B623" s="132"/>
    </row>
    <row r="624" spans="2:2" ht="13">
      <c r="B624" s="132"/>
    </row>
    <row r="625" spans="2:2" ht="13">
      <c r="B625" s="132"/>
    </row>
    <row r="626" spans="2:2" ht="13">
      <c r="B626" s="132"/>
    </row>
    <row r="627" spans="2:2" ht="13">
      <c r="B627" s="132"/>
    </row>
    <row r="628" spans="2:2" ht="13">
      <c r="B628" s="132"/>
    </row>
    <row r="629" spans="2:2" ht="13">
      <c r="B629" s="132"/>
    </row>
    <row r="630" spans="2:2" ht="13">
      <c r="B630" s="132"/>
    </row>
    <row r="631" spans="2:2" ht="13">
      <c r="B631" s="132"/>
    </row>
    <row r="632" spans="2:2" ht="13">
      <c r="B632" s="132"/>
    </row>
    <row r="633" spans="2:2" ht="13">
      <c r="B633" s="132"/>
    </row>
    <row r="634" spans="2:2" ht="13">
      <c r="B634" s="132"/>
    </row>
    <row r="635" spans="2:2" ht="13">
      <c r="B635" s="132"/>
    </row>
    <row r="636" spans="2:2" ht="13">
      <c r="B636" s="132"/>
    </row>
    <row r="637" spans="2:2" ht="13">
      <c r="B637" s="132"/>
    </row>
    <row r="638" spans="2:2" ht="13">
      <c r="B638" s="132"/>
    </row>
    <row r="639" spans="2:2" ht="13">
      <c r="B639" s="132"/>
    </row>
    <row r="640" spans="2:2" ht="13">
      <c r="B640" s="132"/>
    </row>
    <row r="641" spans="2:2" ht="13">
      <c r="B641" s="132"/>
    </row>
    <row r="642" spans="2:2" ht="13">
      <c r="B642" s="132"/>
    </row>
    <row r="643" spans="2:2" ht="13">
      <c r="B643" s="132"/>
    </row>
    <row r="644" spans="2:2" ht="13">
      <c r="B644" s="132"/>
    </row>
    <row r="645" spans="2:2" ht="13">
      <c r="B645" s="132"/>
    </row>
    <row r="646" spans="2:2" ht="13">
      <c r="B646" s="132"/>
    </row>
    <row r="647" spans="2:2" ht="13">
      <c r="B647" s="132"/>
    </row>
    <row r="648" spans="2:2" ht="13">
      <c r="B648" s="132"/>
    </row>
    <row r="649" spans="2:2" ht="13">
      <c r="B649" s="132"/>
    </row>
    <row r="650" spans="2:2" ht="13">
      <c r="B650" s="132"/>
    </row>
    <row r="651" spans="2:2" ht="13">
      <c r="B651" s="132"/>
    </row>
    <row r="652" spans="2:2" ht="13">
      <c r="B652" s="132"/>
    </row>
    <row r="653" spans="2:2" ht="13">
      <c r="B653" s="132"/>
    </row>
    <row r="654" spans="2:2" ht="13">
      <c r="B654" s="132"/>
    </row>
    <row r="655" spans="2:2" ht="13">
      <c r="B655" s="132"/>
    </row>
    <row r="656" spans="2:2" ht="13">
      <c r="B656" s="132"/>
    </row>
    <row r="657" spans="2:2" ht="13">
      <c r="B657" s="132"/>
    </row>
    <row r="658" spans="2:2" ht="13">
      <c r="B658" s="132"/>
    </row>
    <row r="659" spans="2:2" ht="13">
      <c r="B659" s="132"/>
    </row>
    <row r="660" spans="2:2" ht="13">
      <c r="B660" s="132"/>
    </row>
    <row r="661" spans="2:2" ht="13">
      <c r="B661" s="132"/>
    </row>
    <row r="662" spans="2:2" ht="13">
      <c r="B662" s="132"/>
    </row>
    <row r="663" spans="2:2" ht="13">
      <c r="B663" s="132"/>
    </row>
    <row r="664" spans="2:2" ht="13">
      <c r="B664" s="132"/>
    </row>
    <row r="665" spans="2:2" ht="13">
      <c r="B665" s="132"/>
    </row>
    <row r="666" spans="2:2" ht="13">
      <c r="B666" s="132"/>
    </row>
    <row r="667" spans="2:2" ht="13">
      <c r="B667" s="132"/>
    </row>
    <row r="668" spans="2:2" ht="13">
      <c r="B668" s="132"/>
    </row>
    <row r="669" spans="2:2" ht="13">
      <c r="B669" s="132"/>
    </row>
    <row r="670" spans="2:2" ht="13">
      <c r="B670" s="132"/>
    </row>
    <row r="671" spans="2:2" ht="13">
      <c r="B671" s="132"/>
    </row>
    <row r="672" spans="2:2" ht="13">
      <c r="B672" s="132"/>
    </row>
    <row r="673" spans="2:2" ht="13">
      <c r="B673" s="132"/>
    </row>
    <row r="674" spans="2:2" ht="13">
      <c r="B674" s="132"/>
    </row>
    <row r="675" spans="2:2" ht="13">
      <c r="B675" s="132"/>
    </row>
    <row r="676" spans="2:2" ht="13">
      <c r="B676" s="132"/>
    </row>
    <row r="677" spans="2:2" ht="13">
      <c r="B677" s="132"/>
    </row>
    <row r="678" spans="2:2" ht="13">
      <c r="B678" s="132"/>
    </row>
    <row r="679" spans="2:2" ht="13">
      <c r="B679" s="132"/>
    </row>
    <row r="680" spans="2:2" ht="13">
      <c r="B680" s="132"/>
    </row>
    <row r="681" spans="2:2" ht="13">
      <c r="B681" s="132"/>
    </row>
    <row r="682" spans="2:2" ht="13">
      <c r="B682" s="132"/>
    </row>
    <row r="683" spans="2:2" ht="13">
      <c r="B683" s="132"/>
    </row>
    <row r="684" spans="2:2" ht="13">
      <c r="B684" s="132"/>
    </row>
    <row r="685" spans="2:2" ht="13">
      <c r="B685" s="132"/>
    </row>
    <row r="686" spans="2:2" ht="13">
      <c r="B686" s="132"/>
    </row>
    <row r="687" spans="2:2" ht="13">
      <c r="B687" s="132"/>
    </row>
    <row r="688" spans="2:2" ht="13">
      <c r="B688" s="132"/>
    </row>
    <row r="689" spans="2:2" ht="13">
      <c r="B689" s="132"/>
    </row>
    <row r="690" spans="2:2" ht="13">
      <c r="B690" s="132"/>
    </row>
    <row r="691" spans="2:2" ht="13">
      <c r="B691" s="132"/>
    </row>
    <row r="692" spans="2:2" ht="13">
      <c r="B692" s="132"/>
    </row>
    <row r="693" spans="2:2" ht="13">
      <c r="B693" s="132"/>
    </row>
    <row r="694" spans="2:2" ht="13">
      <c r="B694" s="132"/>
    </row>
    <row r="695" spans="2:2" ht="13">
      <c r="B695" s="132"/>
    </row>
    <row r="696" spans="2:2" ht="13">
      <c r="B696" s="132"/>
    </row>
    <row r="697" spans="2:2" ht="13">
      <c r="B697" s="132"/>
    </row>
    <row r="698" spans="2:2" ht="13">
      <c r="B698" s="132"/>
    </row>
    <row r="699" spans="2:2" ht="13">
      <c r="B699" s="132"/>
    </row>
    <row r="700" spans="2:2" ht="13">
      <c r="B700" s="132"/>
    </row>
    <row r="701" spans="2:2" ht="13">
      <c r="B701" s="132"/>
    </row>
    <row r="702" spans="2:2" ht="13">
      <c r="B702" s="132"/>
    </row>
    <row r="703" spans="2:2" ht="13">
      <c r="B703" s="132"/>
    </row>
    <row r="704" spans="2:2" ht="13">
      <c r="B704" s="132"/>
    </row>
    <row r="705" spans="2:2" ht="13">
      <c r="B705" s="132"/>
    </row>
    <row r="706" spans="2:2" ht="13">
      <c r="B706" s="132"/>
    </row>
    <row r="707" spans="2:2" ht="13">
      <c r="B707" s="132"/>
    </row>
    <row r="708" spans="2:2" ht="13">
      <c r="B708" s="132"/>
    </row>
    <row r="709" spans="2:2" ht="13">
      <c r="B709" s="132"/>
    </row>
    <row r="710" spans="2:2" ht="13">
      <c r="B710" s="132"/>
    </row>
    <row r="711" spans="2:2" ht="13">
      <c r="B711" s="132"/>
    </row>
    <row r="712" spans="2:2" ht="13">
      <c r="B712" s="132"/>
    </row>
    <row r="713" spans="2:2" ht="13">
      <c r="B713" s="132"/>
    </row>
    <row r="714" spans="2:2" ht="13">
      <c r="B714" s="132"/>
    </row>
    <row r="715" spans="2:2" ht="13">
      <c r="B715" s="132"/>
    </row>
    <row r="716" spans="2:2" ht="13">
      <c r="B716" s="132"/>
    </row>
    <row r="717" spans="2:2" ht="13">
      <c r="B717" s="132"/>
    </row>
    <row r="718" spans="2:2" ht="13">
      <c r="B718" s="132"/>
    </row>
    <row r="719" spans="2:2" ht="13">
      <c r="B719" s="132"/>
    </row>
    <row r="720" spans="2:2" ht="13">
      <c r="B720" s="132"/>
    </row>
    <row r="721" spans="2:2" ht="13">
      <c r="B721" s="132"/>
    </row>
    <row r="722" spans="2:2" ht="13">
      <c r="B722" s="132"/>
    </row>
    <row r="723" spans="2:2" ht="13">
      <c r="B723" s="132"/>
    </row>
    <row r="724" spans="2:2" ht="13">
      <c r="B724" s="132"/>
    </row>
    <row r="725" spans="2:2" ht="13">
      <c r="B725" s="132"/>
    </row>
    <row r="726" spans="2:2" ht="13">
      <c r="B726" s="132"/>
    </row>
    <row r="727" spans="2:2" ht="13">
      <c r="B727" s="132"/>
    </row>
    <row r="728" spans="2:2" ht="13">
      <c r="B728" s="132"/>
    </row>
    <row r="729" spans="2:2" ht="13">
      <c r="B729" s="132"/>
    </row>
    <row r="730" spans="2:2" ht="13">
      <c r="B730" s="132"/>
    </row>
    <row r="731" spans="2:2" ht="13">
      <c r="B731" s="132"/>
    </row>
    <row r="732" spans="2:2" ht="13">
      <c r="B732" s="132"/>
    </row>
    <row r="733" spans="2:2" ht="13">
      <c r="B733" s="132"/>
    </row>
    <row r="734" spans="2:2" ht="13">
      <c r="B734" s="132"/>
    </row>
    <row r="735" spans="2:2" ht="13">
      <c r="B735" s="132"/>
    </row>
    <row r="736" spans="2:2" ht="13">
      <c r="B736" s="132"/>
    </row>
    <row r="737" spans="2:2" ht="13">
      <c r="B737" s="132"/>
    </row>
    <row r="738" spans="2:2" ht="13">
      <c r="B738" s="132"/>
    </row>
    <row r="739" spans="2:2" ht="13">
      <c r="B739" s="132"/>
    </row>
    <row r="740" spans="2:2" ht="13">
      <c r="B740" s="132"/>
    </row>
    <row r="741" spans="2:2" ht="13">
      <c r="B741" s="132"/>
    </row>
    <row r="742" spans="2:2" ht="13">
      <c r="B742" s="132"/>
    </row>
    <row r="743" spans="2:2" ht="13">
      <c r="B743" s="132"/>
    </row>
    <row r="744" spans="2:2" ht="13">
      <c r="B744" s="132"/>
    </row>
    <row r="745" spans="2:2" ht="13">
      <c r="B745" s="132"/>
    </row>
    <row r="746" spans="2:2" ht="13">
      <c r="B746" s="132"/>
    </row>
    <row r="747" spans="2:2" ht="13">
      <c r="B747" s="132"/>
    </row>
    <row r="748" spans="2:2" ht="13">
      <c r="B748" s="132"/>
    </row>
    <row r="749" spans="2:2" ht="13">
      <c r="B749" s="132"/>
    </row>
    <row r="750" spans="2:2" ht="13">
      <c r="B750" s="132"/>
    </row>
    <row r="751" spans="2:2" ht="13">
      <c r="B751" s="132"/>
    </row>
    <row r="752" spans="2:2" ht="13">
      <c r="B752" s="132"/>
    </row>
    <row r="753" spans="2:2" ht="13">
      <c r="B753" s="132"/>
    </row>
    <row r="754" spans="2:2" ht="13">
      <c r="B754" s="132"/>
    </row>
    <row r="755" spans="2:2" ht="13">
      <c r="B755" s="132"/>
    </row>
    <row r="756" spans="2:2" ht="13">
      <c r="B756" s="132"/>
    </row>
    <row r="757" spans="2:2" ht="13">
      <c r="B757" s="132"/>
    </row>
    <row r="758" spans="2:2" ht="13">
      <c r="B758" s="132"/>
    </row>
    <row r="759" spans="2:2" ht="13">
      <c r="B759" s="132"/>
    </row>
    <row r="760" spans="2:2" ht="13">
      <c r="B760" s="132"/>
    </row>
    <row r="761" spans="2:2" ht="13">
      <c r="B761" s="132"/>
    </row>
    <row r="762" spans="2:2" ht="13">
      <c r="B762" s="132"/>
    </row>
    <row r="763" spans="2:2" ht="13">
      <c r="B763" s="132"/>
    </row>
    <row r="764" spans="2:2" ht="13">
      <c r="B764" s="132"/>
    </row>
    <row r="765" spans="2:2" ht="13">
      <c r="B765" s="132"/>
    </row>
    <row r="766" spans="2:2" ht="13">
      <c r="B766" s="132"/>
    </row>
    <row r="767" spans="2:2" ht="13">
      <c r="B767" s="132"/>
    </row>
    <row r="768" spans="2:2" ht="13">
      <c r="B768" s="132"/>
    </row>
    <row r="769" spans="2:2" ht="13">
      <c r="B769" s="132"/>
    </row>
    <row r="770" spans="2:2" ht="13">
      <c r="B770" s="132"/>
    </row>
    <row r="771" spans="2:2" ht="13">
      <c r="B771" s="132"/>
    </row>
    <row r="772" spans="2:2" ht="13">
      <c r="B772" s="132"/>
    </row>
    <row r="773" spans="2:2" ht="13">
      <c r="B773" s="132"/>
    </row>
    <row r="774" spans="2:2" ht="13">
      <c r="B774" s="132"/>
    </row>
    <row r="775" spans="2:2" ht="13">
      <c r="B775" s="132"/>
    </row>
    <row r="776" spans="2:2" ht="13">
      <c r="B776" s="132"/>
    </row>
    <row r="777" spans="2:2" ht="13">
      <c r="B777" s="132"/>
    </row>
    <row r="778" spans="2:2" ht="13">
      <c r="B778" s="132"/>
    </row>
    <row r="779" spans="2:2" ht="13">
      <c r="B779" s="132"/>
    </row>
    <row r="780" spans="2:2" ht="13">
      <c r="B780" s="132"/>
    </row>
    <row r="781" spans="2:2" ht="13">
      <c r="B781" s="132"/>
    </row>
    <row r="782" spans="2:2" ht="13">
      <c r="B782" s="132"/>
    </row>
    <row r="783" spans="2:2" ht="13">
      <c r="B783" s="132"/>
    </row>
    <row r="784" spans="2:2" ht="13">
      <c r="B784" s="132"/>
    </row>
    <row r="785" spans="2:2" ht="13">
      <c r="B785" s="132"/>
    </row>
    <row r="786" spans="2:2" ht="13">
      <c r="B786" s="132"/>
    </row>
    <row r="787" spans="2:2" ht="13">
      <c r="B787" s="132"/>
    </row>
    <row r="788" spans="2:2" ht="13">
      <c r="B788" s="132"/>
    </row>
    <row r="789" spans="2:2" ht="13">
      <c r="B789" s="132"/>
    </row>
    <row r="790" spans="2:2" ht="13">
      <c r="B790" s="132"/>
    </row>
    <row r="791" spans="2:2" ht="13">
      <c r="B791" s="132"/>
    </row>
    <row r="792" spans="2:2" ht="13">
      <c r="B792" s="132"/>
    </row>
    <row r="793" spans="2:2" ht="13">
      <c r="B793" s="132"/>
    </row>
    <row r="794" spans="2:2" ht="13">
      <c r="B794" s="132"/>
    </row>
    <row r="795" spans="2:2" ht="13">
      <c r="B795" s="132"/>
    </row>
    <row r="796" spans="2:2" ht="13">
      <c r="B796" s="132"/>
    </row>
    <row r="797" spans="2:2" ht="13">
      <c r="B797" s="132"/>
    </row>
    <row r="798" spans="2:2" ht="13">
      <c r="B798" s="132"/>
    </row>
    <row r="799" spans="2:2" ht="13">
      <c r="B799" s="132"/>
    </row>
    <row r="800" spans="2:2" ht="13">
      <c r="B800" s="132"/>
    </row>
    <row r="801" spans="2:2" ht="13">
      <c r="B801" s="132"/>
    </row>
    <row r="802" spans="2:2" ht="13">
      <c r="B802" s="132"/>
    </row>
    <row r="803" spans="2:2" ht="13">
      <c r="B803" s="132"/>
    </row>
    <row r="804" spans="2:2" ht="13">
      <c r="B804" s="132"/>
    </row>
    <row r="805" spans="2:2" ht="13">
      <c r="B805" s="132"/>
    </row>
    <row r="806" spans="2:2" ht="13">
      <c r="B806" s="132"/>
    </row>
    <row r="807" spans="2:2" ht="13">
      <c r="B807" s="132"/>
    </row>
    <row r="808" spans="2:2" ht="13">
      <c r="B808" s="132"/>
    </row>
    <row r="809" spans="2:2" ht="13">
      <c r="B809" s="132"/>
    </row>
    <row r="810" spans="2:2" ht="13">
      <c r="B810" s="132"/>
    </row>
    <row r="811" spans="2:2" ht="13">
      <c r="B811" s="132"/>
    </row>
    <row r="812" spans="2:2" ht="13">
      <c r="B812" s="132"/>
    </row>
    <row r="813" spans="2:2" ht="13">
      <c r="B813" s="132"/>
    </row>
    <row r="814" spans="2:2" ht="13">
      <c r="B814" s="132"/>
    </row>
    <row r="815" spans="2:2" ht="13">
      <c r="B815" s="132"/>
    </row>
    <row r="816" spans="2:2" ht="13">
      <c r="B816" s="132"/>
    </row>
    <row r="817" spans="2:2" ht="13">
      <c r="B817" s="132"/>
    </row>
    <row r="818" spans="2:2" ht="13">
      <c r="B818" s="132"/>
    </row>
    <row r="819" spans="2:2" ht="13">
      <c r="B819" s="132"/>
    </row>
    <row r="820" spans="2:2" ht="13">
      <c r="B820" s="132"/>
    </row>
    <row r="821" spans="2:2" ht="13">
      <c r="B821" s="132"/>
    </row>
    <row r="822" spans="2:2" ht="13">
      <c r="B822" s="132"/>
    </row>
    <row r="823" spans="2:2" ht="13">
      <c r="B823" s="132"/>
    </row>
    <row r="824" spans="2:2" ht="13">
      <c r="B824" s="132"/>
    </row>
    <row r="825" spans="2:2" ht="13">
      <c r="B825" s="132"/>
    </row>
    <row r="826" spans="2:2" ht="13">
      <c r="B826" s="132"/>
    </row>
    <row r="827" spans="2:2" ht="13">
      <c r="B827" s="132"/>
    </row>
    <row r="828" spans="2:2" ht="13">
      <c r="B828" s="132"/>
    </row>
    <row r="829" spans="2:2" ht="13">
      <c r="B829" s="132"/>
    </row>
    <row r="830" spans="2:2" ht="13">
      <c r="B830" s="132"/>
    </row>
    <row r="831" spans="2:2" ht="13">
      <c r="B831" s="132"/>
    </row>
    <row r="832" spans="2:2" ht="13">
      <c r="B832" s="132"/>
    </row>
    <row r="833" spans="2:2" ht="13">
      <c r="B833" s="132"/>
    </row>
    <row r="834" spans="2:2" ht="13">
      <c r="B834" s="132"/>
    </row>
    <row r="835" spans="2:2" ht="13">
      <c r="B835" s="132"/>
    </row>
    <row r="836" spans="2:2" ht="13">
      <c r="B836" s="132"/>
    </row>
    <row r="837" spans="2:2" ht="13">
      <c r="B837" s="132"/>
    </row>
    <row r="838" spans="2:2" ht="13">
      <c r="B838" s="132"/>
    </row>
    <row r="839" spans="2:2" ht="13">
      <c r="B839" s="132"/>
    </row>
    <row r="840" spans="2:2" ht="13">
      <c r="B840" s="132"/>
    </row>
    <row r="841" spans="2:2" ht="13">
      <c r="B841" s="132"/>
    </row>
    <row r="842" spans="2:2" ht="13">
      <c r="B842" s="132"/>
    </row>
    <row r="843" spans="2:2" ht="13">
      <c r="B843" s="132"/>
    </row>
    <row r="844" spans="2:2" ht="13">
      <c r="B844" s="132"/>
    </row>
    <row r="845" spans="2:2" ht="13">
      <c r="B845" s="132"/>
    </row>
    <row r="846" spans="2:2" ht="13">
      <c r="B846" s="132"/>
    </row>
    <row r="847" spans="2:2" ht="13">
      <c r="B847" s="132"/>
    </row>
    <row r="848" spans="2:2" ht="13">
      <c r="B848" s="132"/>
    </row>
    <row r="849" spans="2:2" ht="13">
      <c r="B849" s="132"/>
    </row>
    <row r="850" spans="2:2" ht="13">
      <c r="B850" s="132"/>
    </row>
    <row r="851" spans="2:2" ht="13">
      <c r="B851" s="132"/>
    </row>
    <row r="852" spans="2:2" ht="13">
      <c r="B852" s="132"/>
    </row>
    <row r="853" spans="2:2" ht="13">
      <c r="B853" s="132"/>
    </row>
    <row r="854" spans="2:2" ht="13">
      <c r="B854" s="132"/>
    </row>
    <row r="855" spans="2:2" ht="13">
      <c r="B855" s="132"/>
    </row>
    <row r="856" spans="2:2" ht="13">
      <c r="B856" s="132"/>
    </row>
    <row r="857" spans="2:2" ht="13">
      <c r="B857" s="132"/>
    </row>
    <row r="858" spans="2:2" ht="13">
      <c r="B858" s="132"/>
    </row>
    <row r="859" spans="2:2" ht="13">
      <c r="B859" s="132"/>
    </row>
    <row r="860" spans="2:2" ht="13">
      <c r="B860" s="132"/>
    </row>
    <row r="861" spans="2:2" ht="13">
      <c r="B861" s="132"/>
    </row>
    <row r="862" spans="2:2" ht="13">
      <c r="B862" s="132"/>
    </row>
    <row r="863" spans="2:2" ht="13">
      <c r="B863" s="132"/>
    </row>
    <row r="864" spans="2:2" ht="13">
      <c r="B864" s="132"/>
    </row>
    <row r="865" spans="2:2" ht="13">
      <c r="B865" s="132"/>
    </row>
    <row r="866" spans="2:2" ht="13">
      <c r="B866" s="132"/>
    </row>
    <row r="867" spans="2:2" ht="13">
      <c r="B867" s="132"/>
    </row>
    <row r="868" spans="2:2" ht="13">
      <c r="B868" s="132"/>
    </row>
    <row r="869" spans="2:2" ht="13">
      <c r="B869" s="132"/>
    </row>
    <row r="870" spans="2:2" ht="13">
      <c r="B870" s="132"/>
    </row>
    <row r="871" spans="2:2" ht="13">
      <c r="B871" s="132"/>
    </row>
    <row r="872" spans="2:2" ht="13">
      <c r="B872" s="132"/>
    </row>
    <row r="873" spans="2:2" ht="13">
      <c r="B873" s="132"/>
    </row>
    <row r="874" spans="2:2" ht="13">
      <c r="B874" s="132"/>
    </row>
    <row r="875" spans="2:2" ht="13">
      <c r="B875" s="132"/>
    </row>
    <row r="876" spans="2:2" ht="13">
      <c r="B876" s="132"/>
    </row>
    <row r="877" spans="2:2" ht="13">
      <c r="B877" s="132"/>
    </row>
    <row r="878" spans="2:2" ht="13">
      <c r="B878" s="132"/>
    </row>
    <row r="879" spans="2:2" ht="13">
      <c r="B879" s="132"/>
    </row>
    <row r="880" spans="2:2" ht="13">
      <c r="B880" s="132"/>
    </row>
    <row r="881" spans="2:2" ht="13">
      <c r="B881" s="132"/>
    </row>
    <row r="882" spans="2:2" ht="13">
      <c r="B882" s="132"/>
    </row>
    <row r="883" spans="2:2" ht="13">
      <c r="B883" s="132"/>
    </row>
    <row r="884" spans="2:2" ht="13">
      <c r="B884" s="132"/>
    </row>
    <row r="885" spans="2:2" ht="13">
      <c r="B885" s="132"/>
    </row>
    <row r="886" spans="2:2" ht="13">
      <c r="B886" s="132"/>
    </row>
    <row r="887" spans="2:2" ht="13">
      <c r="B887" s="132"/>
    </row>
    <row r="888" spans="2:2" ht="13">
      <c r="B888" s="132"/>
    </row>
    <row r="889" spans="2:2" ht="13">
      <c r="B889" s="132"/>
    </row>
    <row r="890" spans="2:2" ht="13">
      <c r="B890" s="132"/>
    </row>
    <row r="891" spans="2:2" ht="13">
      <c r="B891" s="132"/>
    </row>
    <row r="892" spans="2:2" ht="13">
      <c r="B892" s="132"/>
    </row>
    <row r="893" spans="2:2" ht="13">
      <c r="B893" s="132"/>
    </row>
    <row r="894" spans="2:2" ht="13">
      <c r="B894" s="132"/>
    </row>
    <row r="895" spans="2:2" ht="13">
      <c r="B895" s="132"/>
    </row>
    <row r="896" spans="2:2" ht="13">
      <c r="B896" s="132"/>
    </row>
    <row r="897" spans="2:2" ht="13">
      <c r="B897" s="132"/>
    </row>
    <row r="898" spans="2:2" ht="13">
      <c r="B898" s="132"/>
    </row>
    <row r="899" spans="2:2" ht="13">
      <c r="B899" s="132"/>
    </row>
    <row r="900" spans="2:2" ht="13">
      <c r="B900" s="132"/>
    </row>
    <row r="901" spans="2:2" ht="13">
      <c r="B901" s="132"/>
    </row>
    <row r="902" spans="2:2" ht="13">
      <c r="B902" s="132"/>
    </row>
    <row r="903" spans="2:2" ht="13">
      <c r="B903" s="132"/>
    </row>
    <row r="904" spans="2:2" ht="13">
      <c r="B904" s="132"/>
    </row>
    <row r="905" spans="2:2" ht="13">
      <c r="B905" s="132"/>
    </row>
    <row r="906" spans="2:2" ht="13">
      <c r="B906" s="132"/>
    </row>
    <row r="907" spans="2:2" ht="13">
      <c r="B907" s="132"/>
    </row>
    <row r="908" spans="2:2" ht="13">
      <c r="B908" s="132"/>
    </row>
    <row r="909" spans="2:2" ht="13">
      <c r="B909" s="132"/>
    </row>
    <row r="910" spans="2:2" ht="13">
      <c r="B910" s="132"/>
    </row>
    <row r="911" spans="2:2" ht="13">
      <c r="B911" s="132"/>
    </row>
    <row r="912" spans="2:2" ht="13">
      <c r="B912" s="132"/>
    </row>
    <row r="913" spans="2:2" ht="13">
      <c r="B913" s="132"/>
    </row>
    <row r="914" spans="2:2" ht="13">
      <c r="B914" s="132"/>
    </row>
    <row r="915" spans="2:2" ht="13">
      <c r="B915" s="132"/>
    </row>
    <row r="916" spans="2:2" ht="13">
      <c r="B916" s="132"/>
    </row>
    <row r="917" spans="2:2" ht="13">
      <c r="B917" s="132"/>
    </row>
    <row r="918" spans="2:2" ht="13">
      <c r="B918" s="132"/>
    </row>
    <row r="919" spans="2:2" ht="13">
      <c r="B919" s="132"/>
    </row>
    <row r="920" spans="2:2" ht="13">
      <c r="B920" s="132"/>
    </row>
    <row r="921" spans="2:2" ht="13">
      <c r="B921" s="132"/>
    </row>
    <row r="922" spans="2:2" ht="13">
      <c r="B922" s="132"/>
    </row>
    <row r="923" spans="2:2" ht="13">
      <c r="B923" s="132"/>
    </row>
    <row r="924" spans="2:2" ht="13">
      <c r="B924" s="132"/>
    </row>
    <row r="925" spans="2:2" ht="13">
      <c r="B925" s="132"/>
    </row>
    <row r="926" spans="2:2" ht="13">
      <c r="B926" s="132"/>
    </row>
    <row r="927" spans="2:2" ht="13">
      <c r="B927" s="132"/>
    </row>
    <row r="928" spans="2:2" ht="13">
      <c r="B928" s="132"/>
    </row>
    <row r="929" spans="2:2" ht="13">
      <c r="B929" s="132"/>
    </row>
    <row r="930" spans="2:2" ht="13">
      <c r="B930" s="132"/>
    </row>
    <row r="931" spans="2:2" ht="13">
      <c r="B931" s="132"/>
    </row>
    <row r="932" spans="2:2" ht="13">
      <c r="B932" s="132"/>
    </row>
    <row r="933" spans="2:2" ht="13">
      <c r="B933" s="132"/>
    </row>
    <row r="934" spans="2:2" ht="13">
      <c r="B934" s="132"/>
    </row>
    <row r="935" spans="2:2" ht="13">
      <c r="B935" s="132"/>
    </row>
    <row r="936" spans="2:2" ht="13">
      <c r="B936" s="132"/>
    </row>
    <row r="937" spans="2:2" ht="13">
      <c r="B937" s="132"/>
    </row>
    <row r="938" spans="2:2" ht="13">
      <c r="B938" s="132"/>
    </row>
    <row r="939" spans="2:2" ht="13">
      <c r="B939" s="132"/>
    </row>
    <row r="940" spans="2:2" ht="13">
      <c r="B940" s="132"/>
    </row>
    <row r="941" spans="2:2" ht="13">
      <c r="B941" s="132"/>
    </row>
    <row r="942" spans="2:2" ht="13">
      <c r="B942" s="132"/>
    </row>
    <row r="943" spans="2:2" ht="13">
      <c r="B943" s="132"/>
    </row>
    <row r="944" spans="2:2" ht="13">
      <c r="B944" s="132"/>
    </row>
    <row r="945" spans="2:2" ht="13">
      <c r="B945" s="132"/>
    </row>
    <row r="946" spans="2:2" ht="13">
      <c r="B946" s="132"/>
    </row>
    <row r="947" spans="2:2" ht="13">
      <c r="B947" s="132"/>
    </row>
    <row r="948" spans="2:2" ht="13">
      <c r="B948" s="132"/>
    </row>
    <row r="949" spans="2:2" ht="13">
      <c r="B949" s="132"/>
    </row>
    <row r="950" spans="2:2" ht="13">
      <c r="B950" s="132"/>
    </row>
    <row r="951" spans="2:2" ht="13">
      <c r="B951" s="132"/>
    </row>
    <row r="952" spans="2:2" ht="13">
      <c r="B952" s="132"/>
    </row>
    <row r="953" spans="2:2" ht="13">
      <c r="B953" s="132"/>
    </row>
    <row r="954" spans="2:2" ht="13">
      <c r="B954" s="132"/>
    </row>
    <row r="955" spans="2:2" ht="13">
      <c r="B955" s="132"/>
    </row>
    <row r="956" spans="2:2" ht="13">
      <c r="B956" s="132"/>
    </row>
    <row r="957" spans="2:2" ht="13">
      <c r="B957" s="132"/>
    </row>
    <row r="958" spans="2:2" ht="13">
      <c r="B958" s="132"/>
    </row>
    <row r="959" spans="2:2" ht="13">
      <c r="B959" s="132"/>
    </row>
    <row r="960" spans="2:2" ht="13">
      <c r="B960" s="132"/>
    </row>
    <row r="961" spans="2:2" ht="13">
      <c r="B961" s="132"/>
    </row>
    <row r="962" spans="2:2" ht="13">
      <c r="B962" s="132"/>
    </row>
    <row r="963" spans="2:2" ht="13">
      <c r="B963" s="132"/>
    </row>
    <row r="964" spans="2:2" ht="13">
      <c r="B964" s="132"/>
    </row>
    <row r="965" spans="2:2" ht="13">
      <c r="B965" s="132"/>
    </row>
    <row r="966" spans="2:2" ht="13">
      <c r="B966" s="132"/>
    </row>
    <row r="967" spans="2:2" ht="13">
      <c r="B967" s="132"/>
    </row>
    <row r="968" spans="2:2" ht="13">
      <c r="B968" s="132"/>
    </row>
    <row r="969" spans="2:2" ht="13">
      <c r="B969" s="132"/>
    </row>
    <row r="970" spans="2:2" ht="13">
      <c r="B970" s="132"/>
    </row>
    <row r="971" spans="2:2" ht="13">
      <c r="B971" s="132"/>
    </row>
    <row r="972" spans="2:2" ht="13">
      <c r="B972" s="132"/>
    </row>
    <row r="973" spans="2:2" ht="13">
      <c r="B973" s="132"/>
    </row>
    <row r="974" spans="2:2" ht="13">
      <c r="B974" s="132"/>
    </row>
    <row r="975" spans="2:2" ht="13">
      <c r="B975" s="132"/>
    </row>
    <row r="976" spans="2:2" ht="13">
      <c r="B976" s="132"/>
    </row>
    <row r="977" spans="2:2" ht="13">
      <c r="B977" s="132"/>
    </row>
    <row r="978" spans="2:2" ht="13">
      <c r="B978" s="132"/>
    </row>
    <row r="979" spans="2:2" ht="13">
      <c r="B979" s="132"/>
    </row>
    <row r="980" spans="2:2" ht="13">
      <c r="B980" s="132"/>
    </row>
    <row r="981" spans="2:2" ht="13">
      <c r="B981" s="132"/>
    </row>
    <row r="982" spans="2:2" ht="13">
      <c r="B982" s="132"/>
    </row>
    <row r="983" spans="2:2" ht="13">
      <c r="B983" s="132"/>
    </row>
    <row r="984" spans="2:2" ht="13">
      <c r="B984" s="132"/>
    </row>
    <row r="985" spans="2:2" ht="13">
      <c r="B985" s="132"/>
    </row>
    <row r="986" spans="2:2" ht="13">
      <c r="B986" s="132"/>
    </row>
    <row r="987" spans="2:2" ht="13">
      <c r="B987" s="132"/>
    </row>
    <row r="988" spans="2:2" ht="13">
      <c r="B988" s="132"/>
    </row>
    <row r="989" spans="2:2" ht="13">
      <c r="B989" s="132"/>
    </row>
    <row r="990" spans="2:2" ht="13">
      <c r="B990" s="132"/>
    </row>
    <row r="991" spans="2:2" ht="13">
      <c r="B991" s="132"/>
    </row>
    <row r="992" spans="2:2" ht="13">
      <c r="B992" s="132"/>
    </row>
    <row r="993" spans="2:2" ht="13">
      <c r="B993" s="132"/>
    </row>
    <row r="994" spans="2:2" ht="13">
      <c r="B994" s="132"/>
    </row>
    <row r="995" spans="2:2" ht="13">
      <c r="B995" s="132"/>
    </row>
    <row r="996" spans="2:2" ht="13">
      <c r="B996" s="132"/>
    </row>
    <row r="997" spans="2:2" ht="13">
      <c r="B997" s="132"/>
    </row>
    <row r="998" spans="2:2" ht="13">
      <c r="B998" s="132"/>
    </row>
    <row r="999" spans="2:2" ht="13">
      <c r="B999" s="132"/>
    </row>
    <row r="1000" spans="2:2" ht="13">
      <c r="B1000" s="132"/>
    </row>
    <row r="1001" spans="2:2" ht="13">
      <c r="B1001" s="132"/>
    </row>
    <row r="1002" spans="2:2" ht="13">
      <c r="B1002" s="132"/>
    </row>
    <row r="1003" spans="2:2" ht="13">
      <c r="B1003" s="132"/>
    </row>
    <row r="1004" spans="2:2" ht="13">
      <c r="B1004" s="132"/>
    </row>
  </sheetData>
  <mergeCells count="1">
    <mergeCell ref="A29:A30"/>
  </mergeCells>
  <hyperlinks>
    <hyperlink ref="A3" r:id="rId1" xr:uid="{00000000-0004-0000-0900-000000000000}"/>
  </hyperlinks>
  <pageMargins left="0.7" right="0.7" top="0.75" bottom="0.75" header="0.3" footer="0.3"/>
  <pageSetup paperSize="9" orientation="portrait" horizontalDpi="0" verticalDpi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A72AA-9D54-E446-978F-2687BC065CE8}">
  <dimension ref="A1:H142"/>
  <sheetViews>
    <sheetView zoomScaleNormal="100" workbookViewId="0">
      <pane ySplit="2" topLeftCell="A66" activePane="bottomLeft" state="frozen"/>
      <selection pane="bottomLeft" activeCell="G86" sqref="G86"/>
    </sheetView>
  </sheetViews>
  <sheetFormatPr baseColWidth="10" defaultColWidth="10.83203125" defaultRowHeight="14"/>
  <cols>
    <col min="1" max="1" width="25.33203125" style="305" customWidth="1"/>
    <col min="2" max="6" width="10.83203125" style="306"/>
    <col min="7" max="7" width="12.33203125" style="306" bestFit="1" customWidth="1"/>
    <col min="8" max="8" width="50.83203125" style="305" customWidth="1"/>
    <col min="9" max="16384" width="10.83203125" style="306"/>
  </cols>
  <sheetData>
    <row r="1" spans="1:8">
      <c r="C1" s="306">
        <v>1</v>
      </c>
      <c r="D1" s="306">
        <v>0.74</v>
      </c>
      <c r="E1" s="306">
        <v>1.28</v>
      </c>
      <c r="F1" s="306">
        <v>4.22</v>
      </c>
    </row>
    <row r="2" spans="1:8" s="308" customFormat="1" ht="30" customHeight="1">
      <c r="A2" s="307"/>
      <c r="C2" s="308" t="s">
        <v>347</v>
      </c>
      <c r="D2" s="308" t="s">
        <v>346</v>
      </c>
      <c r="E2" s="308" t="s">
        <v>352</v>
      </c>
      <c r="F2" s="308" t="s">
        <v>626</v>
      </c>
      <c r="G2" s="308" t="s">
        <v>347</v>
      </c>
      <c r="H2" s="307" t="s">
        <v>660</v>
      </c>
    </row>
    <row r="3" spans="1:8" s="312" customFormat="1" ht="30" customHeight="1">
      <c r="A3" s="309" t="s">
        <v>661</v>
      </c>
      <c r="B3" s="310"/>
      <c r="C3" s="311"/>
      <c r="D3" s="310"/>
      <c r="G3" s="313">
        <f>+C3/$C$1+D3/$D$1+E3/$E$1+F3/$F$1</f>
        <v>0</v>
      </c>
      <c r="H3" s="314"/>
    </row>
    <row r="4" spans="1:8" s="312" customFormat="1" ht="30" customHeight="1">
      <c r="A4" s="309" t="s">
        <v>662</v>
      </c>
      <c r="B4" s="310"/>
      <c r="C4" s="311"/>
      <c r="D4" s="310"/>
      <c r="G4" s="313">
        <f t="shared" ref="G4:G58" si="0">+C4/$C$1+D4/$D$1+E4/$E$1+F4/$F$1</f>
        <v>0</v>
      </c>
      <c r="H4" s="314"/>
    </row>
    <row r="5" spans="1:8" s="312" customFormat="1" ht="30" customHeight="1">
      <c r="A5" s="309" t="s">
        <v>663</v>
      </c>
      <c r="B5" s="310"/>
      <c r="C5" s="311"/>
      <c r="D5" s="310"/>
      <c r="G5" s="313">
        <f t="shared" si="0"/>
        <v>0</v>
      </c>
      <c r="H5" s="314"/>
    </row>
    <row r="6" spans="1:8" s="312" customFormat="1" ht="30" customHeight="1">
      <c r="A6" s="309" t="s">
        <v>642</v>
      </c>
      <c r="B6" s="310"/>
      <c r="C6" s="311"/>
      <c r="D6" s="310"/>
      <c r="G6" s="313">
        <f t="shared" si="0"/>
        <v>0</v>
      </c>
      <c r="H6" s="314"/>
    </row>
    <row r="7" spans="1:8" s="312" customFormat="1" ht="30" customHeight="1">
      <c r="A7" s="309"/>
      <c r="B7" s="310"/>
      <c r="C7" s="311"/>
      <c r="D7" s="310"/>
      <c r="G7" s="313">
        <f t="shared" si="0"/>
        <v>0</v>
      </c>
      <c r="H7" s="314"/>
    </row>
    <row r="8" spans="1:8" s="312" customFormat="1" ht="30" customHeight="1">
      <c r="A8" s="309" t="s">
        <v>664</v>
      </c>
      <c r="C8" s="311"/>
      <c r="E8" s="310">
        <v>34122</v>
      </c>
      <c r="G8" s="485">
        <f t="shared" si="0"/>
        <v>26657.8125</v>
      </c>
      <c r="H8" s="314"/>
    </row>
    <row r="9" spans="1:8" s="312" customFormat="1" ht="30" customHeight="1">
      <c r="A9" s="309" t="s">
        <v>665</v>
      </c>
      <c r="C9" s="311"/>
      <c r="E9" s="310">
        <v>12400</v>
      </c>
      <c r="G9" s="485">
        <f t="shared" si="0"/>
        <v>9687.5</v>
      </c>
      <c r="H9" s="314"/>
    </row>
    <row r="10" spans="1:8" s="312" customFormat="1" ht="30" customHeight="1">
      <c r="A10" s="309"/>
      <c r="C10" s="311"/>
      <c r="E10" s="310"/>
      <c r="G10" s="313">
        <f t="shared" si="0"/>
        <v>0</v>
      </c>
      <c r="H10" s="314"/>
    </row>
    <row r="11" spans="1:8" s="312" customFormat="1" ht="30" customHeight="1">
      <c r="A11" s="307" t="s">
        <v>666</v>
      </c>
      <c r="G11" s="313">
        <f t="shared" si="0"/>
        <v>0</v>
      </c>
      <c r="H11" s="314"/>
    </row>
    <row r="12" spans="1:8" s="312" customFormat="1" ht="30" customHeight="1">
      <c r="A12" s="314" t="s">
        <v>667</v>
      </c>
      <c r="C12" s="312">
        <v>1500</v>
      </c>
      <c r="G12" s="313">
        <f t="shared" si="0"/>
        <v>1500</v>
      </c>
      <c r="H12" s="314"/>
    </row>
    <row r="13" spans="1:8" s="312" customFormat="1" ht="30" customHeight="1">
      <c r="A13" s="314" t="s">
        <v>668</v>
      </c>
      <c r="C13" s="312">
        <v>5000</v>
      </c>
      <c r="G13" s="313">
        <f t="shared" si="0"/>
        <v>5000</v>
      </c>
      <c r="H13" s="314"/>
    </row>
    <row r="14" spans="1:8" s="312" customFormat="1" ht="30" customHeight="1">
      <c r="A14" s="314" t="s">
        <v>669</v>
      </c>
      <c r="G14" s="313">
        <f t="shared" si="0"/>
        <v>0</v>
      </c>
      <c r="H14" s="314" t="s">
        <v>670</v>
      </c>
    </row>
    <row r="15" spans="1:8" s="312" customFormat="1" ht="30" customHeight="1">
      <c r="A15" s="314" t="s">
        <v>671</v>
      </c>
      <c r="G15" s="313">
        <f t="shared" si="0"/>
        <v>0</v>
      </c>
      <c r="H15" s="314" t="s">
        <v>672</v>
      </c>
    </row>
    <row r="16" spans="1:8" s="312" customFormat="1" ht="30" customHeight="1">
      <c r="A16" s="314" t="s">
        <v>673</v>
      </c>
      <c r="D16" s="312">
        <v>2000</v>
      </c>
      <c r="G16" s="313">
        <f t="shared" si="0"/>
        <v>2702.7027027027029</v>
      </c>
      <c r="H16" s="314"/>
    </row>
    <row r="17" spans="1:8" s="312" customFormat="1" ht="30" customHeight="1">
      <c r="A17" s="314" t="s">
        <v>674</v>
      </c>
      <c r="E17" s="312">
        <v>6000</v>
      </c>
      <c r="G17" s="313">
        <f t="shared" si="0"/>
        <v>4687.5</v>
      </c>
      <c r="H17" s="314"/>
    </row>
    <row r="18" spans="1:8" s="312" customFormat="1" ht="30" customHeight="1">
      <c r="A18" s="314" t="s">
        <v>675</v>
      </c>
      <c r="F18" s="312">
        <v>6000</v>
      </c>
      <c r="G18" s="313">
        <f t="shared" si="0"/>
        <v>1421.8009478672986</v>
      </c>
      <c r="H18" s="314" t="s">
        <v>676</v>
      </c>
    </row>
    <row r="19" spans="1:8" s="312" customFormat="1" ht="30" customHeight="1">
      <c r="A19" s="314" t="s">
        <v>677</v>
      </c>
      <c r="F19" s="312">
        <v>2500</v>
      </c>
      <c r="G19" s="313">
        <f t="shared" si="0"/>
        <v>592.41706161137449</v>
      </c>
      <c r="H19" s="314"/>
    </row>
    <row r="20" spans="1:8" s="312" customFormat="1" ht="30" customHeight="1">
      <c r="A20" s="314"/>
      <c r="G20" s="313">
        <f t="shared" si="0"/>
        <v>0</v>
      </c>
      <c r="H20" s="314"/>
    </row>
    <row r="21" spans="1:8" s="312" customFormat="1" ht="30" customHeight="1">
      <c r="A21" s="307" t="s">
        <v>678</v>
      </c>
      <c r="G21" s="313">
        <f t="shared" si="0"/>
        <v>0</v>
      </c>
      <c r="H21" s="314"/>
    </row>
    <row r="22" spans="1:8" s="312" customFormat="1" ht="30" customHeight="1">
      <c r="A22" s="314" t="s">
        <v>679</v>
      </c>
      <c r="C22" s="312">
        <v>4100</v>
      </c>
      <c r="G22" s="313">
        <f t="shared" si="0"/>
        <v>4100</v>
      </c>
      <c r="H22" s="314"/>
    </row>
    <row r="23" spans="1:8" s="312" customFormat="1" ht="30" customHeight="1">
      <c r="A23" s="314" t="s">
        <v>680</v>
      </c>
      <c r="G23" s="313">
        <f t="shared" si="0"/>
        <v>0</v>
      </c>
      <c r="H23" s="314" t="s">
        <v>681</v>
      </c>
    </row>
    <row r="24" spans="1:8" s="312" customFormat="1" ht="30" customHeight="1">
      <c r="A24" s="314" t="s">
        <v>682</v>
      </c>
      <c r="E24" s="312">
        <v>3955</v>
      </c>
      <c r="G24" s="313">
        <f t="shared" si="0"/>
        <v>3089.84375</v>
      </c>
      <c r="H24" s="314"/>
    </row>
    <row r="25" spans="1:8" ht="30" customHeight="1">
      <c r="G25" s="313">
        <f t="shared" si="0"/>
        <v>0</v>
      </c>
    </row>
    <row r="26" spans="1:8" ht="30" customHeight="1">
      <c r="A26" s="315" t="s">
        <v>683</v>
      </c>
      <c r="G26" s="313">
        <f t="shared" si="0"/>
        <v>0</v>
      </c>
    </row>
    <row r="27" spans="1:8" ht="30" customHeight="1">
      <c r="A27" s="305" t="s">
        <v>684</v>
      </c>
      <c r="D27" s="306">
        <v>47.48</v>
      </c>
      <c r="G27" s="485">
        <f t="shared" si="0"/>
        <v>64.162162162162161</v>
      </c>
    </row>
    <row r="28" spans="1:8" ht="30" customHeight="1">
      <c r="A28" s="305" t="s">
        <v>685</v>
      </c>
      <c r="D28" s="306">
        <v>8.32</v>
      </c>
      <c r="G28" s="485">
        <f t="shared" si="0"/>
        <v>11.243243243243244</v>
      </c>
    </row>
    <row r="29" spans="1:8" ht="30" customHeight="1">
      <c r="A29" s="305" t="s">
        <v>686</v>
      </c>
      <c r="D29" s="306">
        <v>80</v>
      </c>
      <c r="G29" s="485">
        <f t="shared" si="0"/>
        <v>108.10810810810811</v>
      </c>
    </row>
    <row r="30" spans="1:8" ht="30" customHeight="1">
      <c r="A30" s="305" t="s">
        <v>687</v>
      </c>
      <c r="D30" s="306">
        <v>36.950000000000003</v>
      </c>
      <c r="G30" s="485">
        <f t="shared" si="0"/>
        <v>49.932432432432435</v>
      </c>
    </row>
    <row r="31" spans="1:8" ht="30" customHeight="1">
      <c r="A31" s="305" t="s">
        <v>371</v>
      </c>
      <c r="D31" s="306">
        <v>48.33</v>
      </c>
      <c r="G31" s="485">
        <f t="shared" si="0"/>
        <v>65.310810810810807</v>
      </c>
    </row>
    <row r="32" spans="1:8" ht="30" customHeight="1">
      <c r="A32" s="305" t="s">
        <v>356</v>
      </c>
      <c r="D32" s="306">
        <v>836</v>
      </c>
      <c r="G32" s="485">
        <f t="shared" si="0"/>
        <v>1129.7297297297298</v>
      </c>
    </row>
    <row r="33" spans="1:8" ht="30" customHeight="1">
      <c r="A33" s="305" t="s">
        <v>688</v>
      </c>
      <c r="D33" s="306">
        <v>1304</v>
      </c>
      <c r="G33" s="485">
        <f t="shared" si="0"/>
        <v>1762.1621621621621</v>
      </c>
    </row>
    <row r="34" spans="1:8" ht="30" customHeight="1">
      <c r="A34" s="305" t="s">
        <v>689</v>
      </c>
      <c r="D34" s="306">
        <v>409</v>
      </c>
      <c r="G34" s="485">
        <f t="shared" si="0"/>
        <v>552.70270270270271</v>
      </c>
    </row>
    <row r="35" spans="1:8" ht="30" customHeight="1">
      <c r="A35" s="305" t="s">
        <v>360</v>
      </c>
      <c r="D35" s="306">
        <v>105.84</v>
      </c>
      <c r="G35" s="485">
        <f t="shared" si="0"/>
        <v>143.02702702702703</v>
      </c>
    </row>
    <row r="36" spans="1:8" ht="30" customHeight="1">
      <c r="A36" s="305" t="s">
        <v>690</v>
      </c>
      <c r="D36" s="306">
        <v>28.84</v>
      </c>
      <c r="G36" s="485">
        <f t="shared" si="0"/>
        <v>38.972972972972975</v>
      </c>
    </row>
    <row r="37" spans="1:8" ht="30" customHeight="1">
      <c r="A37" s="306"/>
      <c r="G37" s="485">
        <f t="shared" si="0"/>
        <v>0</v>
      </c>
    </row>
    <row r="38" spans="1:8" ht="30" customHeight="1">
      <c r="A38" s="305" t="s">
        <v>691</v>
      </c>
      <c r="C38" s="306">
        <v>58.69</v>
      </c>
      <c r="G38" s="485">
        <f t="shared" si="0"/>
        <v>58.69</v>
      </c>
    </row>
    <row r="39" spans="1:8" ht="30" customHeight="1">
      <c r="A39" s="305" t="s">
        <v>692</v>
      </c>
      <c r="C39" s="306">
        <v>215.97</v>
      </c>
      <c r="G39" s="485">
        <f t="shared" si="0"/>
        <v>215.97</v>
      </c>
    </row>
    <row r="40" spans="1:8" ht="30" customHeight="1">
      <c r="A40" s="305" t="s">
        <v>693</v>
      </c>
      <c r="C40" s="306">
        <v>20</v>
      </c>
      <c r="G40" s="485">
        <f t="shared" si="0"/>
        <v>20</v>
      </c>
    </row>
    <row r="41" spans="1:8" ht="30" customHeight="1">
      <c r="A41" s="305" t="s">
        <v>358</v>
      </c>
      <c r="C41" s="306">
        <v>168</v>
      </c>
      <c r="G41" s="485">
        <f t="shared" si="0"/>
        <v>168</v>
      </c>
    </row>
    <row r="42" spans="1:8" ht="30" customHeight="1">
      <c r="A42" s="305" t="s">
        <v>694</v>
      </c>
      <c r="C42" s="306">
        <v>16</v>
      </c>
      <c r="G42" s="485">
        <f t="shared" si="0"/>
        <v>16</v>
      </c>
    </row>
    <row r="43" spans="1:8" ht="30" customHeight="1">
      <c r="A43" s="305" t="s">
        <v>695</v>
      </c>
      <c r="C43" s="306">
        <v>200</v>
      </c>
      <c r="G43" s="485">
        <f t="shared" si="0"/>
        <v>200</v>
      </c>
      <c r="H43" s="305" t="s">
        <v>696</v>
      </c>
    </row>
    <row r="44" spans="1:8" ht="30" customHeight="1">
      <c r="A44" s="306" t="s">
        <v>697</v>
      </c>
      <c r="C44" s="306">
        <v>193</v>
      </c>
      <c r="G44" s="485">
        <f t="shared" si="0"/>
        <v>193</v>
      </c>
    </row>
    <row r="45" spans="1:8" ht="30" customHeight="1">
      <c r="G45" s="485">
        <f t="shared" si="0"/>
        <v>0</v>
      </c>
    </row>
    <row r="46" spans="1:8" ht="30" customHeight="1">
      <c r="A46" s="305" t="s">
        <v>698</v>
      </c>
      <c r="E46" s="306">
        <v>112.2</v>
      </c>
      <c r="G46" s="485">
        <f t="shared" si="0"/>
        <v>87.65625</v>
      </c>
    </row>
    <row r="47" spans="1:8" ht="30" customHeight="1">
      <c r="A47" s="305" t="s">
        <v>699</v>
      </c>
      <c r="E47" s="306">
        <v>161</v>
      </c>
      <c r="G47" s="485">
        <f t="shared" si="0"/>
        <v>125.78125</v>
      </c>
    </row>
    <row r="48" spans="1:8" ht="30" customHeight="1">
      <c r="A48" s="305" t="s">
        <v>700</v>
      </c>
      <c r="E48" s="306">
        <v>97</v>
      </c>
      <c r="G48" s="485">
        <f t="shared" si="0"/>
        <v>75.78125</v>
      </c>
    </row>
    <row r="49" spans="1:8" ht="30" customHeight="1">
      <c r="A49" s="305" t="s">
        <v>701</v>
      </c>
      <c r="E49" s="306">
        <v>56</v>
      </c>
      <c r="G49" s="485">
        <f t="shared" si="0"/>
        <v>43.75</v>
      </c>
    </row>
    <row r="50" spans="1:8" ht="30" customHeight="1">
      <c r="A50" s="305" t="s">
        <v>702</v>
      </c>
      <c r="E50" s="306">
        <v>186</v>
      </c>
      <c r="G50" s="485">
        <f t="shared" si="0"/>
        <v>145.3125</v>
      </c>
      <c r="H50" s="306"/>
    </row>
    <row r="51" spans="1:8" ht="30" customHeight="1">
      <c r="A51" s="305" t="s">
        <v>703</v>
      </c>
      <c r="E51" s="306">
        <v>49</v>
      </c>
      <c r="G51" s="485">
        <f t="shared" si="0"/>
        <v>38.28125</v>
      </c>
    </row>
    <row r="52" spans="1:8" ht="30" customHeight="1">
      <c r="A52" s="305" t="s">
        <v>704</v>
      </c>
      <c r="E52" s="306">
        <v>80</v>
      </c>
      <c r="G52" s="485">
        <f t="shared" si="0"/>
        <v>62.5</v>
      </c>
    </row>
    <row r="53" spans="1:8" ht="30" customHeight="1">
      <c r="G53" s="485">
        <f>+C53/$C$1+D53/$D$1+E53/$E$1+F53/$F$1</f>
        <v>0</v>
      </c>
    </row>
    <row r="54" spans="1:8" ht="30" customHeight="1">
      <c r="A54" s="315" t="s">
        <v>671</v>
      </c>
      <c r="G54" s="485">
        <f t="shared" si="0"/>
        <v>0</v>
      </c>
    </row>
    <row r="55" spans="1:8" ht="30" customHeight="1">
      <c r="A55" s="305" t="s">
        <v>705</v>
      </c>
      <c r="D55" s="306">
        <v>190</v>
      </c>
      <c r="G55" s="485">
        <f t="shared" si="0"/>
        <v>256.75675675675677</v>
      </c>
    </row>
    <row r="56" spans="1:8" ht="30" customHeight="1">
      <c r="A56" s="306"/>
      <c r="G56" s="485">
        <f t="shared" si="0"/>
        <v>0</v>
      </c>
    </row>
    <row r="57" spans="1:8" s="317" customFormat="1" ht="16" customHeight="1">
      <c r="A57" s="316"/>
      <c r="G57" s="485">
        <f t="shared" si="0"/>
        <v>0</v>
      </c>
      <c r="H57" s="316"/>
    </row>
    <row r="58" spans="1:8" ht="30" customHeight="1">
      <c r="A58" s="315" t="s">
        <v>706</v>
      </c>
      <c r="B58" s="306">
        <v>12</v>
      </c>
      <c r="G58" s="485">
        <f t="shared" si="0"/>
        <v>0</v>
      </c>
    </row>
    <row r="59" spans="1:8" ht="30" customHeight="1">
      <c r="A59" s="305" t="s">
        <v>707</v>
      </c>
      <c r="C59" s="306">
        <v>384</v>
      </c>
      <c r="G59" s="485">
        <f t="shared" ref="G59:G71" si="1">(+C59/$C$1+D59/$D$1+E59/$E$1+F59/$F$1)/$B$58</f>
        <v>32</v>
      </c>
    </row>
    <row r="60" spans="1:8" ht="30" customHeight="1">
      <c r="A60" s="306" t="s">
        <v>708</v>
      </c>
      <c r="C60" s="306">
        <v>3225.65</v>
      </c>
      <c r="G60" s="485">
        <f t="shared" si="1"/>
        <v>268.80416666666667</v>
      </c>
    </row>
    <row r="61" spans="1:8" ht="30" customHeight="1">
      <c r="A61" s="306" t="s">
        <v>709</v>
      </c>
      <c r="C61" s="306">
        <v>99.95</v>
      </c>
      <c r="G61" s="485">
        <f t="shared" si="1"/>
        <v>8.3291666666666675</v>
      </c>
    </row>
    <row r="62" spans="1:8" ht="30" customHeight="1">
      <c r="A62" s="306" t="s">
        <v>710</v>
      </c>
      <c r="C62" s="306">
        <v>861.84</v>
      </c>
      <c r="G62" s="485">
        <f t="shared" si="1"/>
        <v>71.820000000000007</v>
      </c>
    </row>
    <row r="63" spans="1:8" ht="30" customHeight="1">
      <c r="A63" s="306" t="s">
        <v>711</v>
      </c>
      <c r="C63" s="306">
        <v>479.7</v>
      </c>
      <c r="G63" s="485">
        <f t="shared" si="1"/>
        <v>39.975000000000001</v>
      </c>
    </row>
    <row r="64" spans="1:8" ht="30" customHeight="1">
      <c r="A64" s="306"/>
      <c r="G64" s="485">
        <f t="shared" si="1"/>
        <v>0</v>
      </c>
    </row>
    <row r="65" spans="1:8" ht="30" customHeight="1">
      <c r="A65" s="305" t="s">
        <v>712</v>
      </c>
      <c r="D65" s="306">
        <v>198.72</v>
      </c>
      <c r="G65" s="485">
        <f t="shared" si="1"/>
        <v>22.378378378378375</v>
      </c>
    </row>
    <row r="66" spans="1:8" ht="30" customHeight="1">
      <c r="A66" s="305" t="s">
        <v>713</v>
      </c>
      <c r="D66" s="306">
        <v>99.99</v>
      </c>
      <c r="G66" s="485">
        <f t="shared" si="1"/>
        <v>11.260135135135135</v>
      </c>
    </row>
    <row r="67" spans="1:8" ht="30" customHeight="1">
      <c r="A67" s="305" t="s">
        <v>714</v>
      </c>
      <c r="D67" s="306">
        <v>104.99</v>
      </c>
      <c r="G67" s="485">
        <f t="shared" si="1"/>
        <v>11.823198198198199</v>
      </c>
    </row>
    <row r="68" spans="1:8" ht="30" customHeight="1">
      <c r="G68" s="485">
        <f t="shared" si="1"/>
        <v>0</v>
      </c>
    </row>
    <row r="69" spans="1:8" ht="30" customHeight="1">
      <c r="A69" s="305" t="s">
        <v>715</v>
      </c>
      <c r="E69" s="306">
        <v>5400</v>
      </c>
      <c r="G69" s="485">
        <f t="shared" si="1"/>
        <v>351.5625</v>
      </c>
    </row>
    <row r="70" spans="1:8" ht="30" customHeight="1">
      <c r="G70" s="485">
        <f t="shared" si="1"/>
        <v>0</v>
      </c>
    </row>
    <row r="71" spans="1:8" ht="30" customHeight="1">
      <c r="A71" s="305" t="s">
        <v>716</v>
      </c>
      <c r="F71" s="306">
        <v>106.74</v>
      </c>
      <c r="G71" s="485">
        <f t="shared" si="1"/>
        <v>2.1078199052132702</v>
      </c>
    </row>
    <row r="72" spans="1:8" ht="30" customHeight="1"/>
    <row r="73" spans="1:8" ht="30" customHeight="1">
      <c r="A73" s="305" t="s">
        <v>254</v>
      </c>
      <c r="G73" s="318">
        <f>SUM(G3:G72)</f>
        <v>65892.467935239736</v>
      </c>
    </row>
    <row r="74" spans="1:8" ht="30" customHeight="1"/>
    <row r="75" spans="1:8" ht="30" customHeight="1"/>
    <row r="76" spans="1:8" ht="30" customHeight="1"/>
    <row r="77" spans="1:8" ht="30" customHeight="1">
      <c r="A77" s="315" t="s">
        <v>717</v>
      </c>
    </row>
    <row r="78" spans="1:8" ht="30" customHeight="1">
      <c r="A78" s="305" t="s">
        <v>718</v>
      </c>
      <c r="C78" s="306">
        <v>12000</v>
      </c>
      <c r="G78" s="485">
        <f>+C78/$C$1+D78/$D$1+E78/$E$1+F78/$F$1</f>
        <v>12000</v>
      </c>
    </row>
    <row r="79" spans="1:8" ht="30" customHeight="1">
      <c r="A79" s="305" t="s">
        <v>719</v>
      </c>
      <c r="C79" s="306">
        <v>1500</v>
      </c>
      <c r="G79" s="485">
        <f>+C79/$C$1+D79/$D$1+E79/$E$1+F79/$F$1</f>
        <v>1500</v>
      </c>
    </row>
    <row r="80" spans="1:8" ht="30" customHeight="1">
      <c r="A80" s="305" t="s">
        <v>720</v>
      </c>
      <c r="F80" s="306">
        <v>4000</v>
      </c>
      <c r="G80" s="485">
        <f>+C80/$C$1+D80/$D$1+E80/$E$1+F80/$F$1</f>
        <v>947.8672985781991</v>
      </c>
      <c r="H80" s="305" t="s">
        <v>721</v>
      </c>
    </row>
    <row r="81" spans="1:8" ht="30" customHeight="1">
      <c r="A81" s="305" t="s">
        <v>722</v>
      </c>
      <c r="C81" s="306">
        <v>2000</v>
      </c>
      <c r="G81" s="485">
        <f>+C81/$C$1+D81/$D$1+E81/$E$1+F81/$F$1</f>
        <v>2000</v>
      </c>
    </row>
    <row r="82" spans="1:8" ht="30" customHeight="1">
      <c r="G82" s="319">
        <f>SUM(G78:G81)</f>
        <v>16447.8672985782</v>
      </c>
    </row>
    <row r="83" spans="1:8" s="305" customFormat="1" ht="30" customHeight="1">
      <c r="A83" s="305" t="s">
        <v>738</v>
      </c>
      <c r="B83" s="306"/>
      <c r="C83" s="306"/>
      <c r="D83" s="306"/>
      <c r="E83" s="306"/>
      <c r="F83" s="306"/>
      <c r="G83" s="394">
        <v>2000</v>
      </c>
      <c r="H83" s="305" t="s">
        <v>802</v>
      </c>
    </row>
    <row r="84" spans="1:8" s="305" customFormat="1" ht="30" customHeight="1">
      <c r="B84" s="306"/>
      <c r="C84" s="306"/>
      <c r="D84" s="306"/>
      <c r="E84" s="306"/>
      <c r="F84" s="306"/>
      <c r="G84" s="320">
        <f>+G82+G73+G83</f>
        <v>84340.335233817939</v>
      </c>
      <c r="H84" s="395">
        <v>84459</v>
      </c>
    </row>
    <row r="85" spans="1:8" s="305" customFormat="1" ht="30" customHeight="1">
      <c r="B85" s="306"/>
      <c r="C85" s="306"/>
      <c r="D85" s="306"/>
      <c r="E85" s="306"/>
      <c r="F85" s="306"/>
      <c r="G85" s="306"/>
    </row>
    <row r="86" spans="1:8" s="305" customFormat="1" ht="30" customHeight="1">
      <c r="A86" s="305" t="s">
        <v>912</v>
      </c>
      <c r="B86" s="306"/>
      <c r="C86" s="306"/>
      <c r="D86" s="306"/>
      <c r="E86" s="306"/>
      <c r="F86" s="306"/>
      <c r="G86" s="496">
        <v>6000</v>
      </c>
    </row>
    <row r="87" spans="1:8" s="305" customFormat="1" ht="30" customHeight="1">
      <c r="B87" s="306"/>
      <c r="C87" s="306"/>
      <c r="D87" s="306"/>
      <c r="E87" s="306"/>
      <c r="F87" s="306"/>
      <c r="G87" s="306"/>
    </row>
    <row r="88" spans="1:8" s="305" customFormat="1" ht="30" customHeight="1">
      <c r="B88" s="306"/>
      <c r="C88" s="306"/>
      <c r="D88" s="306"/>
      <c r="E88" s="306"/>
      <c r="F88" s="306"/>
      <c r="G88" s="306"/>
    </row>
    <row r="89" spans="1:8" s="305" customFormat="1" ht="30" customHeight="1">
      <c r="B89" s="306"/>
      <c r="C89" s="306"/>
      <c r="D89" s="306"/>
      <c r="E89" s="306"/>
      <c r="F89" s="306"/>
      <c r="G89" s="306"/>
    </row>
    <row r="90" spans="1:8" s="305" customFormat="1" ht="30" customHeight="1">
      <c r="B90" s="306"/>
      <c r="C90" s="306"/>
      <c r="D90" s="306"/>
      <c r="E90" s="306"/>
      <c r="F90" s="306"/>
      <c r="G90" s="306"/>
    </row>
    <row r="91" spans="1:8" s="305" customFormat="1" ht="30" customHeight="1">
      <c r="B91" s="306"/>
      <c r="C91" s="306"/>
      <c r="D91" s="306"/>
      <c r="E91" s="306"/>
      <c r="F91" s="306"/>
      <c r="G91" s="306"/>
    </row>
    <row r="92" spans="1:8" s="305" customFormat="1" ht="30" customHeight="1">
      <c r="B92" s="306"/>
      <c r="C92" s="306"/>
      <c r="D92" s="306"/>
      <c r="E92" s="306"/>
      <c r="F92" s="306"/>
      <c r="G92" s="306"/>
    </row>
    <row r="93" spans="1:8" s="305" customFormat="1" ht="30" customHeight="1">
      <c r="B93" s="306"/>
      <c r="C93" s="306"/>
      <c r="D93" s="306"/>
      <c r="E93" s="306"/>
      <c r="F93" s="306"/>
      <c r="G93" s="306"/>
    </row>
    <row r="94" spans="1:8" s="305" customFormat="1" ht="30" customHeight="1">
      <c r="B94" s="306"/>
      <c r="C94" s="306"/>
      <c r="D94" s="306"/>
      <c r="E94" s="306"/>
      <c r="F94" s="306"/>
      <c r="G94" s="306"/>
    </row>
    <row r="95" spans="1:8" s="305" customFormat="1" ht="30" customHeight="1">
      <c r="B95" s="306"/>
      <c r="C95" s="306"/>
      <c r="D95" s="306"/>
      <c r="E95" s="306"/>
      <c r="F95" s="306"/>
      <c r="G95" s="306"/>
    </row>
    <row r="96" spans="1:8" s="305" customFormat="1" ht="30" customHeight="1">
      <c r="B96" s="306"/>
      <c r="C96" s="306"/>
      <c r="D96" s="306"/>
      <c r="E96" s="306"/>
      <c r="F96" s="306"/>
      <c r="G96" s="306"/>
    </row>
    <row r="97" spans="2:7" s="305" customFormat="1" ht="30" customHeight="1">
      <c r="B97" s="306"/>
      <c r="C97" s="306"/>
      <c r="D97" s="306"/>
      <c r="E97" s="306"/>
      <c r="F97" s="306"/>
      <c r="G97" s="306"/>
    </row>
    <row r="98" spans="2:7" s="305" customFormat="1" ht="30" customHeight="1">
      <c r="B98" s="306"/>
      <c r="C98" s="306"/>
      <c r="D98" s="306"/>
      <c r="E98" s="306"/>
      <c r="F98" s="306"/>
      <c r="G98" s="306"/>
    </row>
    <row r="99" spans="2:7" s="305" customFormat="1" ht="30" customHeight="1">
      <c r="B99" s="306"/>
      <c r="C99" s="306"/>
      <c r="D99" s="306"/>
      <c r="E99" s="306"/>
      <c r="F99" s="306"/>
      <c r="G99" s="306"/>
    </row>
    <row r="100" spans="2:7" s="305" customFormat="1" ht="30" customHeight="1">
      <c r="B100" s="306"/>
      <c r="C100" s="306"/>
      <c r="D100" s="306"/>
      <c r="E100" s="306"/>
      <c r="F100" s="306"/>
      <c r="G100" s="306"/>
    </row>
    <row r="101" spans="2:7" s="305" customFormat="1" ht="30" customHeight="1">
      <c r="B101" s="306"/>
      <c r="C101" s="306"/>
      <c r="D101" s="306"/>
      <c r="E101" s="306"/>
      <c r="F101" s="306"/>
      <c r="G101" s="306"/>
    </row>
    <row r="102" spans="2:7" s="305" customFormat="1" ht="30" customHeight="1">
      <c r="B102" s="306"/>
      <c r="C102" s="306"/>
      <c r="D102" s="306"/>
      <c r="E102" s="306"/>
      <c r="F102" s="306"/>
      <c r="G102" s="306"/>
    </row>
    <row r="103" spans="2:7" s="305" customFormat="1" ht="30" customHeight="1">
      <c r="B103" s="306"/>
      <c r="C103" s="306"/>
      <c r="D103" s="306"/>
      <c r="E103" s="306"/>
      <c r="F103" s="306"/>
      <c r="G103" s="306"/>
    </row>
    <row r="104" spans="2:7" s="305" customFormat="1" ht="30" customHeight="1">
      <c r="B104" s="306"/>
      <c r="C104" s="306"/>
      <c r="D104" s="306"/>
      <c r="E104" s="306"/>
      <c r="F104" s="306"/>
      <c r="G104" s="306"/>
    </row>
    <row r="105" spans="2:7" s="305" customFormat="1" ht="30" customHeight="1">
      <c r="B105" s="306"/>
      <c r="C105" s="306"/>
      <c r="D105" s="306"/>
      <c r="E105" s="306"/>
      <c r="F105" s="306"/>
      <c r="G105" s="306"/>
    </row>
    <row r="106" spans="2:7" s="305" customFormat="1" ht="30" customHeight="1">
      <c r="B106" s="306"/>
      <c r="C106" s="306"/>
      <c r="D106" s="306"/>
      <c r="E106" s="306"/>
      <c r="F106" s="306"/>
      <c r="G106" s="306"/>
    </row>
    <row r="107" spans="2:7" s="305" customFormat="1" ht="30" customHeight="1">
      <c r="B107" s="306"/>
      <c r="C107" s="306"/>
      <c r="D107" s="306"/>
      <c r="E107" s="306"/>
      <c r="F107" s="306"/>
      <c r="G107" s="306"/>
    </row>
    <row r="108" spans="2:7" s="305" customFormat="1" ht="30" customHeight="1">
      <c r="B108" s="306"/>
      <c r="C108" s="306"/>
      <c r="D108" s="306"/>
      <c r="E108" s="306"/>
      <c r="F108" s="306"/>
      <c r="G108" s="306"/>
    </row>
    <row r="109" spans="2:7" s="305" customFormat="1" ht="30" customHeight="1">
      <c r="B109" s="306"/>
      <c r="C109" s="306"/>
      <c r="D109" s="306"/>
      <c r="E109" s="306"/>
      <c r="F109" s="306"/>
      <c r="G109" s="306"/>
    </row>
    <row r="110" spans="2:7" s="305" customFormat="1" ht="30" customHeight="1">
      <c r="B110" s="306"/>
      <c r="C110" s="306"/>
      <c r="D110" s="306"/>
      <c r="E110" s="306"/>
      <c r="F110" s="306"/>
      <c r="G110" s="306"/>
    </row>
    <row r="111" spans="2:7" s="305" customFormat="1" ht="30" customHeight="1">
      <c r="B111" s="306"/>
      <c r="C111" s="306"/>
      <c r="D111" s="306"/>
      <c r="E111" s="306"/>
      <c r="F111" s="306"/>
      <c r="G111" s="306"/>
    </row>
    <row r="112" spans="2:7" s="305" customFormat="1" ht="30" customHeight="1">
      <c r="B112" s="306"/>
      <c r="C112" s="306"/>
      <c r="D112" s="306"/>
      <c r="E112" s="306"/>
      <c r="F112" s="306"/>
      <c r="G112" s="306"/>
    </row>
    <row r="113" spans="2:7" s="305" customFormat="1" ht="30" customHeight="1">
      <c r="B113" s="306"/>
      <c r="C113" s="306"/>
      <c r="D113" s="306"/>
      <c r="E113" s="306"/>
      <c r="F113" s="306"/>
      <c r="G113" s="306"/>
    </row>
    <row r="114" spans="2:7" s="305" customFormat="1" ht="30" customHeight="1">
      <c r="B114" s="306"/>
      <c r="C114" s="306"/>
      <c r="D114" s="306"/>
      <c r="E114" s="306"/>
      <c r="F114" s="306"/>
      <c r="G114" s="306"/>
    </row>
    <row r="115" spans="2:7" s="305" customFormat="1" ht="30" customHeight="1">
      <c r="B115" s="306"/>
      <c r="C115" s="306"/>
      <c r="D115" s="306"/>
      <c r="E115" s="306"/>
      <c r="F115" s="306"/>
      <c r="G115" s="306"/>
    </row>
    <row r="116" spans="2:7" s="305" customFormat="1" ht="30" customHeight="1">
      <c r="B116" s="306"/>
      <c r="C116" s="306"/>
      <c r="D116" s="306"/>
      <c r="E116" s="306"/>
      <c r="F116" s="306"/>
      <c r="G116" s="306"/>
    </row>
    <row r="117" spans="2:7" s="305" customFormat="1" ht="30" customHeight="1">
      <c r="B117" s="306"/>
      <c r="C117" s="306"/>
      <c r="D117" s="306"/>
      <c r="E117" s="306"/>
      <c r="F117" s="306"/>
      <c r="G117" s="306"/>
    </row>
    <row r="118" spans="2:7" s="305" customFormat="1" ht="30" customHeight="1">
      <c r="B118" s="306"/>
      <c r="C118" s="306"/>
      <c r="D118" s="306"/>
      <c r="E118" s="306"/>
      <c r="F118" s="306"/>
      <c r="G118" s="306"/>
    </row>
    <row r="119" spans="2:7" s="305" customFormat="1" ht="30" customHeight="1">
      <c r="B119" s="306"/>
      <c r="C119" s="306"/>
      <c r="D119" s="306"/>
      <c r="E119" s="306"/>
      <c r="F119" s="306"/>
      <c r="G119" s="306"/>
    </row>
    <row r="120" spans="2:7" s="305" customFormat="1" ht="30" customHeight="1">
      <c r="B120" s="306"/>
      <c r="C120" s="306"/>
      <c r="D120" s="306"/>
      <c r="E120" s="306"/>
      <c r="F120" s="306"/>
      <c r="G120" s="306"/>
    </row>
    <row r="121" spans="2:7" s="305" customFormat="1" ht="30" customHeight="1">
      <c r="B121" s="306"/>
      <c r="C121" s="306"/>
      <c r="D121" s="306"/>
      <c r="E121" s="306"/>
      <c r="F121" s="306"/>
      <c r="G121" s="306"/>
    </row>
    <row r="122" spans="2:7" s="305" customFormat="1" ht="30" customHeight="1">
      <c r="B122" s="306"/>
      <c r="C122" s="306"/>
      <c r="D122" s="306"/>
      <c r="E122" s="306"/>
      <c r="F122" s="306"/>
      <c r="G122" s="306"/>
    </row>
    <row r="123" spans="2:7" s="305" customFormat="1" ht="30" customHeight="1">
      <c r="B123" s="306"/>
      <c r="C123" s="306"/>
      <c r="D123" s="306"/>
      <c r="E123" s="306"/>
      <c r="F123" s="306"/>
      <c r="G123" s="306"/>
    </row>
    <row r="124" spans="2:7" s="305" customFormat="1" ht="30" customHeight="1">
      <c r="B124" s="306"/>
      <c r="C124" s="306"/>
      <c r="D124" s="306"/>
      <c r="E124" s="306"/>
      <c r="F124" s="306"/>
      <c r="G124" s="306"/>
    </row>
    <row r="125" spans="2:7" s="305" customFormat="1" ht="30" customHeight="1">
      <c r="B125" s="306"/>
      <c r="C125" s="306"/>
      <c r="D125" s="306"/>
      <c r="E125" s="306"/>
      <c r="F125" s="306"/>
      <c r="G125" s="306"/>
    </row>
    <row r="126" spans="2:7" s="305" customFormat="1" ht="30" customHeight="1">
      <c r="B126" s="306"/>
      <c r="C126" s="306"/>
      <c r="D126" s="306"/>
      <c r="E126" s="306"/>
      <c r="F126" s="306"/>
      <c r="G126" s="306"/>
    </row>
    <row r="127" spans="2:7" s="305" customFormat="1" ht="30" customHeight="1">
      <c r="B127" s="306"/>
      <c r="C127" s="306"/>
      <c r="D127" s="306"/>
      <c r="E127" s="306"/>
      <c r="F127" s="306"/>
      <c r="G127" s="306"/>
    </row>
    <row r="128" spans="2:7" s="305" customFormat="1" ht="30" customHeight="1">
      <c r="B128" s="306"/>
      <c r="C128" s="306"/>
      <c r="D128" s="306"/>
      <c r="E128" s="306"/>
      <c r="F128" s="306"/>
      <c r="G128" s="306"/>
    </row>
    <row r="129" spans="2:7" s="305" customFormat="1" ht="30" customHeight="1">
      <c r="B129" s="306"/>
      <c r="C129" s="306"/>
      <c r="D129" s="306"/>
      <c r="E129" s="306"/>
      <c r="F129" s="306"/>
      <c r="G129" s="306"/>
    </row>
    <row r="130" spans="2:7" s="305" customFormat="1" ht="30" customHeight="1">
      <c r="B130" s="306"/>
      <c r="C130" s="306"/>
      <c r="D130" s="306"/>
      <c r="E130" s="306"/>
      <c r="F130" s="306"/>
      <c r="G130" s="306"/>
    </row>
    <row r="131" spans="2:7" s="305" customFormat="1" ht="30" customHeight="1">
      <c r="B131" s="306"/>
      <c r="C131" s="306"/>
      <c r="D131" s="306"/>
      <c r="E131" s="306"/>
      <c r="F131" s="306"/>
      <c r="G131" s="306"/>
    </row>
    <row r="132" spans="2:7" s="305" customFormat="1" ht="30" customHeight="1">
      <c r="B132" s="306"/>
      <c r="C132" s="306"/>
      <c r="D132" s="306"/>
      <c r="E132" s="306"/>
      <c r="F132" s="306"/>
      <c r="G132" s="306"/>
    </row>
    <row r="133" spans="2:7" s="305" customFormat="1" ht="30" customHeight="1">
      <c r="B133" s="306"/>
      <c r="C133" s="306"/>
      <c r="D133" s="306"/>
      <c r="E133" s="306"/>
      <c r="F133" s="306"/>
      <c r="G133" s="306"/>
    </row>
    <row r="134" spans="2:7" s="305" customFormat="1" ht="30" customHeight="1">
      <c r="B134" s="306"/>
      <c r="C134" s="306"/>
      <c r="D134" s="306"/>
      <c r="E134" s="306"/>
      <c r="F134" s="306"/>
      <c r="G134" s="306"/>
    </row>
    <row r="135" spans="2:7" s="305" customFormat="1" ht="30" customHeight="1">
      <c r="B135" s="306"/>
      <c r="C135" s="306"/>
      <c r="D135" s="306"/>
      <c r="E135" s="306"/>
      <c r="F135" s="306"/>
      <c r="G135" s="306"/>
    </row>
    <row r="136" spans="2:7" s="305" customFormat="1" ht="30" customHeight="1">
      <c r="B136" s="306"/>
      <c r="C136" s="306"/>
      <c r="D136" s="306"/>
      <c r="E136" s="306"/>
      <c r="F136" s="306"/>
      <c r="G136" s="306"/>
    </row>
    <row r="137" spans="2:7" s="305" customFormat="1" ht="30" customHeight="1">
      <c r="B137" s="306"/>
      <c r="C137" s="306"/>
      <c r="D137" s="306"/>
      <c r="E137" s="306"/>
      <c r="F137" s="306"/>
      <c r="G137" s="306"/>
    </row>
    <row r="138" spans="2:7" s="305" customFormat="1" ht="30" customHeight="1">
      <c r="B138" s="306"/>
      <c r="C138" s="306"/>
      <c r="D138" s="306"/>
      <c r="E138" s="306"/>
      <c r="F138" s="306"/>
      <c r="G138" s="306"/>
    </row>
    <row r="139" spans="2:7" s="305" customFormat="1" ht="30" customHeight="1">
      <c r="B139" s="306"/>
      <c r="C139" s="306"/>
      <c r="D139" s="306"/>
      <c r="E139" s="306"/>
      <c r="F139" s="306"/>
      <c r="G139" s="306"/>
    </row>
    <row r="140" spans="2:7" s="305" customFormat="1" ht="30" customHeight="1">
      <c r="B140" s="306"/>
      <c r="C140" s="306"/>
      <c r="D140" s="306"/>
      <c r="E140" s="306"/>
      <c r="F140" s="306"/>
      <c r="G140" s="306"/>
    </row>
    <row r="141" spans="2:7" s="305" customFormat="1" ht="30" customHeight="1">
      <c r="B141" s="306"/>
      <c r="C141" s="306"/>
      <c r="D141" s="306"/>
      <c r="E141" s="306"/>
      <c r="F141" s="306"/>
      <c r="G141" s="306"/>
    </row>
    <row r="142" spans="2:7" s="305" customFormat="1" ht="30" customHeight="1">
      <c r="B142" s="306"/>
      <c r="C142" s="306"/>
      <c r="D142" s="306"/>
      <c r="E142" s="306"/>
      <c r="F142" s="306"/>
      <c r="G142" s="306"/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49157-E268-DB42-B512-3F8336F91DB3}">
  <dimension ref="A1:C43"/>
  <sheetViews>
    <sheetView topLeftCell="A2" workbookViewId="0">
      <selection activeCell="C42" sqref="C42"/>
    </sheetView>
  </sheetViews>
  <sheetFormatPr baseColWidth="10" defaultRowHeight="13"/>
  <cols>
    <col min="1" max="1" width="15.6640625" customWidth="1"/>
    <col min="2" max="2" width="50.6640625" bestFit="1" customWidth="1"/>
    <col min="3" max="3" width="10.6640625" bestFit="1" customWidth="1"/>
  </cols>
  <sheetData>
    <row r="1" spans="1:3">
      <c r="A1" t="s">
        <v>938</v>
      </c>
    </row>
    <row r="3" spans="1:3">
      <c r="A3" t="s">
        <v>847</v>
      </c>
    </row>
    <row r="4" spans="1:3">
      <c r="A4" t="s">
        <v>939</v>
      </c>
    </row>
    <row r="5" spans="1:3">
      <c r="A5" t="s">
        <v>940</v>
      </c>
    </row>
    <row r="7" spans="1:3">
      <c r="A7" s="328" t="s">
        <v>941</v>
      </c>
      <c r="B7" s="328" t="s">
        <v>942</v>
      </c>
      <c r="C7" s="558" t="s">
        <v>158</v>
      </c>
    </row>
    <row r="8" spans="1:3">
      <c r="A8" s="328"/>
      <c r="B8" s="328"/>
      <c r="C8" s="554"/>
    </row>
    <row r="9" spans="1:3">
      <c r="A9" s="328" t="s">
        <v>943</v>
      </c>
      <c r="B9" s="328" t="s">
        <v>944</v>
      </c>
      <c r="C9" s="328">
        <v>60333.555791943683</v>
      </c>
    </row>
    <row r="10" spans="1:3">
      <c r="A10" s="328" t="s">
        <v>943</v>
      </c>
      <c r="B10" s="328" t="s">
        <v>945</v>
      </c>
      <c r="C10" s="328">
        <v>35668</v>
      </c>
    </row>
    <row r="11" spans="1:3">
      <c r="A11" s="328" t="s">
        <v>943</v>
      </c>
      <c r="B11" s="328" t="s">
        <v>946</v>
      </c>
      <c r="C11" s="328">
        <v>17722</v>
      </c>
    </row>
    <row r="12" spans="1:3">
      <c r="A12" s="328" t="s">
        <v>943</v>
      </c>
      <c r="B12" s="328" t="s">
        <v>947</v>
      </c>
      <c r="C12" s="328">
        <v>9252.08</v>
      </c>
    </row>
    <row r="13" spans="1:3">
      <c r="A13" s="328" t="s">
        <v>943</v>
      </c>
      <c r="B13" s="328" t="s">
        <v>948</v>
      </c>
      <c r="C13" s="328">
        <v>26689.088775909269</v>
      </c>
    </row>
    <row r="14" spans="1:3">
      <c r="A14" s="328" t="s">
        <v>943</v>
      </c>
      <c r="B14" s="328" t="s">
        <v>949</v>
      </c>
      <c r="C14" s="328">
        <v>2992</v>
      </c>
    </row>
    <row r="15" spans="1:3">
      <c r="A15" s="328" t="s">
        <v>943</v>
      </c>
      <c r="B15" s="328" t="s">
        <v>950</v>
      </c>
      <c r="C15" s="328">
        <v>4100</v>
      </c>
    </row>
    <row r="16" spans="1:3">
      <c r="A16" s="328" t="s">
        <v>943</v>
      </c>
      <c r="B16" s="328" t="s">
        <v>951</v>
      </c>
      <c r="C16" s="328">
        <v>0</v>
      </c>
    </row>
    <row r="17" spans="1:3">
      <c r="A17" s="328" t="s">
        <v>943</v>
      </c>
      <c r="B17" s="328" t="s">
        <v>952</v>
      </c>
      <c r="C17" s="328">
        <v>26133.760000000002</v>
      </c>
    </row>
    <row r="18" spans="1:3">
      <c r="A18" s="328" t="s">
        <v>953</v>
      </c>
      <c r="B18" s="328" t="s">
        <v>954</v>
      </c>
      <c r="C18" s="328">
        <v>5100</v>
      </c>
    </row>
    <row r="19" spans="1:3">
      <c r="A19" s="328" t="s">
        <v>953</v>
      </c>
      <c r="B19" s="328" t="s">
        <v>955</v>
      </c>
      <c r="C19" s="328">
        <v>18896.112000000001</v>
      </c>
    </row>
    <row r="20" spans="1:3">
      <c r="A20" s="328" t="s">
        <v>549</v>
      </c>
      <c r="B20" s="328" t="s">
        <v>956</v>
      </c>
      <c r="C20" s="328">
        <v>16676.32</v>
      </c>
    </row>
    <row r="21" spans="1:3">
      <c r="A21" s="328" t="s">
        <v>549</v>
      </c>
      <c r="B21" s="328" t="s">
        <v>957</v>
      </c>
      <c r="C21" s="328">
        <v>0</v>
      </c>
    </row>
    <row r="22" spans="1:3">
      <c r="A22" s="328" t="s">
        <v>549</v>
      </c>
      <c r="B22" s="328" t="s">
        <v>958</v>
      </c>
      <c r="C22" s="328">
        <v>48177.279999999999</v>
      </c>
    </row>
    <row r="23" spans="1:3">
      <c r="A23" s="328" t="s">
        <v>959</v>
      </c>
      <c r="B23" s="328" t="s">
        <v>960</v>
      </c>
      <c r="C23" s="328">
        <v>2355</v>
      </c>
    </row>
    <row r="24" spans="1:3">
      <c r="A24" s="328" t="s">
        <v>961</v>
      </c>
      <c r="B24" s="328" t="s">
        <v>962</v>
      </c>
      <c r="C24" s="328">
        <v>3155.2000000000003</v>
      </c>
    </row>
    <row r="25" spans="1:3">
      <c r="A25" s="328" t="s">
        <v>534</v>
      </c>
      <c r="B25" s="328" t="s">
        <v>963</v>
      </c>
      <c r="C25" s="328">
        <v>7196.666666666667</v>
      </c>
    </row>
    <row r="26" spans="1:3">
      <c r="A26" s="328" t="s">
        <v>534</v>
      </c>
      <c r="B26" s="328" t="s">
        <v>964</v>
      </c>
      <c r="C26" s="328">
        <v>9489.44</v>
      </c>
    </row>
    <row r="27" spans="1:3">
      <c r="A27" s="328" t="s">
        <v>534</v>
      </c>
      <c r="B27" s="328" t="s">
        <v>965</v>
      </c>
      <c r="C27" s="328">
        <v>17500</v>
      </c>
    </row>
    <row r="28" spans="1:3">
      <c r="A28" s="328" t="s">
        <v>537</v>
      </c>
      <c r="B28" s="328" t="s">
        <v>966</v>
      </c>
      <c r="C28" s="328">
        <v>5000</v>
      </c>
    </row>
    <row r="29" spans="1:3">
      <c r="A29" s="328" t="s">
        <v>537</v>
      </c>
      <c r="B29" s="328" t="s">
        <v>967</v>
      </c>
      <c r="C29" s="328">
        <v>4500</v>
      </c>
    </row>
    <row r="30" spans="1:3">
      <c r="A30" s="328" t="s">
        <v>537</v>
      </c>
      <c r="B30" s="328" t="s">
        <v>968</v>
      </c>
      <c r="C30" s="328">
        <v>2992</v>
      </c>
    </row>
    <row r="31" spans="1:3">
      <c r="A31" s="328" t="s">
        <v>943</v>
      </c>
      <c r="B31" s="328" t="s">
        <v>969</v>
      </c>
      <c r="C31" s="328">
        <v>20983.440000000002</v>
      </c>
    </row>
    <row r="32" spans="1:3">
      <c r="A32" s="328" t="s">
        <v>943</v>
      </c>
      <c r="B32" s="328" t="s">
        <v>970</v>
      </c>
      <c r="C32" s="328">
        <v>438870.64</v>
      </c>
    </row>
    <row r="33" spans="1:3">
      <c r="A33" s="328" t="s">
        <v>943</v>
      </c>
      <c r="B33" s="328" t="s">
        <v>971</v>
      </c>
      <c r="C33" s="328">
        <v>627484.55220962071</v>
      </c>
    </row>
    <row r="34" spans="1:3">
      <c r="A34" s="328" t="s">
        <v>943</v>
      </c>
      <c r="B34" s="328" t="s">
        <v>972</v>
      </c>
      <c r="C34" s="328">
        <v>92851.280000000013</v>
      </c>
    </row>
    <row r="35" spans="1:3">
      <c r="A35" s="328" t="s">
        <v>943</v>
      </c>
      <c r="B35" s="328" t="s">
        <v>973</v>
      </c>
      <c r="C35" s="328">
        <v>6907.4400000000005</v>
      </c>
    </row>
    <row r="36" spans="1:3">
      <c r="A36" s="328" t="s">
        <v>943</v>
      </c>
      <c r="B36" s="328" t="s">
        <v>974</v>
      </c>
      <c r="C36" s="328">
        <v>20177.665858427848</v>
      </c>
    </row>
    <row r="37" spans="1:3">
      <c r="A37" s="328" t="s">
        <v>943</v>
      </c>
      <c r="B37" s="328" t="s">
        <v>975</v>
      </c>
      <c r="C37" s="328">
        <v>663.68000000000006</v>
      </c>
    </row>
    <row r="38" spans="1:3">
      <c r="A38" s="328" t="s">
        <v>943</v>
      </c>
      <c r="B38" s="328" t="s">
        <v>976</v>
      </c>
      <c r="C38" s="328">
        <v>108000</v>
      </c>
    </row>
    <row r="40" spans="1:3" ht="14" thickBot="1">
      <c r="A40" s="328"/>
      <c r="B40" s="556" t="s">
        <v>68</v>
      </c>
      <c r="C40" s="557">
        <v>1639867.2013025682</v>
      </c>
    </row>
    <row r="41" spans="1:3">
      <c r="C41" s="555"/>
    </row>
    <row r="42" spans="1:3">
      <c r="B42" t="s">
        <v>977</v>
      </c>
      <c r="C42" s="328">
        <v>480660.72909294744</v>
      </c>
    </row>
    <row r="43" spans="1:3">
      <c r="B43" t="s">
        <v>978</v>
      </c>
      <c r="C43" s="328">
        <v>1159206.4722096208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206E4-00BE-5F4B-A29C-A4A6A2C836C7}">
  <dimension ref="A1:H15"/>
  <sheetViews>
    <sheetView workbookViewId="0">
      <selection activeCell="I23" sqref="I23"/>
    </sheetView>
  </sheetViews>
  <sheetFormatPr baseColWidth="10" defaultRowHeight="16"/>
  <cols>
    <col min="1" max="1" width="8.1640625" style="560" bestFit="1" customWidth="1"/>
    <col min="2" max="2" width="11.83203125" style="560" bestFit="1" customWidth="1"/>
    <col min="3" max="3" width="14.6640625" style="561" bestFit="1" customWidth="1"/>
    <col min="4" max="4" width="17" style="560" customWidth="1"/>
    <col min="5" max="5" width="16.1640625" style="560" customWidth="1"/>
    <col min="6" max="6" width="17.6640625" style="560" customWidth="1"/>
    <col min="7" max="7" width="3.83203125" style="560" customWidth="1"/>
    <col min="8" max="8" width="17.33203125" style="560" customWidth="1"/>
    <col min="9" max="10" width="10.6640625" style="560" customWidth="1"/>
    <col min="11" max="16384" width="10.83203125" style="560"/>
  </cols>
  <sheetData>
    <row r="1" spans="1:8">
      <c r="A1" s="559" t="s">
        <v>986</v>
      </c>
    </row>
    <row r="2" spans="1:8">
      <c r="A2" s="559"/>
      <c r="B2" s="562">
        <v>0.02</v>
      </c>
      <c r="D2" s="561"/>
      <c r="E2" s="560" t="s">
        <v>987</v>
      </c>
      <c r="H2" s="560">
        <v>1.2821</v>
      </c>
    </row>
    <row r="3" spans="1:8">
      <c r="A3" s="559" t="s">
        <v>982</v>
      </c>
      <c r="B3" s="563" t="s">
        <v>988</v>
      </c>
      <c r="C3" s="564" t="s">
        <v>989</v>
      </c>
      <c r="D3" s="564" t="s">
        <v>990</v>
      </c>
      <c r="E3" s="559" t="s">
        <v>991</v>
      </c>
      <c r="F3" s="563" t="s">
        <v>992</v>
      </c>
      <c r="G3" s="563"/>
      <c r="H3" s="563" t="s">
        <v>993</v>
      </c>
    </row>
    <row r="4" spans="1:8">
      <c r="A4" s="560">
        <v>1</v>
      </c>
      <c r="B4" s="565">
        <v>45634</v>
      </c>
      <c r="C4" s="561">
        <v>91000</v>
      </c>
      <c r="D4" s="561">
        <f t="shared" ref="D4:D10" si="0">+C4/$H$2</f>
        <v>70977.302862491226</v>
      </c>
      <c r="E4" s="566">
        <f t="shared" ref="E4:E10" si="1">DATEDIF(B4,DATE(2025,8,31),"m")</f>
        <v>8</v>
      </c>
      <c r="F4" s="561">
        <f>E4*$B$2*C4</f>
        <v>14560</v>
      </c>
      <c r="G4" s="561"/>
      <c r="H4" s="567">
        <f t="shared" ref="H4:H10" si="2">F4/$H$2</f>
        <v>11356.368457998597</v>
      </c>
    </row>
    <row r="5" spans="1:8">
      <c r="A5" s="560">
        <v>2</v>
      </c>
      <c r="B5" s="565">
        <v>45669</v>
      </c>
      <c r="C5" s="561">
        <v>98000</v>
      </c>
      <c r="D5" s="561">
        <f t="shared" si="0"/>
        <v>76437.095390375165</v>
      </c>
      <c r="E5" s="566">
        <f t="shared" si="1"/>
        <v>7</v>
      </c>
      <c r="F5" s="561">
        <f t="shared" ref="F5:F10" si="3">E5*$B$2*C5</f>
        <v>13720.000000000002</v>
      </c>
      <c r="G5" s="561"/>
      <c r="H5" s="567">
        <f t="shared" si="2"/>
        <v>10701.193354652525</v>
      </c>
    </row>
    <row r="6" spans="1:8">
      <c r="A6" s="560">
        <v>3</v>
      </c>
      <c r="B6" s="565">
        <v>45716</v>
      </c>
      <c r="C6" s="561">
        <v>117670</v>
      </c>
      <c r="D6" s="561">
        <f t="shared" si="0"/>
        <v>91779.112393729039</v>
      </c>
      <c r="E6" s="566">
        <f t="shared" si="1"/>
        <v>6</v>
      </c>
      <c r="F6" s="561">
        <f t="shared" si="3"/>
        <v>14120.4</v>
      </c>
      <c r="G6" s="561"/>
      <c r="H6" s="567">
        <f t="shared" si="2"/>
        <v>11013.493487247484</v>
      </c>
    </row>
    <row r="7" spans="1:8">
      <c r="A7" s="560">
        <v>4</v>
      </c>
      <c r="B7" s="565">
        <v>45784</v>
      </c>
      <c r="C7" s="561">
        <v>116936</v>
      </c>
      <c r="D7" s="561">
        <f t="shared" si="0"/>
        <v>91206.614148662353</v>
      </c>
      <c r="E7" s="566">
        <f t="shared" si="1"/>
        <v>3</v>
      </c>
      <c r="F7" s="561">
        <f t="shared" si="3"/>
        <v>7016.16</v>
      </c>
      <c r="G7" s="561"/>
      <c r="H7" s="567">
        <f t="shared" si="2"/>
        <v>5472.3968489197405</v>
      </c>
    </row>
    <row r="8" spans="1:8">
      <c r="A8" s="560">
        <v>5</v>
      </c>
      <c r="B8" s="565">
        <v>45817</v>
      </c>
      <c r="C8" s="561">
        <v>112595</v>
      </c>
      <c r="D8" s="561">
        <f t="shared" si="0"/>
        <v>87820.762811013177</v>
      </c>
      <c r="E8" s="566">
        <f t="shared" si="1"/>
        <v>2</v>
      </c>
      <c r="F8" s="561">
        <f t="shared" si="3"/>
        <v>4503.8</v>
      </c>
      <c r="G8" s="561"/>
      <c r="H8" s="567">
        <f t="shared" si="2"/>
        <v>3512.8305124405274</v>
      </c>
    </row>
    <row r="9" spans="1:8">
      <c r="A9" s="560">
        <v>8</v>
      </c>
      <c r="B9" s="565">
        <v>45847</v>
      </c>
      <c r="C9" s="568">
        <v>131038</v>
      </c>
      <c r="D9" s="561">
        <f t="shared" si="0"/>
        <v>102205.75618126511</v>
      </c>
      <c r="E9" s="566">
        <f t="shared" si="1"/>
        <v>1</v>
      </c>
      <c r="F9" s="561">
        <f t="shared" si="3"/>
        <v>2620.7600000000002</v>
      </c>
      <c r="G9" s="561"/>
      <c r="H9" s="567">
        <f t="shared" si="2"/>
        <v>2044.1151236253024</v>
      </c>
    </row>
    <row r="10" spans="1:8">
      <c r="A10" s="560">
        <v>9</v>
      </c>
      <c r="B10" s="565">
        <v>45856</v>
      </c>
      <c r="C10" s="568">
        <v>135000</v>
      </c>
      <c r="D10" s="561">
        <f t="shared" si="0"/>
        <v>105295.99875204742</v>
      </c>
      <c r="E10" s="566">
        <f t="shared" si="1"/>
        <v>1</v>
      </c>
      <c r="F10" s="561">
        <f t="shared" si="3"/>
        <v>2700</v>
      </c>
      <c r="G10" s="561"/>
      <c r="H10" s="567">
        <f t="shared" si="2"/>
        <v>2105.9199750409484</v>
      </c>
    </row>
    <row r="11" spans="1:8" ht="17" thickBot="1">
      <c r="D11" s="561"/>
    </row>
    <row r="12" spans="1:8" s="559" customFormat="1" ht="17" thickBot="1">
      <c r="B12" s="569" t="s">
        <v>254</v>
      </c>
      <c r="C12" s="570">
        <f>SUM(C4:C10)</f>
        <v>802239</v>
      </c>
      <c r="D12" s="571">
        <f t="shared" ref="D12:H12" si="4">SUM(D4:D10)</f>
        <v>625722.6425395835</v>
      </c>
      <c r="E12" s="570"/>
      <c r="F12" s="570">
        <f t="shared" si="4"/>
        <v>59241.120000000003</v>
      </c>
      <c r="G12" s="570"/>
      <c r="H12" s="572">
        <f t="shared" si="4"/>
        <v>46206.317759925128</v>
      </c>
    </row>
    <row r="13" spans="1:8">
      <c r="D13" s="561"/>
    </row>
    <row r="14" spans="1:8">
      <c r="A14" s="560" t="s">
        <v>751</v>
      </c>
      <c r="B14" s="560" t="s">
        <v>994</v>
      </c>
      <c r="D14" s="561"/>
      <c r="F14" s="573">
        <f>'[5]Inventory Loan'!E26</f>
        <v>458000</v>
      </c>
      <c r="G14" s="573" t="s">
        <v>995</v>
      </c>
      <c r="H14" s="574">
        <f>'[5]Inventory Loan'!F26</f>
        <v>357812.5</v>
      </c>
    </row>
    <row r="15" spans="1:8">
      <c r="D15" s="56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6F7F-CC85-0F45-BC63-471A4B03087B}">
  <sheetPr>
    <tabColor rgb="FF7F7F7F"/>
    <pageSetUpPr fitToPage="1"/>
  </sheetPr>
  <dimension ref="A1:FY1012"/>
  <sheetViews>
    <sheetView showGridLines="0" zoomScaleNormal="100"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M15" sqref="M15"/>
    </sheetView>
  </sheetViews>
  <sheetFormatPr baseColWidth="10" defaultColWidth="14.33203125" defaultRowHeight="15" customHeight="1" outlineLevelRow="1"/>
  <cols>
    <col min="1" max="1" width="48.83203125" style="187" customWidth="1"/>
    <col min="2" max="2" width="10.6640625" style="187" hidden="1" customWidth="1"/>
    <col min="3" max="8" width="10" style="187" hidden="1" customWidth="1"/>
    <col min="9" max="9" width="22.6640625" style="187" hidden="1" customWidth="1"/>
    <col min="10" max="10" width="0.33203125" style="187" customWidth="1"/>
    <col min="11" max="11" width="15.6640625" style="187" customWidth="1"/>
    <col min="12" max="12" width="12.83203125" style="187" customWidth="1"/>
    <col min="13" max="17" width="15.6640625" style="187" customWidth="1"/>
    <col min="18" max="18" width="15.6640625" style="187" hidden="1" customWidth="1"/>
    <col min="19" max="19" width="15.6640625" style="187" customWidth="1"/>
    <col min="20" max="20" width="12" style="187" customWidth="1"/>
    <col min="21" max="181" width="8.6640625" style="187" customWidth="1"/>
    <col min="182" max="16384" width="14.33203125" style="187"/>
  </cols>
  <sheetData>
    <row r="1" spans="1:181" ht="11.25" customHeight="1">
      <c r="A1" s="182" t="s">
        <v>499</v>
      </c>
      <c r="B1" s="183"/>
      <c r="C1" s="183"/>
      <c r="D1" s="183"/>
      <c r="E1" s="183"/>
      <c r="F1" s="183"/>
      <c r="G1" s="183"/>
      <c r="H1" s="183"/>
      <c r="I1" s="183"/>
      <c r="J1" s="183"/>
      <c r="K1" s="184" t="s">
        <v>500</v>
      </c>
      <c r="L1" s="184" t="s">
        <v>501</v>
      </c>
      <c r="M1" s="185" t="s">
        <v>502</v>
      </c>
      <c r="N1" s="185" t="s">
        <v>503</v>
      </c>
      <c r="O1" s="185" t="s">
        <v>504</v>
      </c>
      <c r="P1" s="185" t="s">
        <v>505</v>
      </c>
      <c r="Q1" s="185" t="s">
        <v>506</v>
      </c>
      <c r="R1" s="185" t="s">
        <v>507</v>
      </c>
      <c r="S1" s="185"/>
      <c r="T1" s="186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</row>
    <row r="2" spans="1:181" ht="16.5" customHeight="1">
      <c r="A2" s="182" t="s">
        <v>508</v>
      </c>
      <c r="B2" s="184" t="s">
        <v>509</v>
      </c>
      <c r="C2" s="184" t="s">
        <v>509</v>
      </c>
      <c r="D2" s="184" t="s">
        <v>509</v>
      </c>
      <c r="E2" s="184" t="s">
        <v>509</v>
      </c>
      <c r="F2" s="184" t="s">
        <v>509</v>
      </c>
      <c r="G2" s="184" t="s">
        <v>509</v>
      </c>
      <c r="H2" s="184" t="s">
        <v>509</v>
      </c>
      <c r="I2" s="184"/>
      <c r="J2" s="188"/>
      <c r="K2" s="189"/>
      <c r="L2" s="190"/>
      <c r="M2" s="190"/>
      <c r="N2" s="189" t="s">
        <v>510</v>
      </c>
      <c r="O2" s="190"/>
      <c r="P2" s="191"/>
      <c r="Q2" s="191"/>
      <c r="R2" s="191"/>
      <c r="S2" s="191"/>
      <c r="T2" s="186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  <c r="FE2" s="183"/>
      <c r="FF2" s="183"/>
      <c r="FG2" s="183"/>
      <c r="FH2" s="183"/>
      <c r="FI2" s="183"/>
      <c r="FJ2" s="183"/>
      <c r="FK2" s="183"/>
      <c r="FL2" s="183"/>
      <c r="FM2" s="183"/>
      <c r="FN2" s="183"/>
      <c r="FO2" s="183"/>
      <c r="FP2" s="183"/>
      <c r="FQ2" s="183"/>
      <c r="FR2" s="183"/>
      <c r="FS2" s="183"/>
      <c r="FT2" s="183"/>
      <c r="FU2" s="183"/>
      <c r="FV2" s="183"/>
      <c r="FW2" s="183"/>
      <c r="FX2" s="183"/>
      <c r="FY2" s="183"/>
    </row>
    <row r="3" spans="1:181" ht="16.5" customHeight="1">
      <c r="A3" s="192"/>
      <c r="B3" s="184"/>
      <c r="C3" s="184"/>
      <c r="D3" s="184"/>
      <c r="E3" s="184"/>
      <c r="F3" s="184"/>
      <c r="G3" s="184"/>
      <c r="H3" s="184"/>
      <c r="I3" s="184"/>
      <c r="J3" s="192"/>
      <c r="K3" s="193"/>
      <c r="L3" s="194"/>
      <c r="M3" s="195"/>
      <c r="N3" s="193" t="s">
        <v>511</v>
      </c>
      <c r="O3" s="195"/>
      <c r="P3" s="195"/>
      <c r="Q3" s="195"/>
      <c r="R3" s="195"/>
      <c r="S3" s="195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83"/>
      <c r="FP3" s="183"/>
      <c r="FQ3" s="183"/>
      <c r="FR3" s="183"/>
      <c r="FS3" s="183"/>
      <c r="FT3" s="183"/>
      <c r="FU3" s="183"/>
      <c r="FV3" s="183"/>
      <c r="FW3" s="183"/>
      <c r="FX3" s="183"/>
      <c r="FY3" s="183"/>
    </row>
    <row r="4" spans="1:181" ht="26.25" customHeight="1">
      <c r="A4" s="196" t="s">
        <v>512</v>
      </c>
      <c r="B4" s="197" t="s">
        <v>513</v>
      </c>
      <c r="C4" s="197" t="s">
        <v>514</v>
      </c>
      <c r="D4" s="197" t="s">
        <v>515</v>
      </c>
      <c r="E4" s="197" t="s">
        <v>516</v>
      </c>
      <c r="F4" s="197" t="s">
        <v>517</v>
      </c>
      <c r="G4" s="197" t="s">
        <v>518</v>
      </c>
      <c r="H4" s="197" t="s">
        <v>519</v>
      </c>
      <c r="I4" s="196" t="s">
        <v>520</v>
      </c>
      <c r="J4" s="196" t="s">
        <v>520</v>
      </c>
      <c r="K4" s="197" t="s">
        <v>521</v>
      </c>
      <c r="L4" s="197" t="s">
        <v>522</v>
      </c>
      <c r="M4" s="197" t="s">
        <v>170</v>
      </c>
      <c r="N4" s="197" t="s">
        <v>171</v>
      </c>
      <c r="O4" s="197" t="s">
        <v>172</v>
      </c>
      <c r="P4" s="197" t="s">
        <v>523</v>
      </c>
      <c r="Q4" s="197" t="s">
        <v>524</v>
      </c>
      <c r="R4" s="197" t="s">
        <v>525</v>
      </c>
      <c r="S4" s="197" t="s">
        <v>526</v>
      </c>
      <c r="T4" s="197" t="s">
        <v>527</v>
      </c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</row>
    <row r="5" spans="1:181" ht="15" customHeight="1">
      <c r="A5" s="198" t="s">
        <v>528</v>
      </c>
      <c r="B5" s="199"/>
      <c r="C5" s="200"/>
      <c r="D5" s="201"/>
      <c r="E5" s="201"/>
      <c r="F5" s="201"/>
      <c r="G5" s="201"/>
      <c r="H5" s="201"/>
      <c r="I5" s="202" t="s">
        <v>528</v>
      </c>
      <c r="J5" s="198" t="s">
        <v>528</v>
      </c>
      <c r="K5" s="203">
        <f>+'[2]Summary P&amp;L - GBP Yr Jul_Jun'!I3</f>
        <v>0</v>
      </c>
      <c r="L5" s="203">
        <f>+'[2]Summary P&amp;L - GBP Yr Jul_Jun'!J3</f>
        <v>27</v>
      </c>
      <c r="M5" s="203">
        <f>+'[2]Summary P&amp;L - GBP Yr Jul_Jun'!K3</f>
        <v>500</v>
      </c>
      <c r="N5" s="203">
        <f>+'[2]Summary P&amp;L - GBP Yr Jul_Jun'!L3</f>
        <v>2176</v>
      </c>
      <c r="O5" s="203">
        <f>+'[2]Summary P&amp;L - GBP Yr Jul_Jun'!M3</f>
        <v>8659</v>
      </c>
      <c r="P5" s="203">
        <f>+'[2]Summary P&amp;L - GBP Yr Jul_Jun'!N3</f>
        <v>21198</v>
      </c>
      <c r="Q5" s="203">
        <f>+'[2]Summary P&amp;L - GBP Yr Jul_Jun'!O3</f>
        <v>35717</v>
      </c>
      <c r="R5" s="203">
        <f>+'[2]Summary P&amp;L - GBP Yr Jul_Jun'!P3</f>
        <v>51903</v>
      </c>
      <c r="S5" s="203">
        <f t="shared" ref="S5:S8" si="0">+ROUND(SUM(M5:N5),0)</f>
        <v>2676</v>
      </c>
      <c r="T5" s="201">
        <f t="shared" ref="T5:T7" si="1">+ROUND(SUM(M5:O5),0)</f>
        <v>11335</v>
      </c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</row>
    <row r="6" spans="1:181" ht="11.25" customHeight="1">
      <c r="A6" s="204" t="s">
        <v>529</v>
      </c>
      <c r="B6" s="205">
        <f>'[2]Summary P&amp;L - GBP FY Apr_Mar'!C4*USD</f>
        <v>0</v>
      </c>
      <c r="C6" s="205">
        <f>'[2]Summary P&amp;L - GBP FY Apr_Mar'!D4*USD</f>
        <v>0</v>
      </c>
      <c r="D6" s="205">
        <f>'[2]Summary P&amp;L - GBP FY Apr_Mar'!E4*USD</f>
        <v>0</v>
      </c>
      <c r="E6" s="205">
        <f>'[2]Summary P&amp;L - GBP FY Apr_Mar'!F4*USD</f>
        <v>0</v>
      </c>
      <c r="F6" s="205">
        <f>'[2]Summary P&amp;L - GBP FY Apr_Mar'!G4*USD</f>
        <v>0</v>
      </c>
      <c r="G6" s="205">
        <f>'[2]Summary P&amp;L - GBP FY Apr_Mar'!H4*USD</f>
        <v>0</v>
      </c>
      <c r="H6" s="205">
        <f>'[2]Summary P&amp;L - GBP FY Apr_Mar'!I4*USD</f>
        <v>0</v>
      </c>
      <c r="I6" s="206" t="s">
        <v>529</v>
      </c>
      <c r="J6" s="204" t="s">
        <v>529</v>
      </c>
      <c r="K6" s="205">
        <f>ROUND(+'[2]Act GG FY21-24 Consolidate FS'!AC7,0)</f>
        <v>0</v>
      </c>
      <c r="L6" s="205">
        <f>ROUND(+'[2]Act GG FY21-24 Consolidate FS'!AD7,0)</f>
        <v>276708</v>
      </c>
      <c r="M6" s="205">
        <f>ROUND('[2]Summary P&amp;L - GBP Yr Jul_Jun'!K4*USD,0)</f>
        <v>2586711</v>
      </c>
      <c r="N6" s="205">
        <f>ROUND('[2]Summary P&amp;L - GBP Yr Jul_Jun'!L4*USD,0)</f>
        <v>12441179</v>
      </c>
      <c r="O6" s="205">
        <f>ROUND('[2]Summary P&amp;L - GBP Yr Jul_Jun'!M4*USD,0)</f>
        <v>48020240</v>
      </c>
      <c r="P6" s="205">
        <f>ROUND('[2]Summary P&amp;L - GBP Yr Jul_Jun'!N4*USD,0)</f>
        <v>117804880</v>
      </c>
      <c r="Q6" s="205">
        <f>ROUND('[2]Summary P&amp;L - GBP Yr Jul_Jun'!O4*USD,0)</f>
        <v>209690687</v>
      </c>
      <c r="R6" s="205">
        <f>ROUND('[2]Summary P&amp;L - GBP Yr Jul_Jun'!P4*USD,0)</f>
        <v>323454188</v>
      </c>
      <c r="S6" s="205">
        <f t="shared" si="0"/>
        <v>15027890</v>
      </c>
      <c r="T6" s="207">
        <f t="shared" si="1"/>
        <v>63048130</v>
      </c>
      <c r="U6" s="208"/>
      <c r="V6" s="208"/>
      <c r="W6" s="208"/>
      <c r="X6" s="208"/>
      <c r="Y6" s="208"/>
      <c r="Z6" s="208"/>
      <c r="AA6" s="208"/>
      <c r="AB6" s="208"/>
      <c r="AC6" s="208"/>
      <c r="AD6" s="208"/>
      <c r="AE6" s="208"/>
      <c r="AF6" s="208"/>
      <c r="AG6" s="208"/>
      <c r="AH6" s="208"/>
      <c r="AI6" s="208"/>
      <c r="AJ6" s="208"/>
      <c r="AK6" s="208"/>
      <c r="AL6" s="208"/>
      <c r="AM6" s="208"/>
      <c r="AN6" s="208"/>
      <c r="AO6" s="208"/>
      <c r="AP6" s="208"/>
      <c r="AQ6" s="208"/>
      <c r="AR6" s="208"/>
      <c r="AS6" s="208"/>
      <c r="AT6" s="208"/>
      <c r="AU6" s="208"/>
      <c r="AV6" s="208"/>
      <c r="AW6" s="208"/>
      <c r="AX6" s="208"/>
      <c r="AY6" s="208"/>
      <c r="AZ6" s="208"/>
      <c r="BA6" s="208"/>
      <c r="BB6" s="208"/>
      <c r="BC6" s="208"/>
      <c r="BD6" s="208"/>
      <c r="BE6" s="208"/>
      <c r="BF6" s="208"/>
      <c r="BG6" s="208"/>
      <c r="BH6" s="208"/>
      <c r="BI6" s="208"/>
      <c r="BJ6" s="208"/>
      <c r="BK6" s="208"/>
      <c r="BL6" s="208"/>
      <c r="BM6" s="208"/>
      <c r="BN6" s="208"/>
      <c r="BO6" s="208"/>
      <c r="BP6" s="208"/>
      <c r="BQ6" s="208"/>
      <c r="BR6" s="208"/>
      <c r="BS6" s="208"/>
      <c r="BT6" s="208"/>
      <c r="BU6" s="208"/>
      <c r="BV6" s="208"/>
      <c r="BW6" s="208"/>
      <c r="BX6" s="208"/>
      <c r="BY6" s="208"/>
      <c r="BZ6" s="208"/>
      <c r="CA6" s="208"/>
      <c r="CB6" s="208"/>
      <c r="CC6" s="208"/>
      <c r="CD6" s="208"/>
      <c r="CE6" s="208"/>
      <c r="CF6" s="208"/>
      <c r="CG6" s="208"/>
      <c r="CH6" s="208"/>
      <c r="CI6" s="208"/>
      <c r="CJ6" s="208"/>
      <c r="CK6" s="208"/>
      <c r="CL6" s="208"/>
      <c r="CM6" s="208"/>
      <c r="CN6" s="208"/>
      <c r="CO6" s="208"/>
      <c r="CP6" s="208"/>
      <c r="CQ6" s="208"/>
      <c r="CR6" s="208"/>
      <c r="CS6" s="208"/>
      <c r="CT6" s="208"/>
      <c r="CU6" s="208"/>
      <c r="CV6" s="208"/>
      <c r="CW6" s="208"/>
      <c r="CX6" s="208"/>
      <c r="CY6" s="208"/>
      <c r="CZ6" s="208"/>
      <c r="DA6" s="208"/>
      <c r="DB6" s="208"/>
      <c r="DC6" s="208"/>
      <c r="DD6" s="208"/>
      <c r="DE6" s="208"/>
      <c r="DF6" s="208"/>
      <c r="DG6" s="208"/>
      <c r="DH6" s="208"/>
      <c r="DI6" s="208"/>
      <c r="DJ6" s="208"/>
      <c r="DK6" s="208"/>
      <c r="DL6" s="208"/>
      <c r="DM6" s="208"/>
      <c r="DN6" s="208"/>
      <c r="DO6" s="208"/>
      <c r="DP6" s="208"/>
      <c r="DQ6" s="208"/>
      <c r="DR6" s="208"/>
      <c r="DS6" s="208"/>
      <c r="DT6" s="208"/>
      <c r="DU6" s="208"/>
      <c r="DV6" s="208"/>
      <c r="DW6" s="208"/>
      <c r="DX6" s="208"/>
      <c r="DY6" s="208"/>
      <c r="DZ6" s="208"/>
      <c r="EA6" s="208"/>
      <c r="EB6" s="208"/>
      <c r="EC6" s="208"/>
      <c r="ED6" s="208"/>
      <c r="EE6" s="208"/>
      <c r="EF6" s="208"/>
      <c r="EG6" s="208"/>
      <c r="EH6" s="208"/>
      <c r="EI6" s="208"/>
      <c r="EJ6" s="208"/>
      <c r="EK6" s="208"/>
      <c r="EL6" s="208"/>
      <c r="EM6" s="208"/>
      <c r="EN6" s="208"/>
      <c r="EO6" s="208"/>
      <c r="EP6" s="208"/>
      <c r="EQ6" s="208"/>
      <c r="ER6" s="208"/>
      <c r="ES6" s="208"/>
      <c r="ET6" s="208"/>
      <c r="EU6" s="208"/>
      <c r="EV6" s="208"/>
      <c r="EW6" s="208"/>
      <c r="EX6" s="208"/>
      <c r="EY6" s="208"/>
      <c r="EZ6" s="208"/>
      <c r="FA6" s="208"/>
      <c r="FB6" s="208"/>
      <c r="FC6" s="208"/>
      <c r="FD6" s="208"/>
      <c r="FE6" s="208"/>
      <c r="FF6" s="208"/>
      <c r="FG6" s="208"/>
      <c r="FH6" s="208"/>
      <c r="FI6" s="208"/>
      <c r="FJ6" s="208"/>
      <c r="FK6" s="208"/>
      <c r="FL6" s="208"/>
      <c r="FM6" s="208"/>
      <c r="FN6" s="208"/>
      <c r="FO6" s="208"/>
      <c r="FP6" s="208"/>
      <c r="FQ6" s="208"/>
      <c r="FR6" s="208"/>
      <c r="FS6" s="208"/>
      <c r="FT6" s="208"/>
      <c r="FU6" s="208"/>
      <c r="FV6" s="208"/>
      <c r="FW6" s="208"/>
      <c r="FX6" s="208"/>
      <c r="FY6" s="208"/>
    </row>
    <row r="7" spans="1:181" ht="11.25" customHeight="1">
      <c r="A7" s="204" t="s">
        <v>530</v>
      </c>
      <c r="B7" s="205">
        <f>'[2]Summary P&amp;L - GBP FY Apr_Mar'!C6*USD</f>
        <v>0</v>
      </c>
      <c r="C7" s="205">
        <f>'[2]Summary P&amp;L - GBP FY Apr_Mar'!D6*USD</f>
        <v>0</v>
      </c>
      <c r="D7" s="205">
        <f>'[2]Summary P&amp;L - GBP FY Apr_Mar'!E6*USD</f>
        <v>0</v>
      </c>
      <c r="E7" s="205">
        <f>'[2]Summary P&amp;L - GBP FY Apr_Mar'!F6*USD</f>
        <v>0</v>
      </c>
      <c r="F7" s="205">
        <f>'[2]Summary P&amp;L - GBP FY Apr_Mar'!G6*USD</f>
        <v>0</v>
      </c>
      <c r="G7" s="205">
        <f>'[2]Summary P&amp;L - GBP FY Apr_Mar'!H6*USD</f>
        <v>0</v>
      </c>
      <c r="H7" s="205">
        <f>'[2]Summary P&amp;L - GBP FY Apr_Mar'!I6*USD</f>
        <v>0</v>
      </c>
      <c r="I7" s="209" t="s">
        <v>531</v>
      </c>
      <c r="J7" s="204" t="s">
        <v>530</v>
      </c>
      <c r="K7" s="205">
        <f>ROUND(+'[2]Act GG FY21-24 Consolidate FS'!AC8,0)</f>
        <v>261</v>
      </c>
      <c r="L7" s="205">
        <f>ROUND(+'[2]Act GG FY21-24 Consolidate FS'!AD8,0)</f>
        <v>2</v>
      </c>
      <c r="M7" s="205">
        <f>ROUND('[2]Summary P&amp;L - GBP Yr Jul_Jun'!K6*USD,0)</f>
        <v>398080</v>
      </c>
      <c r="N7" s="205">
        <f>ROUND('[2]Summary P&amp;L - GBP Yr Jul_Jun'!L6*USD,0)</f>
        <v>2212212</v>
      </c>
      <c r="O7" s="205">
        <f>ROUND('[2]Summary P&amp;L - GBP Yr Jul_Jun'!M6*USD,0)</f>
        <v>9268334</v>
      </c>
      <c r="P7" s="205">
        <f>ROUND('[2]Summary P&amp;L - GBP Yr Jul_Jun'!N6*USD,0)</f>
        <v>23371086</v>
      </c>
      <c r="Q7" s="205">
        <f>ROUND('[2]Summary P&amp;L - GBP Yr Jul_Jun'!O6*USD,0)</f>
        <v>42381181</v>
      </c>
      <c r="R7" s="205">
        <f>ROUND('[2]Summary P&amp;L - GBP Yr Jul_Jun'!P6*USD,0)</f>
        <v>65902040</v>
      </c>
      <c r="S7" s="205">
        <f t="shared" si="0"/>
        <v>2610292</v>
      </c>
      <c r="T7" s="207">
        <f t="shared" si="1"/>
        <v>11878626</v>
      </c>
      <c r="U7" s="186"/>
      <c r="V7" s="186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  <c r="FE7" s="183"/>
      <c r="FF7" s="183"/>
      <c r="FG7" s="183"/>
      <c r="FH7" s="183"/>
      <c r="FI7" s="183"/>
      <c r="FJ7" s="183"/>
      <c r="FK7" s="183"/>
      <c r="FL7" s="183"/>
      <c r="FM7" s="183"/>
      <c r="FN7" s="183"/>
      <c r="FO7" s="183"/>
      <c r="FP7" s="183"/>
      <c r="FQ7" s="183"/>
      <c r="FR7" s="183"/>
      <c r="FS7" s="183"/>
      <c r="FT7" s="183"/>
      <c r="FU7" s="183"/>
      <c r="FV7" s="183"/>
      <c r="FW7" s="183"/>
      <c r="FX7" s="183"/>
      <c r="FY7" s="183"/>
    </row>
    <row r="8" spans="1:181" ht="7.5" hidden="1" customHeight="1">
      <c r="A8" s="204"/>
      <c r="B8" s="204"/>
      <c r="C8" s="201"/>
      <c r="D8" s="201"/>
      <c r="E8" s="201"/>
      <c r="F8" s="201"/>
      <c r="G8" s="201"/>
      <c r="H8" s="201"/>
      <c r="I8" s="192" t="s">
        <v>532</v>
      </c>
      <c r="J8" s="204"/>
      <c r="K8" s="210"/>
      <c r="L8" s="210"/>
      <c r="M8" s="210"/>
      <c r="N8" s="210"/>
      <c r="O8" s="210"/>
      <c r="P8" s="210"/>
      <c r="Q8" s="210"/>
      <c r="R8" s="210"/>
      <c r="S8" s="205">
        <f t="shared" si="0"/>
        <v>0</v>
      </c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  <c r="FE8" s="183"/>
      <c r="FF8" s="183"/>
      <c r="FG8" s="183"/>
      <c r="FH8" s="183"/>
      <c r="FI8" s="183"/>
      <c r="FJ8" s="183"/>
      <c r="FK8" s="183"/>
      <c r="FL8" s="183"/>
      <c r="FM8" s="183"/>
      <c r="FN8" s="183"/>
      <c r="FO8" s="183"/>
      <c r="FP8" s="183"/>
      <c r="FQ8" s="183"/>
      <c r="FR8" s="183"/>
      <c r="FS8" s="183"/>
      <c r="FT8" s="183"/>
      <c r="FU8" s="183"/>
      <c r="FV8" s="183"/>
      <c r="FW8" s="183"/>
      <c r="FX8" s="183">
        <v>230112</v>
      </c>
      <c r="FY8" s="183"/>
    </row>
    <row r="9" spans="1:181" ht="11.25" customHeight="1">
      <c r="A9" s="200" t="s">
        <v>531</v>
      </c>
      <c r="B9" s="201">
        <f t="shared" ref="B9:H9" si="2">B6-B7</f>
        <v>0</v>
      </c>
      <c r="C9" s="201">
        <f t="shared" si="2"/>
        <v>0</v>
      </c>
      <c r="D9" s="201">
        <f t="shared" si="2"/>
        <v>0</v>
      </c>
      <c r="E9" s="201">
        <f t="shared" si="2"/>
        <v>0</v>
      </c>
      <c r="F9" s="201">
        <f t="shared" si="2"/>
        <v>0</v>
      </c>
      <c r="G9" s="201">
        <f t="shared" si="2"/>
        <v>0</v>
      </c>
      <c r="H9" s="201">
        <f t="shared" si="2"/>
        <v>0</v>
      </c>
      <c r="I9" s="206"/>
      <c r="J9" s="209" t="s">
        <v>531</v>
      </c>
      <c r="K9" s="211">
        <f t="shared" ref="K9:T9" si="3">K6-K7</f>
        <v>-261</v>
      </c>
      <c r="L9" s="211">
        <f t="shared" si="3"/>
        <v>276706</v>
      </c>
      <c r="M9" s="211">
        <f t="shared" si="3"/>
        <v>2188631</v>
      </c>
      <c r="N9" s="211">
        <f t="shared" si="3"/>
        <v>10228967</v>
      </c>
      <c r="O9" s="211">
        <f t="shared" si="3"/>
        <v>38751906</v>
      </c>
      <c r="P9" s="211">
        <f t="shared" si="3"/>
        <v>94433794</v>
      </c>
      <c r="Q9" s="211">
        <f t="shared" si="3"/>
        <v>167309506</v>
      </c>
      <c r="R9" s="211">
        <f t="shared" si="3"/>
        <v>257552148</v>
      </c>
      <c r="S9" s="211">
        <f t="shared" si="3"/>
        <v>12417598</v>
      </c>
      <c r="T9" s="211">
        <f t="shared" si="3"/>
        <v>51169504</v>
      </c>
      <c r="U9" s="212"/>
      <c r="V9" s="212"/>
      <c r="W9" s="212"/>
      <c r="X9" s="212"/>
      <c r="Y9" s="212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  <c r="AZ9" s="212"/>
      <c r="BA9" s="212"/>
      <c r="BB9" s="212"/>
      <c r="BC9" s="212"/>
      <c r="BD9" s="212"/>
      <c r="BE9" s="212"/>
      <c r="BF9" s="212"/>
      <c r="BG9" s="212"/>
      <c r="BH9" s="212"/>
      <c r="BI9" s="212"/>
      <c r="BJ9" s="212"/>
      <c r="BK9" s="212"/>
      <c r="BL9" s="212"/>
      <c r="BM9" s="212"/>
      <c r="BN9" s="212"/>
      <c r="BO9" s="212"/>
      <c r="BP9" s="212"/>
      <c r="BQ9" s="212"/>
      <c r="BR9" s="212"/>
      <c r="BS9" s="212"/>
      <c r="BT9" s="212"/>
      <c r="BU9" s="212"/>
      <c r="BV9" s="212"/>
      <c r="BW9" s="212"/>
      <c r="BX9" s="212"/>
      <c r="BY9" s="212"/>
      <c r="BZ9" s="212"/>
      <c r="CA9" s="212"/>
      <c r="CB9" s="212"/>
      <c r="CC9" s="212"/>
      <c r="CD9" s="212"/>
      <c r="CE9" s="212"/>
      <c r="CF9" s="212"/>
      <c r="CG9" s="212"/>
      <c r="CH9" s="212"/>
      <c r="CI9" s="212"/>
      <c r="CJ9" s="212"/>
      <c r="CK9" s="212"/>
      <c r="CL9" s="212"/>
      <c r="CM9" s="212"/>
      <c r="CN9" s="212"/>
      <c r="CO9" s="212"/>
      <c r="CP9" s="212"/>
      <c r="CQ9" s="212"/>
      <c r="CR9" s="212"/>
      <c r="CS9" s="212"/>
      <c r="CT9" s="212"/>
      <c r="CU9" s="212"/>
      <c r="CV9" s="212"/>
      <c r="CW9" s="212"/>
      <c r="CX9" s="212"/>
      <c r="CY9" s="212"/>
      <c r="CZ9" s="212"/>
      <c r="DA9" s="212"/>
      <c r="DB9" s="212"/>
      <c r="DC9" s="212"/>
      <c r="DD9" s="212"/>
      <c r="DE9" s="212"/>
      <c r="DF9" s="212"/>
      <c r="DG9" s="212"/>
      <c r="DH9" s="212"/>
      <c r="DI9" s="212"/>
      <c r="DJ9" s="212"/>
      <c r="DK9" s="212"/>
      <c r="DL9" s="212"/>
      <c r="DM9" s="212"/>
      <c r="DN9" s="212"/>
      <c r="DO9" s="212"/>
      <c r="DP9" s="212"/>
      <c r="DQ9" s="212"/>
      <c r="DR9" s="212"/>
      <c r="DS9" s="212"/>
      <c r="DT9" s="212"/>
      <c r="DU9" s="212"/>
      <c r="DV9" s="212"/>
      <c r="DW9" s="212"/>
      <c r="DX9" s="212"/>
      <c r="DY9" s="212"/>
      <c r="DZ9" s="212"/>
      <c r="EA9" s="212"/>
      <c r="EB9" s="212"/>
      <c r="EC9" s="212"/>
      <c r="ED9" s="212"/>
      <c r="EE9" s="212"/>
      <c r="EF9" s="212"/>
      <c r="EG9" s="212"/>
      <c r="EH9" s="212"/>
      <c r="EI9" s="212"/>
      <c r="EJ9" s="212"/>
      <c r="EK9" s="212"/>
      <c r="EL9" s="212"/>
      <c r="EM9" s="212"/>
      <c r="EN9" s="212"/>
      <c r="EO9" s="212"/>
      <c r="EP9" s="212"/>
      <c r="EQ9" s="212"/>
      <c r="ER9" s="212"/>
      <c r="ES9" s="212"/>
      <c r="ET9" s="212"/>
      <c r="EU9" s="212"/>
      <c r="EV9" s="212"/>
      <c r="EW9" s="212"/>
      <c r="EX9" s="212"/>
      <c r="EY9" s="212"/>
      <c r="EZ9" s="212"/>
      <c r="FA9" s="212"/>
      <c r="FB9" s="212"/>
      <c r="FC9" s="212"/>
      <c r="FD9" s="212"/>
      <c r="FE9" s="212"/>
      <c r="FF9" s="212"/>
      <c r="FG9" s="212"/>
      <c r="FH9" s="212"/>
      <c r="FI9" s="212"/>
      <c r="FJ9" s="212"/>
      <c r="FK9" s="212"/>
      <c r="FL9" s="212"/>
      <c r="FM9" s="212"/>
      <c r="FN9" s="212"/>
      <c r="FO9" s="212"/>
      <c r="FP9" s="212"/>
      <c r="FQ9" s="212"/>
      <c r="FR9" s="212"/>
      <c r="FS9" s="212"/>
      <c r="FT9" s="212"/>
      <c r="FU9" s="212"/>
      <c r="FV9" s="212"/>
      <c r="FW9" s="213"/>
      <c r="FX9" s="213"/>
      <c r="FY9" s="213"/>
    </row>
    <row r="10" spans="1:181" ht="11.25" customHeight="1">
      <c r="A10" s="183"/>
      <c r="B10" s="183"/>
      <c r="C10" s="183"/>
      <c r="D10" s="183"/>
      <c r="E10" s="183"/>
      <c r="F10" s="183"/>
      <c r="G10" s="183"/>
      <c r="H10" s="183"/>
      <c r="I10" s="209"/>
      <c r="J10" s="208"/>
      <c r="K10" s="186"/>
      <c r="L10" s="186"/>
      <c r="M10" s="214">
        <f t="shared" ref="M10:T10" si="4">+M9/M6</f>
        <v>0.84610573040436288</v>
      </c>
      <c r="N10" s="214">
        <f t="shared" si="4"/>
        <v>0.82218630565479367</v>
      </c>
      <c r="O10" s="214">
        <f t="shared" si="4"/>
        <v>0.8069910937554664</v>
      </c>
      <c r="P10" s="214">
        <f t="shared" si="4"/>
        <v>0.80161190266481319</v>
      </c>
      <c r="Q10" s="214">
        <f t="shared" si="4"/>
        <v>0.7978871565240282</v>
      </c>
      <c r="R10" s="214">
        <f t="shared" si="4"/>
        <v>0.7962554128376288</v>
      </c>
      <c r="S10" s="214">
        <f t="shared" si="4"/>
        <v>0.82630349303861017</v>
      </c>
      <c r="T10" s="214">
        <f t="shared" si="4"/>
        <v>0.81159431691312656</v>
      </c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  <c r="FE10" s="183"/>
      <c r="FF10" s="183"/>
      <c r="FG10" s="183"/>
      <c r="FH10" s="183"/>
      <c r="FI10" s="183"/>
      <c r="FJ10" s="183"/>
      <c r="FK10" s="183"/>
      <c r="FL10" s="183"/>
      <c r="FM10" s="183"/>
      <c r="FN10" s="183"/>
      <c r="FO10" s="183"/>
      <c r="FP10" s="183"/>
      <c r="FQ10" s="183"/>
      <c r="FR10" s="183"/>
      <c r="FS10" s="183"/>
      <c r="FT10" s="183"/>
      <c r="FU10" s="183"/>
      <c r="FV10" s="183"/>
      <c r="FW10" s="215"/>
      <c r="FX10" s="215"/>
      <c r="FY10" s="215"/>
    </row>
    <row r="11" spans="1:181" ht="11.25" customHeight="1">
      <c r="A11" s="216"/>
      <c r="B11" s="183"/>
      <c r="C11" s="183"/>
      <c r="D11" s="183"/>
      <c r="E11" s="183"/>
      <c r="F11" s="183"/>
      <c r="G11" s="183"/>
      <c r="H11" s="183"/>
      <c r="I11" s="200"/>
      <c r="J11" s="183"/>
      <c r="K11" s="186"/>
      <c r="L11" s="186"/>
      <c r="M11" s="186"/>
      <c r="N11" s="186"/>
      <c r="O11" s="186"/>
      <c r="P11" s="186"/>
      <c r="Q11" s="186"/>
      <c r="R11" s="186"/>
      <c r="S11" s="186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  <c r="FE11" s="183"/>
      <c r="FF11" s="183"/>
      <c r="FG11" s="183"/>
      <c r="FH11" s="183"/>
      <c r="FI11" s="183"/>
      <c r="FJ11" s="183"/>
      <c r="FK11" s="183"/>
      <c r="FL11" s="183"/>
      <c r="FM11" s="183"/>
      <c r="FN11" s="183"/>
      <c r="FO11" s="183"/>
      <c r="FP11" s="183"/>
      <c r="FQ11" s="183"/>
      <c r="FR11" s="183"/>
      <c r="FS11" s="183"/>
      <c r="FT11" s="183"/>
      <c r="FU11" s="183"/>
      <c r="FV11" s="183"/>
      <c r="FW11" s="215"/>
      <c r="FX11" s="215"/>
      <c r="FY11" s="215"/>
    </row>
    <row r="12" spans="1:181" ht="11.25" customHeight="1" outlineLevel="1">
      <c r="A12" s="199" t="s">
        <v>533</v>
      </c>
      <c r="B12" s="217">
        <f>'[2]Summary P&amp;L - GBP FY Apr_Mar'!C11*USD</f>
        <v>0</v>
      </c>
      <c r="C12" s="217">
        <f>'[2]Summary P&amp;L - GBP FY Apr_Mar'!D11*USD</f>
        <v>75.380399999999995</v>
      </c>
      <c r="D12" s="217">
        <f>'[2]Summary P&amp;L - GBP FY Apr_Mar'!E11*USD</f>
        <v>0</v>
      </c>
      <c r="E12" s="217">
        <f>'[2]Summary P&amp;L - GBP FY Apr_Mar'!F11*USD</f>
        <v>837.97878000000003</v>
      </c>
      <c r="F12" s="217">
        <f>'[2]Summary P&amp;L - GBP FY Apr_Mar'!G11*USD</f>
        <v>0</v>
      </c>
      <c r="G12" s="217">
        <f>'[2]Summary P&amp;L - GBP FY Apr_Mar'!H11*USD</f>
        <v>0</v>
      </c>
      <c r="H12" s="217">
        <f>'[2]Summary P&amp;L - GBP FY Apr_Mar'!I11*USD</f>
        <v>0</v>
      </c>
      <c r="I12" s="199" t="s">
        <v>534</v>
      </c>
      <c r="J12" s="199" t="s">
        <v>534</v>
      </c>
      <c r="K12" s="217">
        <f>ROUND(+'[2]Act GG FY21-24 Consolidate FS'!AC16,0)</f>
        <v>5293</v>
      </c>
      <c r="L12" s="217">
        <f>ROUND(+'[2]Act GG FY21-24 Consolidate FS'!AD16,0)</f>
        <v>10980</v>
      </c>
      <c r="M12" s="217">
        <f>ROUND('[2]Summary P&amp;L - GBP Yr Jul_Jun'!K12*USD,0)</f>
        <v>1329244</v>
      </c>
      <c r="N12" s="217">
        <f>ROUND('[2]Summary P&amp;L - GBP Yr Jul_Jun'!L12*USD,0)</f>
        <v>3659192</v>
      </c>
      <c r="O12" s="217">
        <f>ROUND('[2]Summary P&amp;L - GBP Yr Jul_Jun'!M12*USD,0)</f>
        <v>4067921</v>
      </c>
      <c r="P12" s="217">
        <f>ROUND('[2]Summary P&amp;L - GBP Yr Jul_Jun'!N12*USD,0)</f>
        <v>3010767</v>
      </c>
      <c r="Q12" s="217">
        <f>ROUND('[2]Summary P&amp;L - GBP Yr Jul_Jun'!O12*USD,0)</f>
        <v>5471401</v>
      </c>
      <c r="R12" s="217">
        <f>ROUND('[2]Summary P&amp;L - GBP Yr Jul_Jun'!P12*USD,0)</f>
        <v>8245795</v>
      </c>
      <c r="S12" s="205">
        <f t="shared" ref="S12:S24" si="5">+ROUND(SUM(M12:N12),0)</f>
        <v>4988436</v>
      </c>
      <c r="T12" s="207">
        <f t="shared" ref="T12:T24" si="6">+ROUND(SUM(M12:O12),0)</f>
        <v>9056357</v>
      </c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  <c r="FE12" s="183"/>
      <c r="FF12" s="183"/>
      <c r="FG12" s="183"/>
      <c r="FH12" s="183"/>
      <c r="FI12" s="183"/>
      <c r="FJ12" s="183"/>
      <c r="FK12" s="183"/>
      <c r="FL12" s="183"/>
      <c r="FM12" s="183"/>
      <c r="FN12" s="183"/>
      <c r="FO12" s="183"/>
      <c r="FP12" s="183"/>
      <c r="FQ12" s="183"/>
      <c r="FR12" s="183"/>
      <c r="FS12" s="183"/>
      <c r="FT12" s="183"/>
      <c r="FU12" s="183"/>
      <c r="FV12" s="183"/>
      <c r="FW12" s="215"/>
      <c r="FX12" s="215"/>
      <c r="FY12" s="215"/>
    </row>
    <row r="13" spans="1:181" ht="11.25" customHeight="1" outlineLevel="1">
      <c r="A13" s="199" t="s">
        <v>535</v>
      </c>
      <c r="B13" s="217">
        <f>'[2]Summary P&amp;L - GBP FY Apr_Mar'!C12*USD</f>
        <v>10350.206329200002</v>
      </c>
      <c r="C13" s="217">
        <f>'[2]Summary P&amp;L - GBP FY Apr_Mar'!D12*USD</f>
        <v>34582.266108000003</v>
      </c>
      <c r="D13" s="217">
        <f>'[2]Summary P&amp;L - GBP FY Apr_Mar'!E12*USD</f>
        <v>69367.556760000007</v>
      </c>
      <c r="E13" s="217">
        <f>'[2]Summary P&amp;L - GBP FY Apr_Mar'!F12*USD</f>
        <v>222280.50487020001</v>
      </c>
      <c r="F13" s="217">
        <f>'[2]Summary P&amp;L - GBP FY Apr_Mar'!G12*USD</f>
        <v>108370.00389000002</v>
      </c>
      <c r="G13" s="217">
        <f>'[2]Summary P&amp;L - GBP FY Apr_Mar'!H12*USD</f>
        <v>0</v>
      </c>
      <c r="H13" s="217">
        <f>'[2]Summary P&amp;L - GBP FY Apr_Mar'!I12*USD</f>
        <v>0</v>
      </c>
      <c r="I13" s="218" t="s">
        <v>536</v>
      </c>
      <c r="J13" s="218" t="s">
        <v>536</v>
      </c>
      <c r="K13" s="217">
        <f>ROUND(+'[2]Act GG FY21-24 Consolidate FS'!AC17,0)</f>
        <v>371705</v>
      </c>
      <c r="L13" s="217">
        <f>ROUND(+'[2]Act GG FY21-24 Consolidate FS'!AD17,0)</f>
        <v>227385</v>
      </c>
      <c r="M13" s="217">
        <f>ROUND('[2]Summary P&amp;L - GBP Yr Jul_Jun'!K13*USD,0)</f>
        <v>550513</v>
      </c>
      <c r="N13" s="217">
        <f>ROUND('[2]Summary P&amp;L - GBP Yr Jul_Jun'!L13*USD,0)</f>
        <v>1042216</v>
      </c>
      <c r="O13" s="217">
        <f>ROUND('[2]Summary P&amp;L - GBP Yr Jul_Jun'!M13*USD,0)</f>
        <v>1807049</v>
      </c>
      <c r="P13" s="217">
        <f>ROUND('[2]Summary P&amp;L - GBP Yr Jul_Jun'!N13*USD,0)</f>
        <v>3858865</v>
      </c>
      <c r="Q13" s="217">
        <f>ROUND('[2]Summary P&amp;L - GBP Yr Jul_Jun'!O13*USD,0)</f>
        <v>5927185</v>
      </c>
      <c r="R13" s="217">
        <f>ROUND('[2]Summary P&amp;L - GBP Yr Jul_Jun'!P13*USD,0)</f>
        <v>10030877</v>
      </c>
      <c r="S13" s="205">
        <f t="shared" si="5"/>
        <v>1592729</v>
      </c>
      <c r="T13" s="207">
        <f t="shared" si="6"/>
        <v>3399778</v>
      </c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  <c r="FE13" s="183"/>
      <c r="FF13" s="183"/>
      <c r="FG13" s="183"/>
      <c r="FH13" s="183"/>
      <c r="FI13" s="183"/>
      <c r="FJ13" s="183"/>
      <c r="FK13" s="183"/>
      <c r="FL13" s="183"/>
      <c r="FM13" s="183"/>
      <c r="FN13" s="183"/>
      <c r="FO13" s="183"/>
      <c r="FP13" s="183"/>
      <c r="FQ13" s="183"/>
      <c r="FR13" s="183"/>
      <c r="FS13" s="183"/>
      <c r="FT13" s="183"/>
      <c r="FU13" s="183"/>
      <c r="FV13" s="183"/>
      <c r="FW13" s="215"/>
      <c r="FX13" s="215"/>
      <c r="FY13" s="215"/>
    </row>
    <row r="14" spans="1:181" ht="11.25" customHeight="1" outlineLevel="1">
      <c r="A14" s="199" t="s">
        <v>537</v>
      </c>
      <c r="B14" s="217">
        <f>'[2]Summary P&amp;L - GBP FY Apr_Mar'!C13*USD</f>
        <v>780.96607080000001</v>
      </c>
      <c r="C14" s="217">
        <f>'[2]Summary P&amp;L - GBP FY Apr_Mar'!D13*USD</f>
        <v>5593.3638774000001</v>
      </c>
      <c r="D14" s="217">
        <f>'[2]Summary P&amp;L - GBP FY Apr_Mar'!E13*USD</f>
        <v>5073.9552311999996</v>
      </c>
      <c r="E14" s="217">
        <f>'[2]Summary P&amp;L - GBP FY Apr_Mar'!F13*USD</f>
        <v>804.97472820000007</v>
      </c>
      <c r="F14" s="217">
        <f>'[2]Summary P&amp;L - GBP FY Apr_Mar'!G13*USD</f>
        <v>28523.126738999999</v>
      </c>
      <c r="G14" s="217">
        <f>'[2]Summary P&amp;L - GBP FY Apr_Mar'!H13*USD</f>
        <v>0</v>
      </c>
      <c r="H14" s="217">
        <f>'[2]Summary P&amp;L - GBP FY Apr_Mar'!I13*USD</f>
        <v>0</v>
      </c>
      <c r="I14" s="199" t="s">
        <v>538</v>
      </c>
      <c r="J14" s="199" t="s">
        <v>537</v>
      </c>
      <c r="K14" s="217">
        <f>ROUND(+'[2]Act GG FY21-24 Consolidate FS'!AC18,0)</f>
        <v>11998</v>
      </c>
      <c r="L14" s="217">
        <f>ROUND(+'[2]Act GG FY21-24 Consolidate FS'!AD18,0)</f>
        <v>108552</v>
      </c>
      <c r="M14" s="217">
        <f>ROUND('[2]Summary P&amp;L - GBP Yr Jul_Jun'!K14*USD,0)</f>
        <v>296177</v>
      </c>
      <c r="N14" s="217">
        <f>ROUND('[2]Summary P&amp;L - GBP Yr Jul_Jun'!L14*USD,0)</f>
        <v>1410307</v>
      </c>
      <c r="O14" s="217">
        <f>ROUND('[2]Summary P&amp;L - GBP Yr Jul_Jun'!M14*USD,0)</f>
        <v>5400978</v>
      </c>
      <c r="P14" s="217">
        <f>ROUND('[2]Summary P&amp;L - GBP Yr Jul_Jun'!N14*USD,0)</f>
        <v>11614048</v>
      </c>
      <c r="Q14" s="217">
        <f>ROUND('[2]Summary P&amp;L - GBP Yr Jul_Jun'!O14*USD,0)</f>
        <v>17299481</v>
      </c>
      <c r="R14" s="217">
        <f>ROUND('[2]Summary P&amp;L - GBP Yr Jul_Jun'!P14*USD,0)</f>
        <v>26684971</v>
      </c>
      <c r="S14" s="205">
        <f t="shared" si="5"/>
        <v>1706484</v>
      </c>
      <c r="T14" s="207">
        <f t="shared" si="6"/>
        <v>7107462</v>
      </c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215"/>
      <c r="FX14" s="215"/>
      <c r="FY14" s="215"/>
    </row>
    <row r="15" spans="1:181" ht="11.25" customHeight="1" outlineLevel="1">
      <c r="A15" s="199" t="s">
        <v>539</v>
      </c>
      <c r="B15" s="217"/>
      <c r="C15" s="217"/>
      <c r="D15" s="217"/>
      <c r="E15" s="217"/>
      <c r="F15" s="217"/>
      <c r="G15" s="217"/>
      <c r="H15" s="217"/>
      <c r="I15" s="199" t="s">
        <v>540</v>
      </c>
      <c r="J15" s="199" t="s">
        <v>541</v>
      </c>
      <c r="K15" s="217">
        <f>ROUND(+'[2]Act GG FY21-24 Consolidate FS'!AC19,0)</f>
        <v>0</v>
      </c>
      <c r="L15" s="217">
        <f>ROUND(+'[2]Act GG FY21-24 Consolidate FS'!AD19,0)</f>
        <v>0</v>
      </c>
      <c r="M15" s="217">
        <f>ROUND('[2]Summary P&amp;L - GBP Yr Jul_Jun'!K15*USD,0)</f>
        <v>412930</v>
      </c>
      <c r="N15" s="217">
        <f>ROUND('[2]Summary P&amp;L - GBP Yr Jul_Jun'!L15*USD,0)</f>
        <v>2123640</v>
      </c>
      <c r="O15" s="217">
        <f>ROUND('[2]Summary P&amp;L - GBP Yr Jul_Jun'!M15*USD,0)</f>
        <v>6073801</v>
      </c>
      <c r="P15" s="217">
        <f>ROUND('[2]Summary P&amp;L - GBP Yr Jul_Jun'!N15*USD,0)</f>
        <v>11463826</v>
      </c>
      <c r="Q15" s="217">
        <f>ROUND('[2]Summary P&amp;L - GBP Yr Jul_Jun'!O15*USD,0)</f>
        <v>16027099</v>
      </c>
      <c r="R15" s="217">
        <f>ROUND('[2]Summary P&amp;L - GBP Yr Jul_Jun'!P15*USD,0)</f>
        <v>23732510</v>
      </c>
      <c r="S15" s="205">
        <f t="shared" si="5"/>
        <v>2536570</v>
      </c>
      <c r="T15" s="207">
        <f t="shared" si="6"/>
        <v>8610371</v>
      </c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  <c r="FE15" s="183"/>
      <c r="FF15" s="183"/>
      <c r="FG15" s="183"/>
      <c r="FH15" s="183"/>
      <c r="FI15" s="183"/>
      <c r="FJ15" s="183"/>
      <c r="FK15" s="183"/>
      <c r="FL15" s="183"/>
      <c r="FM15" s="183"/>
      <c r="FN15" s="183"/>
      <c r="FO15" s="183"/>
      <c r="FP15" s="183"/>
      <c r="FQ15" s="183"/>
      <c r="FR15" s="183"/>
      <c r="FS15" s="183"/>
      <c r="FT15" s="183"/>
      <c r="FU15" s="183"/>
      <c r="FV15" s="183"/>
      <c r="FW15" s="215"/>
      <c r="FX15" s="215"/>
      <c r="FY15" s="215"/>
    </row>
    <row r="16" spans="1:181" ht="11.25" customHeight="1" outlineLevel="1">
      <c r="A16" s="199" t="s">
        <v>542</v>
      </c>
      <c r="B16" s="217">
        <f>'[2]Summary P&amp;L - GBP FY Apr_Mar'!C15*USD</f>
        <v>0</v>
      </c>
      <c r="C16" s="217">
        <f>'[2]Summary P&amp;L - GBP FY Apr_Mar'!D15*USD</f>
        <v>44824.025168399996</v>
      </c>
      <c r="D16" s="217">
        <f>'[2]Summary P&amp;L - GBP FY Apr_Mar'!E15*USD</f>
        <v>127697.46306960001</v>
      </c>
      <c r="E16" s="217">
        <f>'[2]Summary P&amp;L - GBP FY Apr_Mar'!F15*USD</f>
        <v>370756.17317100003</v>
      </c>
      <c r="F16" s="217">
        <f>'[2]Summary P&amp;L - GBP FY Apr_Mar'!G15*USD</f>
        <v>887262.56090040004</v>
      </c>
      <c r="G16" s="217">
        <f>'[2]Summary P&amp;L - GBP FY Apr_Mar'!H15*USD</f>
        <v>0</v>
      </c>
      <c r="H16" s="217">
        <f>'[2]Summary P&amp;L - GBP FY Apr_Mar'!I15*USD</f>
        <v>0</v>
      </c>
      <c r="I16" s="199" t="s">
        <v>540</v>
      </c>
      <c r="J16" s="199" t="s">
        <v>542</v>
      </c>
      <c r="K16" s="217">
        <f>ROUND(+'[2]Act GG FY21-24 Consolidate FS'!AC20,0)</f>
        <v>1043286</v>
      </c>
      <c r="L16" s="217">
        <f>ROUND(+'[2]Act GG FY21-24 Consolidate FS'!AD20,0)</f>
        <v>761571</v>
      </c>
      <c r="M16" s="217">
        <f>ROUND('[2]Summary P&amp;L - GBP Yr Jul_Jun'!K16*USD,0)</f>
        <v>2121355</v>
      </c>
      <c r="N16" s="217">
        <f>ROUND('[2]Summary P&amp;L - GBP Yr Jul_Jun'!L16*USD,0)</f>
        <v>3906784</v>
      </c>
      <c r="O16" s="217">
        <f>ROUND('[2]Summary P&amp;L - GBP Yr Jul_Jun'!M16*USD,0)</f>
        <v>4165486</v>
      </c>
      <c r="P16" s="217">
        <f>ROUND('[2]Summary P&amp;L - GBP Yr Jul_Jun'!N16*USD,0)</f>
        <v>4377927</v>
      </c>
      <c r="Q16" s="217">
        <f>ROUND('[2]Summary P&amp;L - GBP Yr Jul_Jun'!O16*USD,0)</f>
        <v>4543273</v>
      </c>
      <c r="R16" s="217">
        <f>ROUND('[2]Summary P&amp;L - GBP Yr Jul_Jun'!P16*USD,0)</f>
        <v>4774980</v>
      </c>
      <c r="S16" s="205">
        <f t="shared" si="5"/>
        <v>6028139</v>
      </c>
      <c r="T16" s="207">
        <f t="shared" si="6"/>
        <v>10193625</v>
      </c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  <c r="FE16" s="183"/>
      <c r="FF16" s="183"/>
      <c r="FG16" s="183"/>
      <c r="FH16" s="183"/>
      <c r="FI16" s="183"/>
      <c r="FJ16" s="183"/>
      <c r="FK16" s="183"/>
      <c r="FL16" s="183"/>
      <c r="FM16" s="183"/>
      <c r="FN16" s="183"/>
      <c r="FO16" s="183"/>
      <c r="FP16" s="183"/>
      <c r="FQ16" s="183"/>
      <c r="FR16" s="183"/>
      <c r="FS16" s="183"/>
      <c r="FT16" s="183"/>
      <c r="FU16" s="183"/>
      <c r="FV16" s="219"/>
      <c r="FW16" s="220"/>
      <c r="FX16" s="220"/>
      <c r="FY16" s="220"/>
    </row>
    <row r="17" spans="1:181" ht="11.25" customHeight="1" outlineLevel="1">
      <c r="A17" s="199" t="s">
        <v>543</v>
      </c>
      <c r="B17" s="217">
        <f>'[2]Summary P&amp;L - GBP FY Apr_Mar'!C16*USD</f>
        <v>380.59563960000003</v>
      </c>
      <c r="C17" s="217">
        <f>'[2]Summary P&amp;L - GBP FY Apr_Mar'!D16*USD</f>
        <v>8627.5380480000022</v>
      </c>
      <c r="D17" s="217">
        <f>'[2]Summary P&amp;L - GBP FY Apr_Mar'!E16*USD</f>
        <v>34056.663705599989</v>
      </c>
      <c r="E17" s="217">
        <f>'[2]Summary P&amp;L - GBP FY Apr_Mar'!F16*USD</f>
        <v>53715.507687000005</v>
      </c>
      <c r="F17" s="217">
        <f>'[2]Summary P&amp;L - GBP FY Apr_Mar'!G16*USD</f>
        <v>52968.261781800007</v>
      </c>
      <c r="G17" s="217">
        <f>'[2]Summary P&amp;L - GBP FY Apr_Mar'!H16*USD</f>
        <v>0</v>
      </c>
      <c r="H17" s="217">
        <f>'[2]Summary P&amp;L - GBP FY Apr_Mar'!I16*USD</f>
        <v>0</v>
      </c>
      <c r="I17" s="199" t="s">
        <v>540</v>
      </c>
      <c r="J17" s="199" t="s">
        <v>543</v>
      </c>
      <c r="K17" s="217">
        <f>ROUND(+'[2]Act GG FY21-24 Consolidate FS'!AC21,0)</f>
        <v>125169</v>
      </c>
      <c r="L17" s="217">
        <f>ROUND(+'[2]Act GG FY21-24 Consolidate FS'!AD21,0)</f>
        <v>213217</v>
      </c>
      <c r="M17" s="217">
        <f>ROUND('[2]Summary P&amp;L - GBP Yr Jul_Jun'!K17*USD,0)</f>
        <v>271911</v>
      </c>
      <c r="N17" s="217">
        <f>ROUND('[2]Summary P&amp;L - GBP Yr Jul_Jun'!L17*USD,0)</f>
        <v>337207</v>
      </c>
      <c r="O17" s="217">
        <f>ROUND('[2]Summary P&amp;L - GBP Yr Jul_Jun'!M17*USD,0)</f>
        <v>354067</v>
      </c>
      <c r="P17" s="217">
        <f>ROUND('[2]Summary P&amp;L - GBP Yr Jul_Jun'!N17*USD,0)</f>
        <v>371770</v>
      </c>
      <c r="Q17" s="217">
        <f>ROUND('[2]Summary P&amp;L - GBP Yr Jul_Jun'!O17*USD,0)</f>
        <v>385539</v>
      </c>
      <c r="R17" s="217">
        <f>ROUND('[2]Summary P&amp;L - GBP Yr Jul_Jun'!P17*USD,0)</f>
        <v>409877</v>
      </c>
      <c r="S17" s="205">
        <f t="shared" si="5"/>
        <v>609118</v>
      </c>
      <c r="T17" s="207">
        <f t="shared" si="6"/>
        <v>963185</v>
      </c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  <c r="FE17" s="183"/>
      <c r="FF17" s="183"/>
      <c r="FG17" s="183"/>
      <c r="FH17" s="183"/>
      <c r="FI17" s="183"/>
      <c r="FJ17" s="183"/>
      <c r="FK17" s="183"/>
      <c r="FL17" s="183"/>
      <c r="FM17" s="183"/>
      <c r="FN17" s="183"/>
      <c r="FO17" s="183"/>
      <c r="FP17" s="183"/>
      <c r="FQ17" s="183"/>
      <c r="FR17" s="183"/>
      <c r="FS17" s="183"/>
      <c r="FT17" s="183"/>
      <c r="FU17" s="183"/>
      <c r="FV17" s="183"/>
      <c r="FW17" s="215"/>
      <c r="FX17" s="215"/>
      <c r="FY17" s="215"/>
    </row>
    <row r="18" spans="1:181" ht="11.25" customHeight="1" outlineLevel="1">
      <c r="A18" s="199" t="s">
        <v>544</v>
      </c>
      <c r="B18" s="217">
        <f>'[2]Summary P&amp;L - GBP FY Apr_Mar'!C17*USD</f>
        <v>0</v>
      </c>
      <c r="C18" s="217">
        <f>'[2]Summary P&amp;L - GBP FY Apr_Mar'!D17*USD</f>
        <v>0</v>
      </c>
      <c r="D18" s="217">
        <f>'[2]Summary P&amp;L - GBP FY Apr_Mar'!E17*USD</f>
        <v>0</v>
      </c>
      <c r="E18" s="217">
        <f>'[2]Summary P&amp;L - GBP FY Apr_Mar'!F17*USD</f>
        <v>0</v>
      </c>
      <c r="F18" s="217">
        <f>'[2]Summary P&amp;L - GBP FY Apr_Mar'!G17*USD</f>
        <v>0</v>
      </c>
      <c r="G18" s="217">
        <f>'[2]Summary P&amp;L - GBP FY Apr_Mar'!H17*USD</f>
        <v>0</v>
      </c>
      <c r="H18" s="217">
        <f>'[2]Summary P&amp;L - GBP FY Apr_Mar'!I17*USD</f>
        <v>0</v>
      </c>
      <c r="I18" s="199" t="s">
        <v>540</v>
      </c>
      <c r="J18" s="199" t="s">
        <v>544</v>
      </c>
      <c r="K18" s="217">
        <f>ROUND(+'[2]Act GG FY21-24 Consolidate FS'!AC22,0)</f>
        <v>671</v>
      </c>
      <c r="L18" s="217">
        <f>ROUND(+'[2]Act GG FY21-24 Consolidate FS'!AD22,0)</f>
        <v>213</v>
      </c>
      <c r="M18" s="217">
        <f>ROUND('[2]Summary P&amp;L - GBP Yr Jul_Jun'!K18*USD,0)</f>
        <v>245519</v>
      </c>
      <c r="N18" s="217">
        <f>ROUND('[2]Summary P&amp;L - GBP Yr Jul_Jun'!L18*USD,0)</f>
        <v>164961</v>
      </c>
      <c r="O18" s="217">
        <f>ROUND('[2]Summary P&amp;L - GBP Yr Jul_Jun'!M18*USD,0)</f>
        <v>173210</v>
      </c>
      <c r="P18" s="217">
        <f>ROUND('[2]Summary P&amp;L - GBP Yr Jul_Jun'!N18*USD,0)</f>
        <v>181870</v>
      </c>
      <c r="Q18" s="217">
        <f>ROUND('[2]Summary P&amp;L - GBP Yr Jul_Jun'!O18*USD,0)</f>
        <v>188607</v>
      </c>
      <c r="R18" s="217">
        <f>ROUND('[2]Summary P&amp;L - GBP Yr Jul_Jun'!P18*USD,0)</f>
        <v>200512</v>
      </c>
      <c r="S18" s="205">
        <f t="shared" si="5"/>
        <v>410480</v>
      </c>
      <c r="T18" s="207">
        <f t="shared" si="6"/>
        <v>583690</v>
      </c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  <c r="FE18" s="183"/>
      <c r="FF18" s="183"/>
      <c r="FG18" s="183"/>
      <c r="FH18" s="183"/>
      <c r="FI18" s="183"/>
      <c r="FJ18" s="183"/>
      <c r="FK18" s="183"/>
      <c r="FL18" s="183"/>
      <c r="FM18" s="183"/>
      <c r="FN18" s="183"/>
      <c r="FO18" s="183"/>
      <c r="FP18" s="183"/>
      <c r="FQ18" s="183"/>
      <c r="FR18" s="183"/>
      <c r="FS18" s="183"/>
      <c r="FT18" s="183"/>
      <c r="FU18" s="183"/>
      <c r="FV18" s="183"/>
      <c r="FW18" s="215"/>
      <c r="FX18" s="215"/>
      <c r="FY18" s="215"/>
    </row>
    <row r="19" spans="1:181" ht="11.25" customHeight="1" outlineLevel="1">
      <c r="A19" s="199" t="s">
        <v>545</v>
      </c>
      <c r="B19" s="217">
        <f>'[2]Summary P&amp;L - GBP FY Apr_Mar'!C18*USD</f>
        <v>3015.2159999999999</v>
      </c>
      <c r="C19" s="217">
        <f>'[2]Summary P&amp;L - GBP FY Apr_Mar'!D18*USD</f>
        <v>111978.6646524</v>
      </c>
      <c r="D19" s="217">
        <f>'[2]Summary P&amp;L - GBP FY Apr_Mar'!E18*USD</f>
        <v>87085.016229600005</v>
      </c>
      <c r="E19" s="217">
        <f>'[2]Summary P&amp;L - GBP FY Apr_Mar'!F18*USD</f>
        <v>220110.64236599999</v>
      </c>
      <c r="F19" s="217">
        <f>'[2]Summary P&amp;L - GBP FY Apr_Mar'!G18*USD</f>
        <v>100727.04693659999</v>
      </c>
      <c r="G19" s="217">
        <f>'[2]Summary P&amp;L - GBP FY Apr_Mar'!H18*USD</f>
        <v>0</v>
      </c>
      <c r="H19" s="217">
        <f>'[2]Summary P&amp;L - GBP FY Apr_Mar'!I18*USD</f>
        <v>0</v>
      </c>
      <c r="I19" s="199" t="s">
        <v>540</v>
      </c>
      <c r="J19" s="199" t="s">
        <v>545</v>
      </c>
      <c r="K19" s="217">
        <f>ROUND(+'[2]Act GG FY21-24 Consolidate FS'!AC23,0)</f>
        <v>451277</v>
      </c>
      <c r="L19" s="217">
        <f>ROUND(+'[2]Act GG FY21-24 Consolidate FS'!AD23,0)</f>
        <v>484102</v>
      </c>
      <c r="M19" s="217">
        <f>ROUND('[2]Summary P&amp;L - GBP Yr Jul_Jun'!K19*USD,0)</f>
        <v>115337</v>
      </c>
      <c r="N19" s="217">
        <f>ROUND('[2]Summary P&amp;L - GBP Yr Jul_Jun'!L19*USD,0)</f>
        <v>275814</v>
      </c>
      <c r="O19" s="217">
        <f>ROUND('[2]Summary P&amp;L - GBP Yr Jul_Jun'!M19*USD,0)</f>
        <v>2212571</v>
      </c>
      <c r="P19" s="217">
        <f>ROUND('[2]Summary P&amp;L - GBP Yr Jul_Jun'!N19*USD,0)</f>
        <v>5103111</v>
      </c>
      <c r="Q19" s="217">
        <f>ROUND('[2]Summary P&amp;L - GBP Yr Jul_Jun'!O19*USD,0)</f>
        <v>7982224</v>
      </c>
      <c r="R19" s="217">
        <f>ROUND('[2]Summary P&amp;L - GBP Yr Jul_Jun'!P19*USD,0)</f>
        <v>13630351</v>
      </c>
      <c r="S19" s="205">
        <f t="shared" si="5"/>
        <v>391151</v>
      </c>
      <c r="T19" s="207">
        <f t="shared" si="6"/>
        <v>2603722</v>
      </c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  <c r="FE19" s="183"/>
      <c r="FF19" s="183"/>
      <c r="FG19" s="183"/>
      <c r="FH19" s="183"/>
      <c r="FI19" s="183"/>
      <c r="FJ19" s="183"/>
      <c r="FK19" s="183"/>
      <c r="FL19" s="183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215"/>
      <c r="FX19" s="215"/>
      <c r="FY19" s="215"/>
    </row>
    <row r="20" spans="1:181" ht="11.25" customHeight="1" outlineLevel="1">
      <c r="A20" s="204" t="s">
        <v>546</v>
      </c>
      <c r="B20" s="217">
        <f>'[2]Summary P&amp;L - GBP FY Apr_Mar'!C19*USD</f>
        <v>0</v>
      </c>
      <c r="C20" s="217">
        <f>'[2]Summary P&amp;L - GBP FY Apr_Mar'!D19*USD</f>
        <v>1842.6361877999989</v>
      </c>
      <c r="D20" s="217">
        <f>'[2]Summary P&amp;L - GBP FY Apr_Mar'!E19*USD</f>
        <v>44539.514412000004</v>
      </c>
      <c r="E20" s="217">
        <f>'[2]Summary P&amp;L - GBP FY Apr_Mar'!F19*USD</f>
        <v>35384.941734</v>
      </c>
      <c r="F20" s="217">
        <f>'[2]Summary P&amp;L - GBP FY Apr_Mar'!G19*USD</f>
        <v>17222.913791999999</v>
      </c>
      <c r="G20" s="217">
        <f>'[2]Summary P&amp;L - GBP FY Apr_Mar'!H19*USD</f>
        <v>0</v>
      </c>
      <c r="H20" s="217">
        <f>'[2]Summary P&amp;L - GBP FY Apr_Mar'!I19*USD</f>
        <v>0</v>
      </c>
      <c r="I20" s="199" t="s">
        <v>540</v>
      </c>
      <c r="J20" s="204" t="s">
        <v>546</v>
      </c>
      <c r="K20" s="217">
        <f>ROUND(+'[2]Act GG FY21-24 Consolidate FS'!AC24,0)</f>
        <v>74309</v>
      </c>
      <c r="L20" s="217">
        <f>ROUND(+'[2]Act GG FY21-24 Consolidate FS'!AD24,0)</f>
        <v>3708</v>
      </c>
      <c r="M20" s="217">
        <f>ROUND('[2]Summary P&amp;L - GBP Yr Jul_Jun'!K20*USD,0)</f>
        <v>38978</v>
      </c>
      <c r="N20" s="217">
        <f>ROUND('[2]Summary P&amp;L - GBP Yr Jul_Jun'!L20*USD,0)</f>
        <v>189188</v>
      </c>
      <c r="O20" s="217">
        <f>ROUND('[2]Summary P&amp;L - GBP Yr Jul_Jun'!M20*USD,0)</f>
        <v>735990</v>
      </c>
      <c r="P20" s="217">
        <f>ROUND('[2]Summary P&amp;L - GBP Yr Jul_Jun'!N20*USD,0)</f>
        <v>1815164</v>
      </c>
      <c r="Q20" s="217">
        <f>ROUND('[2]Summary P&amp;L - GBP Yr Jul_Jun'!O20*USD,0)</f>
        <v>2891110</v>
      </c>
      <c r="R20" s="217">
        <f>ROUND('[2]Summary P&amp;L - GBP Yr Jul_Jun'!P20*USD,0)</f>
        <v>5003944</v>
      </c>
      <c r="S20" s="205">
        <f t="shared" si="5"/>
        <v>228166</v>
      </c>
      <c r="T20" s="207">
        <f t="shared" si="6"/>
        <v>964156</v>
      </c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  <c r="FE20" s="183"/>
      <c r="FF20" s="183"/>
      <c r="FG20" s="183"/>
      <c r="FH20" s="183"/>
      <c r="FI20" s="183"/>
      <c r="FJ20" s="183"/>
      <c r="FK20" s="183"/>
      <c r="FL20" s="183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</row>
    <row r="21" spans="1:181" ht="11.25" customHeight="1" outlineLevel="1">
      <c r="A21" s="199" t="s">
        <v>547</v>
      </c>
      <c r="B21" s="217">
        <f>'[2]Summary P&amp;L - GBP FY Apr_Mar'!C20*USD</f>
        <v>0</v>
      </c>
      <c r="C21" s="217">
        <f>'[2]Summary P&amp;L - GBP FY Apr_Mar'!D20*USD</f>
        <v>35543.567222400001</v>
      </c>
      <c r="D21" s="217">
        <f>'[2]Summary P&amp;L - GBP FY Apr_Mar'!E20*USD</f>
        <v>53797.006462799996</v>
      </c>
      <c r="E21" s="217">
        <f>'[2]Summary P&amp;L - GBP FY Apr_Mar'!F20*USD</f>
        <v>62461.644231000006</v>
      </c>
      <c r="F21" s="217">
        <f>'[2]Summary P&amp;L - GBP FY Apr_Mar'!G20*USD</f>
        <v>65054.001313799999</v>
      </c>
      <c r="G21" s="217">
        <f>'[2]Summary P&amp;L - GBP FY Apr_Mar'!H20*USD</f>
        <v>0</v>
      </c>
      <c r="H21" s="217">
        <f>'[2]Summary P&amp;L - GBP FY Apr_Mar'!I20*USD</f>
        <v>0</v>
      </c>
      <c r="I21" s="199" t="s">
        <v>540</v>
      </c>
      <c r="J21" s="199" t="s">
        <v>547</v>
      </c>
      <c r="K21" s="217">
        <f>ROUND(+'[2]Act GG FY21-24 Consolidate FS'!AC26,0)</f>
        <v>72191</v>
      </c>
      <c r="L21" s="217">
        <f>ROUND(+'[2]Act GG FY21-24 Consolidate FS'!AD26,0)</f>
        <v>105451</v>
      </c>
      <c r="M21" s="217">
        <f>ROUND('[2]Summary P&amp;L - GBP Yr Jul_Jun'!K21*USD,0)</f>
        <v>212845</v>
      </c>
      <c r="N21" s="217">
        <f>ROUND('[2]Summary P&amp;L - GBP Yr Jul_Jun'!L21*USD,0)</f>
        <v>267888</v>
      </c>
      <c r="O21" s="217">
        <f>ROUND('[2]Summary P&amp;L - GBP Yr Jul_Jun'!M21*USD,0)</f>
        <v>301082</v>
      </c>
      <c r="P21" s="217">
        <f>ROUND('[2]Summary P&amp;L - GBP Yr Jul_Jun'!N21*USD,0)</f>
        <v>316137</v>
      </c>
      <c r="Q21" s="217">
        <f>ROUND('[2]Summary P&amp;L - GBP Yr Jul_Jun'!O21*USD,0)</f>
        <v>327844</v>
      </c>
      <c r="R21" s="217">
        <f>ROUND('[2]Summary P&amp;L - GBP Yr Jul_Jun'!P21*USD,0)</f>
        <v>348540</v>
      </c>
      <c r="S21" s="205">
        <f t="shared" si="5"/>
        <v>480733</v>
      </c>
      <c r="T21" s="207">
        <f t="shared" si="6"/>
        <v>781815</v>
      </c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</row>
    <row r="22" spans="1:181" ht="11.25" customHeight="1" outlineLevel="1">
      <c r="A22" s="199" t="s">
        <v>548</v>
      </c>
      <c r="B22" s="217">
        <f>'[2]Summary P&amp;L - GBP FY Apr_Mar'!C21*USD</f>
        <v>6498.5568473999992</v>
      </c>
      <c r="C22" s="217">
        <f>'[2]Summary P&amp;L - GBP FY Apr_Mar'!D21*USD</f>
        <v>5724.1237445999996</v>
      </c>
      <c r="D22" s="217">
        <f>'[2]Summary P&amp;L - GBP FY Apr_Mar'!E21*USD</f>
        <v>49379.71502280001</v>
      </c>
      <c r="E22" s="217">
        <f>'[2]Summary P&amp;L - GBP FY Apr_Mar'!F21*USD</f>
        <v>91273.339704600003</v>
      </c>
      <c r="F22" s="217">
        <f>'[2]Summary P&amp;L - GBP FY Apr_Mar'!G21*USD</f>
        <v>96587.808665399993</v>
      </c>
      <c r="G22" s="217">
        <f>'[2]Summary P&amp;L - GBP FY Apr_Mar'!H21*USD</f>
        <v>0</v>
      </c>
      <c r="H22" s="217">
        <f>'[2]Summary P&amp;L - GBP FY Apr_Mar'!I21*USD</f>
        <v>0</v>
      </c>
      <c r="I22" s="202" t="s">
        <v>540</v>
      </c>
      <c r="J22" s="202" t="s">
        <v>548</v>
      </c>
      <c r="K22" s="217">
        <f>ROUND(+'[2]Act GG FY21-24 Consolidate FS'!AC27,0)</f>
        <v>93434</v>
      </c>
      <c r="L22" s="217">
        <f>ROUND(+'[2]Act GG FY21-24 Consolidate FS'!AD27,0)</f>
        <v>229391</v>
      </c>
      <c r="M22" s="217">
        <f>ROUND('[2]Summary P&amp;L - GBP Yr Jul_Jun'!K22*USD,0)</f>
        <v>303510</v>
      </c>
      <c r="N22" s="217">
        <f>ROUND('[2]Summary P&amp;L - GBP Yr Jul_Jun'!L22*USD,0)</f>
        <v>430015</v>
      </c>
      <c r="O22" s="217">
        <f>ROUND('[2]Summary P&amp;L - GBP Yr Jul_Jun'!M22*USD,0)</f>
        <v>451515</v>
      </c>
      <c r="P22" s="217">
        <f>ROUND('[2]Summary P&amp;L - GBP Yr Jul_Jun'!N22*USD,0)</f>
        <v>474091</v>
      </c>
      <c r="Q22" s="217">
        <f>ROUND('[2]Summary P&amp;L - GBP Yr Jul_Jun'!O22*USD,0)</f>
        <v>491650</v>
      </c>
      <c r="R22" s="217">
        <f>ROUND('[2]Summary P&amp;L - GBP Yr Jul_Jun'!P22*USD,0)</f>
        <v>522685</v>
      </c>
      <c r="S22" s="205">
        <f t="shared" si="5"/>
        <v>733525</v>
      </c>
      <c r="T22" s="207">
        <f t="shared" si="6"/>
        <v>1185040</v>
      </c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</row>
    <row r="23" spans="1:181" ht="11.25" customHeight="1" outlineLevel="1">
      <c r="A23" s="199" t="s">
        <v>549</v>
      </c>
      <c r="B23" s="217">
        <f>'[2]Summary P&amp;L - GBP FY Apr_Mar'!C22*USD</f>
        <v>372.34148579999999</v>
      </c>
      <c r="C23" s="217">
        <f>'[2]Summary P&amp;L - GBP FY Apr_Mar'!D22*USD</f>
        <v>8901.7593797999998</v>
      </c>
      <c r="D23" s="217">
        <f>'[2]Summary P&amp;L - GBP FY Apr_Mar'!E22*USD</f>
        <v>58280.858796</v>
      </c>
      <c r="E23" s="217">
        <f>'[2]Summary P&amp;L - GBP FY Apr_Mar'!F22*USD</f>
        <v>16863.512608199999</v>
      </c>
      <c r="F23" s="217">
        <f>'[2]Summary P&amp;L - GBP FY Apr_Mar'!G22*USD</f>
        <v>54238.157690399996</v>
      </c>
      <c r="G23" s="217">
        <f>'[2]Summary P&amp;L - GBP FY Apr_Mar'!H22*USD</f>
        <v>0</v>
      </c>
      <c r="H23" s="217">
        <f>'[2]Summary P&amp;L - GBP FY Apr_Mar'!I22*USD</f>
        <v>0</v>
      </c>
      <c r="I23" s="202" t="s">
        <v>540</v>
      </c>
      <c r="J23" s="202" t="s">
        <v>549</v>
      </c>
      <c r="K23" s="217">
        <f>ROUND(+'[2]Act GG FY21-24 Consolidate FS'!AC28,0)</f>
        <v>169460</v>
      </c>
      <c r="L23" s="217">
        <f>ROUND(+'[2]Act GG FY21-24 Consolidate FS'!AD28,0)</f>
        <v>148709</v>
      </c>
      <c r="M23" s="217">
        <f>ROUND('[2]Summary P&amp;L - GBP Yr Jul_Jun'!K23*USD,0)</f>
        <v>169606</v>
      </c>
      <c r="N23" s="217">
        <f>ROUND('[2]Summary P&amp;L - GBP Yr Jul_Jun'!L23*USD,0)</f>
        <v>347457</v>
      </c>
      <c r="O23" s="217">
        <f>ROUND('[2]Summary P&amp;L - GBP Yr Jul_Jun'!M23*USD,0)</f>
        <v>623067</v>
      </c>
      <c r="P23" s="217">
        <f>ROUND('[2]Summary P&amp;L - GBP Yr Jul_Jun'!N23*USD,0)</f>
        <v>948145</v>
      </c>
      <c r="Q23" s="217">
        <f>ROUND('[2]Summary P&amp;L - GBP Yr Jul_Jun'!O23*USD,0)</f>
        <v>1191953</v>
      </c>
      <c r="R23" s="217">
        <f>ROUND('[2]Summary P&amp;L - GBP Yr Jul_Jun'!P23*USD,0)</f>
        <v>1598301</v>
      </c>
      <c r="S23" s="205">
        <f t="shared" si="5"/>
        <v>517063</v>
      </c>
      <c r="T23" s="207">
        <f t="shared" si="6"/>
        <v>1140130</v>
      </c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  <c r="FE23" s="183"/>
      <c r="FF23" s="183"/>
      <c r="FG23" s="183"/>
      <c r="FH23" s="183"/>
      <c r="FI23" s="183"/>
      <c r="FJ23" s="183"/>
      <c r="FK23" s="183"/>
      <c r="FL23" s="183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</row>
    <row r="24" spans="1:181" ht="11.25" customHeight="1" outlineLevel="1">
      <c r="A24" s="199" t="s">
        <v>550</v>
      </c>
      <c r="B24" s="217">
        <f>'[2]Summary P&amp;L - GBP FY Apr_Mar'!C23*USD</f>
        <v>0</v>
      </c>
      <c r="C24" s="217">
        <f>'[2]Summary P&amp;L - GBP FY Apr_Mar'!D23*USD</f>
        <v>0</v>
      </c>
      <c r="D24" s="217">
        <f>'[2]Summary P&amp;L - GBP FY Apr_Mar'!E23*USD</f>
        <v>0</v>
      </c>
      <c r="E24" s="217">
        <f>'[2]Summary P&amp;L - GBP FY Apr_Mar'!F23*USD</f>
        <v>0</v>
      </c>
      <c r="F24" s="217">
        <f>'[2]Summary P&amp;L - GBP FY Apr_Mar'!G23*USD</f>
        <v>0</v>
      </c>
      <c r="G24" s="217">
        <f>'[2]Summary P&amp;L - GBP FY Apr_Mar'!H23*USD</f>
        <v>0</v>
      </c>
      <c r="H24" s="217">
        <f>'[2]Summary P&amp;L - GBP FY Apr_Mar'!I23*USD</f>
        <v>0</v>
      </c>
      <c r="I24" s="199" t="s">
        <v>540</v>
      </c>
      <c r="J24" s="199" t="s">
        <v>550</v>
      </c>
      <c r="K24" s="217">
        <f>ROUND(+'[2]Act GG FY21-24 Consolidate FS'!AC29,0)</f>
        <v>30170</v>
      </c>
      <c r="L24" s="217">
        <f>ROUND(+'[2]Act GG FY21-24 Consolidate FS'!AD29,0)</f>
        <v>43645</v>
      </c>
      <c r="M24" s="217">
        <f>ROUND('[2]Summary P&amp;L - GBP Yr Jul_Jun'!K24*USD,0)</f>
        <v>115338</v>
      </c>
      <c r="N24" s="217">
        <f>ROUND('[2]Summary P&amp;L - GBP Yr Jul_Jun'!L24*USD,0)</f>
        <v>141223</v>
      </c>
      <c r="O24" s="217">
        <f>'[2]Summary P&amp;L - GBP Yr Jul_Jun'!M24*USD</f>
        <v>157436.99076000002</v>
      </c>
      <c r="P24" s="217">
        <f>ROUND('[2]Summary P&amp;L - GBP Yr Jul_Jun'!N24*USD,0)</f>
        <v>204668</v>
      </c>
      <c r="Q24" s="217">
        <f>ROUND('[2]Summary P&amp;L - GBP Yr Jul_Jun'!O24*USD,0)</f>
        <v>247505</v>
      </c>
      <c r="R24" s="217">
        <f>ROUND('[2]Summary P&amp;L - GBP Yr Jul_Jun'!P24*USD,0)</f>
        <v>345888</v>
      </c>
      <c r="S24" s="205">
        <f t="shared" si="5"/>
        <v>256561</v>
      </c>
      <c r="T24" s="207">
        <f t="shared" si="6"/>
        <v>413998</v>
      </c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  <c r="FE24" s="183"/>
      <c r="FF24" s="183"/>
      <c r="FG24" s="183"/>
      <c r="FH24" s="183"/>
      <c r="FI24" s="183"/>
      <c r="FJ24" s="183"/>
      <c r="FK24" s="183"/>
      <c r="FL24" s="183"/>
      <c r="FM24" s="183"/>
      <c r="FN24" s="183"/>
      <c r="FO24" s="183"/>
      <c r="FP24" s="183"/>
      <c r="FQ24" s="183"/>
      <c r="FR24" s="183"/>
      <c r="FS24" s="183"/>
      <c r="FT24" s="183"/>
      <c r="FU24" s="183"/>
      <c r="FV24" s="183"/>
      <c r="FW24" s="183"/>
      <c r="FX24" s="183"/>
      <c r="FY24" s="183"/>
    </row>
    <row r="25" spans="1:181" ht="11.25" customHeight="1">
      <c r="A25" s="200" t="s">
        <v>551</v>
      </c>
      <c r="B25" s="201">
        <f t="shared" ref="B25:H25" si="7">SUM(B12:B24)</f>
        <v>21397.882372800002</v>
      </c>
      <c r="C25" s="201">
        <f t="shared" si="7"/>
        <v>257693.32478879998</v>
      </c>
      <c r="D25" s="201">
        <f t="shared" si="7"/>
        <v>529277.74968960008</v>
      </c>
      <c r="E25" s="201">
        <f t="shared" si="7"/>
        <v>1074489.2198802</v>
      </c>
      <c r="F25" s="201">
        <f t="shared" si="7"/>
        <v>1410953.8817093999</v>
      </c>
      <c r="G25" s="201">
        <f t="shared" si="7"/>
        <v>0</v>
      </c>
      <c r="H25" s="201">
        <f t="shared" si="7"/>
        <v>0</v>
      </c>
      <c r="I25" s="200" t="s">
        <v>552</v>
      </c>
      <c r="J25" s="209" t="s">
        <v>552</v>
      </c>
      <c r="K25" s="201">
        <f t="shared" ref="K25:T25" si="8">SUM(K12:K24)</f>
        <v>2448963</v>
      </c>
      <c r="L25" s="201">
        <f t="shared" si="8"/>
        <v>2336924</v>
      </c>
      <c r="M25" s="201">
        <f t="shared" si="8"/>
        <v>6183263</v>
      </c>
      <c r="N25" s="201">
        <f t="shared" si="8"/>
        <v>14295892</v>
      </c>
      <c r="O25" s="201">
        <f t="shared" si="8"/>
        <v>26524173.990759999</v>
      </c>
      <c r="P25" s="201">
        <f t="shared" si="8"/>
        <v>43740389</v>
      </c>
      <c r="Q25" s="201">
        <f t="shared" si="8"/>
        <v>62974871</v>
      </c>
      <c r="R25" s="201">
        <f t="shared" si="8"/>
        <v>95529231</v>
      </c>
      <c r="S25" s="201">
        <f t="shared" si="8"/>
        <v>20479155</v>
      </c>
      <c r="T25" s="201">
        <f t="shared" si="8"/>
        <v>47003329</v>
      </c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  <c r="AZ25" s="212"/>
      <c r="BA25" s="212"/>
      <c r="BB25" s="212"/>
      <c r="BC25" s="212"/>
      <c r="BD25" s="212"/>
      <c r="BE25" s="212"/>
      <c r="BF25" s="212"/>
      <c r="BG25" s="212"/>
      <c r="BH25" s="212"/>
      <c r="BI25" s="212"/>
      <c r="BJ25" s="212"/>
      <c r="BK25" s="212"/>
      <c r="BL25" s="212"/>
      <c r="BM25" s="212"/>
      <c r="BN25" s="212"/>
      <c r="BO25" s="212"/>
      <c r="BP25" s="212"/>
      <c r="BQ25" s="212"/>
      <c r="BR25" s="212"/>
      <c r="BS25" s="212"/>
      <c r="BT25" s="212"/>
      <c r="BU25" s="212"/>
      <c r="BV25" s="212"/>
      <c r="BW25" s="212"/>
      <c r="BX25" s="212"/>
      <c r="BY25" s="212"/>
      <c r="BZ25" s="212"/>
      <c r="CA25" s="212"/>
      <c r="CB25" s="212"/>
      <c r="CC25" s="212"/>
      <c r="CD25" s="212"/>
      <c r="CE25" s="212"/>
      <c r="CF25" s="212"/>
      <c r="CG25" s="212"/>
      <c r="CH25" s="212"/>
      <c r="CI25" s="212"/>
      <c r="CJ25" s="212"/>
      <c r="CK25" s="212"/>
      <c r="CL25" s="212"/>
      <c r="CM25" s="212"/>
      <c r="CN25" s="212"/>
      <c r="CO25" s="212"/>
      <c r="CP25" s="212"/>
      <c r="CQ25" s="212"/>
      <c r="CR25" s="212"/>
      <c r="CS25" s="212"/>
      <c r="CT25" s="212"/>
      <c r="CU25" s="212"/>
      <c r="CV25" s="212"/>
      <c r="CW25" s="212"/>
      <c r="CX25" s="212"/>
      <c r="CY25" s="212"/>
      <c r="CZ25" s="212"/>
      <c r="DA25" s="212"/>
      <c r="DB25" s="212"/>
      <c r="DC25" s="212"/>
      <c r="DD25" s="212"/>
      <c r="DE25" s="212"/>
      <c r="DF25" s="212"/>
      <c r="DG25" s="212"/>
      <c r="DH25" s="212"/>
      <c r="DI25" s="212"/>
      <c r="DJ25" s="212"/>
      <c r="DK25" s="212"/>
      <c r="DL25" s="212"/>
      <c r="DM25" s="212"/>
      <c r="DN25" s="212"/>
      <c r="DO25" s="212"/>
      <c r="DP25" s="212"/>
      <c r="DQ25" s="212"/>
      <c r="DR25" s="212"/>
      <c r="DS25" s="212"/>
      <c r="DT25" s="212"/>
      <c r="DU25" s="212"/>
      <c r="DV25" s="212"/>
      <c r="DW25" s="212"/>
      <c r="DX25" s="212"/>
      <c r="DY25" s="212"/>
      <c r="DZ25" s="212"/>
      <c r="EA25" s="212"/>
      <c r="EB25" s="212"/>
      <c r="EC25" s="212"/>
      <c r="ED25" s="212"/>
      <c r="EE25" s="212"/>
      <c r="EF25" s="212"/>
      <c r="EG25" s="212"/>
      <c r="EH25" s="212"/>
      <c r="EI25" s="212"/>
      <c r="EJ25" s="212"/>
      <c r="EK25" s="212"/>
      <c r="EL25" s="212"/>
      <c r="EM25" s="212"/>
      <c r="EN25" s="212"/>
      <c r="EO25" s="212"/>
      <c r="EP25" s="212"/>
      <c r="EQ25" s="212"/>
      <c r="ER25" s="212"/>
      <c r="ES25" s="212"/>
      <c r="ET25" s="212"/>
      <c r="EU25" s="212"/>
      <c r="EV25" s="212"/>
      <c r="EW25" s="212"/>
      <c r="EX25" s="212"/>
      <c r="EY25" s="212"/>
      <c r="EZ25" s="212"/>
      <c r="FA25" s="212"/>
      <c r="FB25" s="212"/>
      <c r="FC25" s="212"/>
      <c r="FD25" s="212"/>
      <c r="FE25" s="212"/>
      <c r="FF25" s="212"/>
      <c r="FG25" s="212"/>
      <c r="FH25" s="212"/>
      <c r="FI25" s="212"/>
      <c r="FJ25" s="212"/>
      <c r="FK25" s="212"/>
      <c r="FL25" s="212"/>
      <c r="FM25" s="212"/>
      <c r="FN25" s="212"/>
      <c r="FO25" s="212"/>
      <c r="FP25" s="212"/>
      <c r="FQ25" s="212"/>
      <c r="FR25" s="212"/>
      <c r="FS25" s="212"/>
      <c r="FT25" s="212"/>
      <c r="FU25" s="212"/>
      <c r="FV25" s="212"/>
      <c r="FW25" s="212"/>
      <c r="FX25" s="212"/>
      <c r="FY25" s="212"/>
    </row>
    <row r="26" spans="1:181" ht="11.25" customHeight="1">
      <c r="A26" s="199"/>
      <c r="B26" s="199"/>
      <c r="C26" s="200"/>
      <c r="D26" s="201"/>
      <c r="E26" s="201"/>
      <c r="F26" s="201"/>
      <c r="G26" s="201"/>
      <c r="H26" s="201"/>
      <c r="I26" s="202"/>
      <c r="J26" s="199"/>
      <c r="K26" s="221"/>
      <c r="L26" s="221"/>
      <c r="M26" s="221"/>
      <c r="N26" s="221"/>
      <c r="O26" s="221"/>
      <c r="P26" s="221"/>
      <c r="Q26" s="221"/>
      <c r="R26" s="221"/>
      <c r="S26" s="221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  <c r="FE26" s="183"/>
      <c r="FF26" s="183"/>
      <c r="FG26" s="183"/>
      <c r="FH26" s="183"/>
      <c r="FI26" s="183"/>
      <c r="FJ26" s="183"/>
      <c r="FK26" s="183"/>
      <c r="FL26" s="183"/>
      <c r="FM26" s="183"/>
      <c r="FN26" s="183"/>
      <c r="FO26" s="183"/>
      <c r="FP26" s="183"/>
      <c r="FQ26" s="183"/>
      <c r="FR26" s="183"/>
      <c r="FS26" s="183"/>
      <c r="FT26" s="183"/>
      <c r="FU26" s="183"/>
      <c r="FV26" s="183"/>
      <c r="FW26" s="183"/>
      <c r="FX26" s="183"/>
      <c r="FY26" s="183"/>
    </row>
    <row r="27" spans="1:181" ht="11.25" customHeight="1">
      <c r="A27" s="199" t="s">
        <v>553</v>
      </c>
      <c r="B27" s="217">
        <f>'[2]Summary P&amp;L - GBP FY Apr_Mar'!C26*USD</f>
        <v>12563.4</v>
      </c>
      <c r="C27" s="217">
        <f>'[2]Summary P&amp;L - GBP FY Apr_Mar'!D26*USD</f>
        <v>66934.026180000001</v>
      </c>
      <c r="D27" s="217">
        <f>'[2]Summary P&amp;L - GBP FY Apr_Mar'!E26*USD</f>
        <v>118274.36028000001</v>
      </c>
      <c r="E27" s="217">
        <f>'[2]Summary P&amp;L - GBP FY Apr_Mar'!F26*USD</f>
        <v>942945.98699999996</v>
      </c>
      <c r="F27" s="217">
        <f>'[2]Summary P&amp;L - GBP FY Apr_Mar'!G26*USD</f>
        <v>644442.55539899995</v>
      </c>
      <c r="G27" s="217">
        <f>'[2]Summary P&amp;L - GBP FY Apr_Mar'!H26*USD</f>
        <v>0</v>
      </c>
      <c r="H27" s="217">
        <f>'[2]Summary P&amp;L - GBP FY Apr_Mar'!I26*USD</f>
        <v>0</v>
      </c>
      <c r="I27" s="212"/>
      <c r="J27" s="199" t="s">
        <v>554</v>
      </c>
      <c r="K27" s="217">
        <f>ROUND('[2]Act GG FY21-24 Consolidate FS'!AC13-'[2]Act GG FY21-24 Consolidate FS'!AC32,0)</f>
        <v>14189</v>
      </c>
      <c r="L27" s="217">
        <f>ROUND(('[2]Act GG FY21-24 Consolidate FS'!AD13-'[2]Act GG FY21-24 Consolidate FS'!AD32),0)</f>
        <v>318688</v>
      </c>
      <c r="M27" s="217">
        <f>'[2]Summary P&amp;L - GBP Yr Jul_Jun'!K27*USD</f>
        <v>0</v>
      </c>
      <c r="N27" s="217">
        <f>'[2]Summary P&amp;L - GBP Yr Jul_Jun'!L27*USD</f>
        <v>0</v>
      </c>
      <c r="O27" s="217">
        <f>'[2]Summary P&amp;L - GBP Yr Jul_Jun'!M27*USD</f>
        <v>0</v>
      </c>
      <c r="P27" s="217">
        <f>'[2]Summary P&amp;L - GBP Yr Jul_Jun'!N27*USD</f>
        <v>0</v>
      </c>
      <c r="Q27" s="217">
        <f>'[2]Summary P&amp;L - GBP Yr Jul_Jun'!O27*USD</f>
        <v>0</v>
      </c>
      <c r="R27" s="217">
        <f>'[2]Summary P&amp;L - GBP Yr Jul_Jun'!P27*USD</f>
        <v>0</v>
      </c>
      <c r="S27" s="217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  <c r="FE27" s="183"/>
      <c r="FF27" s="183"/>
      <c r="FG27" s="183"/>
      <c r="FH27" s="183"/>
      <c r="FI27" s="183"/>
      <c r="FJ27" s="183"/>
      <c r="FK27" s="183"/>
      <c r="FL27" s="183"/>
      <c r="FM27" s="183"/>
      <c r="FN27" s="183"/>
      <c r="FO27" s="183"/>
      <c r="FP27" s="183"/>
      <c r="FQ27" s="183"/>
      <c r="FR27" s="183"/>
      <c r="FS27" s="183"/>
      <c r="FT27" s="183"/>
      <c r="FU27" s="183"/>
      <c r="FV27" s="183"/>
      <c r="FW27" s="183"/>
      <c r="FX27" s="183"/>
      <c r="FY27" s="183"/>
    </row>
    <row r="28" spans="1:181" ht="11.25" customHeight="1">
      <c r="A28" s="199"/>
      <c r="B28" s="199"/>
      <c r="C28" s="201"/>
      <c r="D28" s="201"/>
      <c r="E28" s="201"/>
      <c r="F28" s="201"/>
      <c r="G28" s="201"/>
      <c r="H28" s="201"/>
      <c r="I28" s="183"/>
      <c r="J28" s="199"/>
      <c r="K28" s="201"/>
      <c r="L28" s="201"/>
      <c r="M28" s="201"/>
      <c r="N28" s="201"/>
      <c r="O28" s="201"/>
      <c r="P28" s="201"/>
      <c r="Q28" s="201"/>
      <c r="R28" s="201"/>
      <c r="S28" s="201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  <c r="FE28" s="183"/>
      <c r="FF28" s="183"/>
      <c r="FG28" s="183"/>
      <c r="FH28" s="183"/>
      <c r="FI28" s="183"/>
      <c r="FJ28" s="183"/>
      <c r="FK28" s="183"/>
      <c r="FL28" s="183"/>
      <c r="FM28" s="183"/>
      <c r="FN28" s="183"/>
      <c r="FO28" s="183"/>
      <c r="FP28" s="183"/>
      <c r="FQ28" s="183"/>
      <c r="FR28" s="183"/>
      <c r="FS28" s="183"/>
      <c r="FT28" s="183"/>
      <c r="FU28" s="183"/>
      <c r="FV28" s="183"/>
      <c r="FW28" s="183"/>
      <c r="FX28" s="183"/>
      <c r="FY28" s="183"/>
    </row>
    <row r="29" spans="1:181" ht="11.25" customHeight="1" thickBot="1">
      <c r="A29" s="200" t="s">
        <v>555</v>
      </c>
      <c r="B29" s="222">
        <f t="shared" ref="B29:H29" si="9">B9-B25+B27</f>
        <v>-8834.4823728000028</v>
      </c>
      <c r="C29" s="222">
        <f t="shared" si="9"/>
        <v>-190759.29860879999</v>
      </c>
      <c r="D29" s="222">
        <f t="shared" si="9"/>
        <v>-411003.38940960006</v>
      </c>
      <c r="E29" s="222">
        <f t="shared" si="9"/>
        <v>-131543.23288020003</v>
      </c>
      <c r="F29" s="222">
        <f t="shared" si="9"/>
        <v>-766511.32631039992</v>
      </c>
      <c r="G29" s="222">
        <f t="shared" si="9"/>
        <v>0</v>
      </c>
      <c r="H29" s="222">
        <f t="shared" si="9"/>
        <v>0</v>
      </c>
      <c r="I29" s="200" t="s">
        <v>555</v>
      </c>
      <c r="J29" s="200" t="s">
        <v>555</v>
      </c>
      <c r="K29" s="223">
        <f t="shared" ref="K29:Q29" si="10">+K9-K25+K27</f>
        <v>-2435035</v>
      </c>
      <c r="L29" s="223">
        <f>+L9-L25+L27</f>
        <v>-1741530</v>
      </c>
      <c r="M29" s="223">
        <f t="shared" si="10"/>
        <v>-3994632</v>
      </c>
      <c r="N29" s="223">
        <f t="shared" si="10"/>
        <v>-4066925</v>
      </c>
      <c r="O29" s="223">
        <f t="shared" si="10"/>
        <v>12227732.009240001</v>
      </c>
      <c r="P29" s="223">
        <f t="shared" si="10"/>
        <v>50693405</v>
      </c>
      <c r="Q29" s="223">
        <f t="shared" si="10"/>
        <v>104334635</v>
      </c>
      <c r="R29" s="223">
        <f t="shared" ref="R29:T29" si="11">R9-R25+R27</f>
        <v>162022917</v>
      </c>
      <c r="S29" s="223">
        <f t="shared" si="11"/>
        <v>-8061557</v>
      </c>
      <c r="T29" s="223">
        <f t="shared" si="11"/>
        <v>4166175</v>
      </c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  <c r="AW29" s="212"/>
      <c r="AX29" s="212"/>
      <c r="AY29" s="212"/>
      <c r="AZ29" s="212"/>
      <c r="BA29" s="212"/>
      <c r="BB29" s="212"/>
      <c r="BC29" s="212"/>
      <c r="BD29" s="212"/>
      <c r="BE29" s="212"/>
      <c r="BF29" s="212"/>
      <c r="BG29" s="212"/>
      <c r="BH29" s="212"/>
      <c r="BI29" s="212"/>
      <c r="BJ29" s="212"/>
      <c r="BK29" s="212"/>
      <c r="BL29" s="212"/>
      <c r="BM29" s="212"/>
      <c r="BN29" s="212"/>
      <c r="BO29" s="212"/>
      <c r="BP29" s="212"/>
      <c r="BQ29" s="212"/>
      <c r="BR29" s="212"/>
      <c r="BS29" s="212"/>
      <c r="BT29" s="212"/>
      <c r="BU29" s="212"/>
      <c r="BV29" s="212"/>
      <c r="BW29" s="212"/>
      <c r="BX29" s="212"/>
      <c r="BY29" s="212"/>
      <c r="BZ29" s="212"/>
      <c r="CA29" s="212"/>
      <c r="CB29" s="212"/>
      <c r="CC29" s="212"/>
      <c r="CD29" s="212"/>
      <c r="CE29" s="212"/>
      <c r="CF29" s="212"/>
      <c r="CG29" s="212"/>
      <c r="CH29" s="212"/>
      <c r="CI29" s="212"/>
      <c r="CJ29" s="212"/>
      <c r="CK29" s="212"/>
      <c r="CL29" s="212"/>
      <c r="CM29" s="212"/>
      <c r="CN29" s="212"/>
      <c r="CO29" s="212"/>
      <c r="CP29" s="212"/>
      <c r="CQ29" s="212"/>
      <c r="CR29" s="212"/>
      <c r="CS29" s="212"/>
      <c r="CT29" s="212"/>
      <c r="CU29" s="212"/>
      <c r="CV29" s="212"/>
      <c r="CW29" s="212"/>
      <c r="CX29" s="212"/>
      <c r="CY29" s="212"/>
      <c r="CZ29" s="212"/>
      <c r="DA29" s="212"/>
      <c r="DB29" s="212"/>
      <c r="DC29" s="212"/>
      <c r="DD29" s="212"/>
      <c r="DE29" s="212"/>
      <c r="DF29" s="212"/>
      <c r="DG29" s="212"/>
      <c r="DH29" s="212"/>
      <c r="DI29" s="212"/>
      <c r="DJ29" s="212"/>
      <c r="DK29" s="212"/>
      <c r="DL29" s="212"/>
      <c r="DM29" s="212"/>
      <c r="DN29" s="212"/>
      <c r="DO29" s="212"/>
      <c r="DP29" s="212"/>
      <c r="DQ29" s="212"/>
      <c r="DR29" s="212"/>
      <c r="DS29" s="212"/>
      <c r="DT29" s="212"/>
      <c r="DU29" s="212"/>
      <c r="DV29" s="212"/>
      <c r="DW29" s="212"/>
      <c r="DX29" s="212"/>
      <c r="DY29" s="212"/>
      <c r="DZ29" s="212"/>
      <c r="EA29" s="212"/>
      <c r="EB29" s="212"/>
      <c r="EC29" s="212"/>
      <c r="ED29" s="212"/>
      <c r="EE29" s="212"/>
      <c r="EF29" s="212"/>
      <c r="EG29" s="212"/>
      <c r="EH29" s="212"/>
      <c r="EI29" s="212"/>
      <c r="EJ29" s="212"/>
      <c r="EK29" s="212"/>
      <c r="EL29" s="212"/>
      <c r="EM29" s="212"/>
      <c r="EN29" s="212"/>
      <c r="EO29" s="212"/>
      <c r="EP29" s="212"/>
      <c r="EQ29" s="212"/>
      <c r="ER29" s="212"/>
      <c r="ES29" s="212"/>
      <c r="ET29" s="212"/>
      <c r="EU29" s="212"/>
      <c r="EV29" s="212"/>
      <c r="EW29" s="212"/>
      <c r="EX29" s="212"/>
      <c r="EY29" s="212"/>
      <c r="EZ29" s="212"/>
      <c r="FA29" s="212"/>
      <c r="FB29" s="212"/>
      <c r="FC29" s="212"/>
      <c r="FD29" s="212"/>
      <c r="FE29" s="212"/>
      <c r="FF29" s="212"/>
      <c r="FG29" s="212"/>
      <c r="FH29" s="212"/>
      <c r="FI29" s="212"/>
      <c r="FJ29" s="212"/>
      <c r="FK29" s="212"/>
      <c r="FL29" s="212"/>
      <c r="FM29" s="212"/>
      <c r="FN29" s="212"/>
      <c r="FO29" s="212"/>
      <c r="FP29" s="212"/>
      <c r="FQ29" s="212"/>
      <c r="FR29" s="212"/>
      <c r="FS29" s="212"/>
      <c r="FT29" s="212"/>
      <c r="FU29" s="212"/>
      <c r="FV29" s="212"/>
      <c r="FW29" s="212"/>
      <c r="FX29" s="212"/>
      <c r="FY29" s="212"/>
    </row>
    <row r="30" spans="1:181" ht="11.25" customHeight="1" thickTop="1">
      <c r="A30" s="183"/>
      <c r="B30" s="183"/>
      <c r="C30" s="196"/>
      <c r="D30" s="224"/>
      <c r="E30" s="224"/>
      <c r="F30" s="224"/>
      <c r="G30" s="224"/>
      <c r="H30" s="224"/>
      <c r="I30" s="183"/>
      <c r="J30" s="183"/>
      <c r="K30" s="224"/>
      <c r="L30" s="225">
        <f t="shared" ref="L30:T30" si="12">+L29/L6</f>
        <v>-6.2937464764300275</v>
      </c>
      <c r="M30" s="225">
        <f t="shared" si="12"/>
        <v>-1.5442900269879396</v>
      </c>
      <c r="N30" s="225">
        <f t="shared" si="12"/>
        <v>-0.32689225032450703</v>
      </c>
      <c r="O30" s="225">
        <f t="shared" si="12"/>
        <v>0.25463704490523165</v>
      </c>
      <c r="P30" s="225">
        <f t="shared" si="12"/>
        <v>0.43031668127839867</v>
      </c>
      <c r="Q30" s="225">
        <f t="shared" si="12"/>
        <v>0.49756446741957594</v>
      </c>
      <c r="R30" s="225">
        <f t="shared" si="12"/>
        <v>0.50091457464758504</v>
      </c>
      <c r="S30" s="225">
        <f t="shared" si="12"/>
        <v>-0.53643971309345495</v>
      </c>
      <c r="T30" s="226">
        <f t="shared" si="12"/>
        <v>6.6079279433029978E-2</v>
      </c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  <c r="FE30" s="183"/>
      <c r="FF30" s="183"/>
      <c r="FG30" s="183"/>
      <c r="FH30" s="183"/>
      <c r="FI30" s="183"/>
      <c r="FJ30" s="183"/>
      <c r="FK30" s="183"/>
      <c r="FL30" s="183"/>
      <c r="FM30" s="183"/>
      <c r="FN30" s="183"/>
      <c r="FO30" s="183"/>
      <c r="FP30" s="183"/>
      <c r="FQ30" s="183"/>
      <c r="FR30" s="183"/>
      <c r="FS30" s="183"/>
      <c r="FT30" s="183"/>
      <c r="FU30" s="183"/>
      <c r="FV30" s="183"/>
      <c r="FW30" s="183"/>
      <c r="FX30" s="183"/>
      <c r="FY30" s="183"/>
    </row>
    <row r="31" spans="1:181" ht="13.5" customHeight="1">
      <c r="A31" s="227"/>
      <c r="B31" s="228"/>
      <c r="C31" s="228"/>
      <c r="D31" s="229"/>
      <c r="E31" s="229"/>
      <c r="F31" s="229"/>
      <c r="G31" s="229"/>
      <c r="H31" s="229"/>
      <c r="I31" s="227"/>
      <c r="J31" s="230"/>
      <c r="K31" s="189"/>
      <c r="L31" s="189"/>
      <c r="M31" s="189"/>
      <c r="N31" s="189"/>
      <c r="O31" s="189"/>
      <c r="P31" s="189"/>
      <c r="Q31" s="189"/>
      <c r="R31" s="189"/>
      <c r="S31" s="189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  <c r="FE31" s="183"/>
      <c r="FF31" s="183"/>
      <c r="FG31" s="183"/>
      <c r="FH31" s="183"/>
      <c r="FI31" s="183"/>
      <c r="FJ31" s="183"/>
      <c r="FK31" s="183"/>
      <c r="FL31" s="183"/>
      <c r="FM31" s="183"/>
      <c r="FN31" s="183"/>
      <c r="FO31" s="183"/>
      <c r="FP31" s="183"/>
      <c r="FQ31" s="183"/>
      <c r="FR31" s="183"/>
      <c r="FS31" s="183"/>
      <c r="FT31" s="183"/>
      <c r="FU31" s="183"/>
      <c r="FV31" s="183"/>
      <c r="FW31" s="183"/>
      <c r="FX31" s="183"/>
      <c r="FY31" s="183"/>
    </row>
    <row r="32" spans="1:181" ht="11.25" customHeight="1">
      <c r="A32" s="201" t="s">
        <v>556</v>
      </c>
      <c r="B32" s="183"/>
      <c r="C32" s="183"/>
      <c r="D32" s="183"/>
      <c r="E32" s="183"/>
      <c r="F32" s="183"/>
      <c r="G32" s="183"/>
      <c r="H32" s="183"/>
      <c r="I32" s="183"/>
      <c r="J32" s="183"/>
      <c r="K32" s="183"/>
      <c r="L32" s="195"/>
      <c r="M32" s="195"/>
      <c r="N32" s="195"/>
      <c r="O32" s="195"/>
      <c r="P32" s="195"/>
      <c r="Q32" s="195"/>
      <c r="R32" s="195"/>
      <c r="S32" s="268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</row>
    <row r="33" spans="1:181" ht="11.25" customHeight="1">
      <c r="A33" s="217" t="s">
        <v>557</v>
      </c>
      <c r="B33" s="183"/>
      <c r="C33" s="183"/>
      <c r="D33" s="183"/>
      <c r="E33" s="183"/>
      <c r="F33" s="183"/>
      <c r="G33" s="183"/>
      <c r="H33" s="183"/>
      <c r="I33" s="183"/>
      <c r="J33" s="183"/>
      <c r="K33" s="217">
        <v>120153</v>
      </c>
      <c r="L33" s="231"/>
      <c r="M33" s="231"/>
      <c r="N33" s="231"/>
      <c r="O33" s="231"/>
      <c r="P33" s="231"/>
      <c r="Q33" s="231"/>
      <c r="R33" s="231"/>
      <c r="S33" s="231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</row>
    <row r="34" spans="1:181" ht="11.25" customHeight="1">
      <c r="A34" s="217" t="s">
        <v>529</v>
      </c>
      <c r="B34" s="215"/>
      <c r="C34" s="183"/>
      <c r="D34" s="183"/>
      <c r="E34" s="183"/>
      <c r="F34" s="183"/>
      <c r="G34" s="183"/>
      <c r="H34" s="183"/>
      <c r="I34" s="200" t="s">
        <v>555</v>
      </c>
      <c r="J34" s="192" t="s">
        <v>558</v>
      </c>
      <c r="K34" s="232">
        <f>SUM(M6:R6)</f>
        <v>713997885</v>
      </c>
      <c r="L34" s="215"/>
      <c r="M34" s="215"/>
      <c r="N34" s="215"/>
      <c r="O34" s="215"/>
      <c r="P34" s="215"/>
      <c r="Q34" s="215"/>
      <c r="R34" s="215"/>
      <c r="S34" s="215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  <c r="FE34" s="183"/>
      <c r="FF34" s="183"/>
      <c r="FG34" s="183"/>
      <c r="FH34" s="183"/>
      <c r="FI34" s="183"/>
      <c r="FJ34" s="183"/>
      <c r="FK34" s="183"/>
      <c r="FL34" s="183"/>
      <c r="FM34" s="183"/>
      <c r="FN34" s="183"/>
      <c r="FO34" s="183"/>
      <c r="FP34" s="183"/>
      <c r="FQ34" s="183"/>
      <c r="FR34" s="183"/>
      <c r="FS34" s="183"/>
      <c r="FT34" s="183"/>
      <c r="FU34" s="183"/>
      <c r="FV34" s="183"/>
      <c r="FW34" s="183"/>
      <c r="FX34" s="183"/>
      <c r="FY34" s="183"/>
    </row>
    <row r="35" spans="1:181" ht="11.25" customHeight="1">
      <c r="A35" s="217" t="s">
        <v>559</v>
      </c>
      <c r="B35" s="183"/>
      <c r="C35" s="183"/>
      <c r="D35" s="183"/>
      <c r="E35" s="183"/>
      <c r="F35" s="183"/>
      <c r="G35" s="183"/>
      <c r="H35" s="183"/>
      <c r="I35" s="183"/>
      <c r="J35" s="183"/>
      <c r="K35" s="233">
        <f>(K34-K38)/K34</f>
        <v>0.68554427161817155</v>
      </c>
      <c r="L35" s="234"/>
      <c r="M35" s="234"/>
      <c r="N35" s="234"/>
      <c r="O35" s="234"/>
      <c r="P35" s="234"/>
      <c r="Q35" s="234"/>
      <c r="R35" s="234"/>
      <c r="S35" s="234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  <c r="FE35" s="183"/>
      <c r="FF35" s="183"/>
      <c r="FG35" s="183"/>
      <c r="FH35" s="183"/>
      <c r="FI35" s="183"/>
      <c r="FJ35" s="183"/>
      <c r="FK35" s="183"/>
      <c r="FL35" s="183"/>
      <c r="FM35" s="183"/>
      <c r="FN35" s="183"/>
      <c r="FO35" s="183"/>
      <c r="FP35" s="183"/>
      <c r="FQ35" s="183"/>
      <c r="FR35" s="183"/>
      <c r="FS35" s="183"/>
      <c r="FT35" s="183"/>
      <c r="FU35" s="183"/>
      <c r="FV35" s="183"/>
      <c r="FW35" s="183"/>
      <c r="FX35" s="183"/>
      <c r="FY35" s="183"/>
    </row>
    <row r="36" spans="1:181" ht="11.25" customHeight="1">
      <c r="A36" s="183"/>
      <c r="B36" s="183"/>
      <c r="C36" s="183"/>
      <c r="D36" s="183"/>
      <c r="E36" s="183"/>
      <c r="F36" s="183"/>
      <c r="G36" s="183"/>
      <c r="H36" s="183"/>
      <c r="I36" s="183"/>
      <c r="J36" s="183"/>
      <c r="K36" s="183"/>
      <c r="L36" s="234"/>
      <c r="M36" s="234"/>
      <c r="N36" s="234"/>
      <c r="O36" s="234"/>
      <c r="P36" s="234"/>
      <c r="Q36" s="234"/>
      <c r="R36" s="234"/>
      <c r="S36" s="234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  <c r="FE36" s="183"/>
      <c r="FF36" s="183"/>
      <c r="FG36" s="183"/>
      <c r="FH36" s="183"/>
      <c r="FI36" s="183"/>
      <c r="FJ36" s="183"/>
      <c r="FK36" s="183"/>
      <c r="FL36" s="183"/>
      <c r="FM36" s="183"/>
      <c r="FN36" s="183"/>
      <c r="FO36" s="183"/>
      <c r="FP36" s="183"/>
      <c r="FQ36" s="183"/>
      <c r="FR36" s="183"/>
      <c r="FS36" s="183"/>
      <c r="FT36" s="183"/>
      <c r="FU36" s="183"/>
      <c r="FV36" s="183"/>
      <c r="FW36" s="183"/>
      <c r="FX36" s="183"/>
      <c r="FY36" s="183"/>
    </row>
    <row r="37" spans="1:181" ht="11.25" customHeight="1">
      <c r="A37" s="183"/>
      <c r="B37" s="183"/>
      <c r="C37" s="183"/>
      <c r="D37" s="183"/>
      <c r="E37" s="183"/>
      <c r="F37" s="183"/>
      <c r="G37" s="183"/>
      <c r="H37" s="183"/>
      <c r="I37" s="183"/>
      <c r="J37" s="183"/>
      <c r="K37" s="183"/>
      <c r="L37" s="214"/>
      <c r="M37" s="214"/>
      <c r="N37" s="214"/>
      <c r="O37" s="214"/>
      <c r="P37" s="214"/>
      <c r="Q37" s="214"/>
      <c r="R37" s="214"/>
      <c r="S37" s="214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  <c r="FE37" s="183"/>
      <c r="FF37" s="183"/>
      <c r="FG37" s="183"/>
      <c r="FH37" s="183"/>
      <c r="FI37" s="183"/>
      <c r="FJ37" s="183"/>
      <c r="FK37" s="183"/>
      <c r="FL37" s="183"/>
      <c r="FM37" s="183"/>
      <c r="FN37" s="183"/>
      <c r="FO37" s="183"/>
      <c r="FP37" s="183"/>
      <c r="FQ37" s="183"/>
      <c r="FR37" s="183"/>
      <c r="FS37" s="183"/>
      <c r="FT37" s="183"/>
      <c r="FU37" s="183"/>
      <c r="FV37" s="183"/>
      <c r="FW37" s="183"/>
      <c r="FX37" s="183"/>
      <c r="FY37" s="183"/>
    </row>
    <row r="38" spans="1:181" ht="11.25" customHeight="1">
      <c r="A38" s="217" t="s">
        <v>560</v>
      </c>
      <c r="B38" s="183"/>
      <c r="C38" s="183"/>
      <c r="D38" s="183"/>
      <c r="E38" s="183"/>
      <c r="F38" s="183"/>
      <c r="G38" s="183"/>
      <c r="H38" s="183"/>
      <c r="I38" s="183"/>
      <c r="J38" s="183"/>
      <c r="K38" s="232">
        <f>K40-K39</f>
        <v>224520724.99076</v>
      </c>
      <c r="L38" s="234"/>
      <c r="M38" s="234"/>
      <c r="N38" s="234"/>
      <c r="O38" s="234"/>
      <c r="P38" s="234"/>
      <c r="Q38" s="234"/>
      <c r="R38" s="234"/>
      <c r="S38" s="234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  <c r="FE38" s="183"/>
      <c r="FF38" s="183"/>
      <c r="FG38" s="183"/>
      <c r="FH38" s="183"/>
      <c r="FI38" s="183"/>
      <c r="FJ38" s="183"/>
      <c r="FK38" s="183"/>
      <c r="FL38" s="183"/>
      <c r="FM38" s="183"/>
      <c r="FN38" s="183"/>
      <c r="FO38" s="183"/>
      <c r="FP38" s="183"/>
      <c r="FQ38" s="183"/>
      <c r="FR38" s="183"/>
      <c r="FS38" s="183"/>
      <c r="FT38" s="183"/>
      <c r="FU38" s="183"/>
      <c r="FV38" s="183"/>
      <c r="FW38" s="183"/>
      <c r="FX38" s="183"/>
      <c r="FY38" s="183"/>
    </row>
    <row r="39" spans="1:181" ht="11.25" customHeight="1">
      <c r="A39" s="217" t="s">
        <v>561</v>
      </c>
      <c r="B39" s="183"/>
      <c r="C39" s="183"/>
      <c r="D39" s="183"/>
      <c r="E39" s="183"/>
      <c r="F39" s="183"/>
      <c r="G39" s="183"/>
      <c r="H39" s="183"/>
      <c r="I39" s="183"/>
      <c r="J39" s="183"/>
      <c r="K39" s="232">
        <v>24727095</v>
      </c>
      <c r="L39" s="214"/>
      <c r="M39" s="214"/>
      <c r="N39" s="214"/>
      <c r="O39" s="214"/>
      <c r="P39" s="214"/>
      <c r="Q39" s="214"/>
      <c r="R39" s="214"/>
      <c r="S39" s="214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  <c r="FE39" s="183"/>
      <c r="FF39" s="183"/>
      <c r="FG39" s="183"/>
      <c r="FH39" s="183"/>
      <c r="FI39" s="183"/>
      <c r="FJ39" s="183"/>
      <c r="FK39" s="183"/>
      <c r="FL39" s="183"/>
      <c r="FM39" s="183"/>
      <c r="FN39" s="183"/>
      <c r="FO39" s="183"/>
      <c r="FP39" s="183"/>
      <c r="FQ39" s="183"/>
      <c r="FR39" s="183"/>
      <c r="FS39" s="183"/>
      <c r="FT39" s="183"/>
      <c r="FU39" s="183"/>
      <c r="FV39" s="183"/>
      <c r="FW39" s="183"/>
      <c r="FX39" s="183"/>
      <c r="FY39" s="183"/>
    </row>
    <row r="40" spans="1:181" ht="11.25" customHeight="1">
      <c r="A40" s="217" t="s">
        <v>562</v>
      </c>
      <c r="B40" s="183"/>
      <c r="C40" s="183"/>
      <c r="D40" s="183"/>
      <c r="E40" s="183"/>
      <c r="F40" s="183"/>
      <c r="G40" s="183"/>
      <c r="H40" s="183"/>
      <c r="I40" s="183"/>
      <c r="J40" s="183"/>
      <c r="K40" s="232">
        <f>SUM(M25:R25)</f>
        <v>249247819.99076</v>
      </c>
      <c r="L40" s="215"/>
      <c r="M40" s="215"/>
      <c r="N40" s="215"/>
      <c r="O40" s="215"/>
      <c r="P40" s="215"/>
      <c r="Q40" s="215"/>
      <c r="R40" s="215"/>
      <c r="S40" s="215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  <c r="FE40" s="183"/>
      <c r="FF40" s="183"/>
      <c r="FG40" s="183"/>
      <c r="FH40" s="183"/>
      <c r="FI40" s="183"/>
      <c r="FJ40" s="183"/>
      <c r="FK40" s="183"/>
      <c r="FL40" s="183"/>
      <c r="FM40" s="183"/>
      <c r="FN40" s="183"/>
      <c r="FO40" s="183"/>
      <c r="FP40" s="183"/>
      <c r="FQ40" s="183"/>
      <c r="FR40" s="183"/>
      <c r="FS40" s="183"/>
      <c r="FT40" s="183"/>
      <c r="FU40" s="183"/>
      <c r="FV40" s="183"/>
      <c r="FW40" s="183"/>
      <c r="FX40" s="183"/>
      <c r="FY40" s="183"/>
    </row>
    <row r="41" spans="1:181" ht="11.25" customHeight="1">
      <c r="A41" s="183"/>
      <c r="B41" s="183"/>
      <c r="C41" s="183"/>
      <c r="D41" s="183"/>
      <c r="E41" s="183"/>
      <c r="F41" s="183"/>
      <c r="G41" s="183"/>
      <c r="H41" s="183"/>
      <c r="I41" s="183"/>
      <c r="J41" s="183"/>
      <c r="K41" s="234"/>
      <c r="L41" s="234"/>
      <c r="M41" s="234"/>
      <c r="N41" s="234"/>
      <c r="O41" s="234"/>
      <c r="P41" s="234"/>
      <c r="Q41" s="234"/>
      <c r="R41" s="234"/>
      <c r="S41" s="234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  <c r="FE41" s="183"/>
      <c r="FF41" s="183"/>
      <c r="FG41" s="183"/>
      <c r="FH41" s="183"/>
      <c r="FI41" s="183"/>
      <c r="FJ41" s="183"/>
      <c r="FK41" s="183"/>
      <c r="FL41" s="183"/>
      <c r="FM41" s="183"/>
      <c r="FN41" s="183"/>
      <c r="FO41" s="183"/>
      <c r="FP41" s="183"/>
      <c r="FQ41" s="183"/>
      <c r="FR41" s="183"/>
      <c r="FS41" s="183"/>
      <c r="FT41" s="183"/>
      <c r="FU41" s="183"/>
      <c r="FV41" s="183"/>
      <c r="FW41" s="183"/>
      <c r="FX41" s="183"/>
      <c r="FY41" s="183"/>
    </row>
    <row r="42" spans="1:181" ht="11.25" customHeight="1">
      <c r="A42" s="183"/>
      <c r="B42" s="183"/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3"/>
      <c r="FG42" s="183"/>
      <c r="FH42" s="183"/>
      <c r="FI42" s="183"/>
      <c r="FJ42" s="183"/>
      <c r="FK42" s="183"/>
      <c r="FL42" s="183"/>
      <c r="FM42" s="183"/>
      <c r="FN42" s="183"/>
      <c r="FO42" s="183"/>
      <c r="FP42" s="183"/>
      <c r="FQ42" s="183"/>
      <c r="FR42" s="183"/>
      <c r="FS42" s="183"/>
      <c r="FT42" s="183"/>
      <c r="FU42" s="183"/>
      <c r="FV42" s="183"/>
      <c r="FW42" s="183"/>
      <c r="FX42" s="183"/>
      <c r="FY42" s="183"/>
    </row>
    <row r="43" spans="1:181" ht="11.25" customHeight="1">
      <c r="A43" s="183"/>
      <c r="B43" s="183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215"/>
      <c r="N43" s="215"/>
      <c r="O43" s="215"/>
      <c r="P43" s="215"/>
      <c r="Q43" s="215"/>
      <c r="R43" s="215"/>
      <c r="S43" s="215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  <c r="FE43" s="183"/>
      <c r="FF43" s="183"/>
      <c r="FG43" s="183"/>
      <c r="FH43" s="183"/>
      <c r="FI43" s="183"/>
      <c r="FJ43" s="183"/>
      <c r="FK43" s="183"/>
      <c r="FL43" s="183"/>
      <c r="FM43" s="183"/>
      <c r="FN43" s="183"/>
      <c r="FO43" s="183"/>
      <c r="FP43" s="183"/>
      <c r="FQ43" s="183"/>
      <c r="FR43" s="183"/>
      <c r="FS43" s="183"/>
      <c r="FT43" s="183"/>
      <c r="FU43" s="183"/>
      <c r="FV43" s="183"/>
      <c r="FW43" s="183"/>
      <c r="FX43" s="183"/>
      <c r="FY43" s="183"/>
    </row>
    <row r="44" spans="1:181" ht="11.25" customHeight="1">
      <c r="A44" s="183"/>
      <c r="B44" s="183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235"/>
      <c r="N44" s="235"/>
      <c r="O44" s="214"/>
      <c r="P44" s="214"/>
      <c r="Q44" s="214"/>
      <c r="R44" s="214"/>
      <c r="S44" s="214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  <c r="FE44" s="183"/>
      <c r="FF44" s="183"/>
      <c r="FG44" s="183"/>
      <c r="FH44" s="183"/>
      <c r="FI44" s="183"/>
      <c r="FJ44" s="183"/>
      <c r="FK44" s="183"/>
      <c r="FL44" s="183"/>
      <c r="FM44" s="183"/>
      <c r="FN44" s="183"/>
      <c r="FO44" s="183"/>
      <c r="FP44" s="183"/>
      <c r="FQ44" s="183"/>
      <c r="FR44" s="183"/>
      <c r="FS44" s="183"/>
      <c r="FT44" s="183"/>
      <c r="FU44" s="183"/>
      <c r="FV44" s="183"/>
      <c r="FW44" s="183"/>
      <c r="FX44" s="183"/>
      <c r="FY44" s="183"/>
    </row>
    <row r="45" spans="1:181" ht="11.25" customHeight="1">
      <c r="A45" s="183"/>
      <c r="B45" s="183"/>
      <c r="C45" s="183"/>
      <c r="D45" s="183"/>
      <c r="E45" s="183"/>
      <c r="F45" s="183"/>
      <c r="G45" s="183"/>
      <c r="H45" s="183"/>
      <c r="I45" s="183"/>
      <c r="J45" s="183"/>
      <c r="K45" s="183"/>
      <c r="L45" s="236"/>
      <c r="M45" s="215"/>
      <c r="N45" s="215"/>
      <c r="O45" s="215"/>
      <c r="P45" s="215"/>
      <c r="Q45" s="215"/>
      <c r="R45" s="215"/>
      <c r="S45" s="215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</row>
    <row r="46" spans="1:181" ht="11.25" customHeight="1">
      <c r="A46" s="183"/>
      <c r="B46" s="183"/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</row>
    <row r="47" spans="1:181" ht="11.25" customHeight="1">
      <c r="A47" s="183"/>
      <c r="B47" s="183"/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  <c r="FE47" s="183"/>
      <c r="FF47" s="183"/>
      <c r="FG47" s="183"/>
      <c r="FH47" s="183"/>
      <c r="FI47" s="183"/>
      <c r="FJ47" s="183"/>
      <c r="FK47" s="183"/>
      <c r="FL47" s="183"/>
      <c r="FM47" s="183"/>
      <c r="FN47" s="183"/>
      <c r="FO47" s="183"/>
      <c r="FP47" s="183"/>
      <c r="FQ47" s="183"/>
      <c r="FR47" s="183"/>
      <c r="FS47" s="183"/>
      <c r="FT47" s="183"/>
      <c r="FU47" s="183"/>
      <c r="FV47" s="183"/>
      <c r="FW47" s="183"/>
      <c r="FX47" s="183"/>
      <c r="FY47" s="183"/>
    </row>
    <row r="48" spans="1:181" ht="11.25" customHeight="1">
      <c r="A48" s="183"/>
      <c r="B48" s="183"/>
      <c r="C48" s="183"/>
      <c r="D48" s="183"/>
      <c r="E48" s="183"/>
      <c r="F48" s="183"/>
      <c r="G48" s="183"/>
      <c r="H48" s="183"/>
      <c r="I48" s="183"/>
      <c r="J48" s="227" t="s">
        <v>563</v>
      </c>
      <c r="K48" s="237"/>
      <c r="L48" s="183"/>
      <c r="M48" s="183"/>
      <c r="N48" s="215"/>
      <c r="O48" s="215"/>
      <c r="P48" s="215"/>
      <c r="Q48" s="215"/>
      <c r="R48" s="215"/>
      <c r="S48" s="215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  <c r="FE48" s="183"/>
      <c r="FF48" s="183"/>
      <c r="FG48" s="183"/>
      <c r="FH48" s="183"/>
      <c r="FI48" s="183"/>
      <c r="FJ48" s="183"/>
      <c r="FK48" s="183"/>
      <c r="FL48" s="183"/>
      <c r="FM48" s="183"/>
      <c r="FN48" s="183"/>
      <c r="FO48" s="183"/>
      <c r="FP48" s="183"/>
      <c r="FQ48" s="183"/>
      <c r="FR48" s="183"/>
      <c r="FS48" s="183"/>
      <c r="FT48" s="183"/>
      <c r="FU48" s="183"/>
      <c r="FV48" s="183"/>
      <c r="FW48" s="183"/>
      <c r="FX48" s="183"/>
      <c r="FY48" s="183"/>
    </row>
    <row r="49" spans="1:181" ht="11.25" customHeight="1">
      <c r="A49" s="183"/>
      <c r="B49" s="183"/>
      <c r="C49" s="183"/>
      <c r="D49" s="183"/>
      <c r="E49" s="183"/>
      <c r="F49" s="183"/>
      <c r="G49" s="183"/>
      <c r="H49" s="183"/>
      <c r="I49" s="183"/>
      <c r="J49" s="227" t="s">
        <v>564</v>
      </c>
      <c r="K49" s="227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  <c r="FE49" s="183"/>
      <c r="FF49" s="183"/>
      <c r="FG49" s="183"/>
      <c r="FH49" s="183"/>
      <c r="FI49" s="183"/>
      <c r="FJ49" s="183"/>
      <c r="FK49" s="183"/>
      <c r="FL49" s="183"/>
      <c r="FM49" s="183"/>
      <c r="FN49" s="183"/>
      <c r="FO49" s="183"/>
      <c r="FP49" s="183"/>
      <c r="FQ49" s="183"/>
      <c r="FR49" s="183"/>
      <c r="FS49" s="183"/>
      <c r="FT49" s="183"/>
      <c r="FU49" s="183"/>
      <c r="FV49" s="183"/>
      <c r="FW49" s="183"/>
      <c r="FX49" s="183"/>
      <c r="FY49" s="183"/>
    </row>
    <row r="50" spans="1:181" ht="11.25" customHeight="1">
      <c r="A50" s="183"/>
      <c r="B50" s="183"/>
      <c r="C50" s="183"/>
      <c r="D50" s="183"/>
      <c r="E50" s="183"/>
      <c r="F50" s="183"/>
      <c r="G50" s="183"/>
      <c r="H50" s="183"/>
      <c r="I50" s="183"/>
      <c r="J50" s="227" t="s">
        <v>565</v>
      </c>
      <c r="K50" s="227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  <c r="FE50" s="183"/>
      <c r="FF50" s="183"/>
      <c r="FG50" s="183"/>
      <c r="FH50" s="183"/>
      <c r="FI50" s="183"/>
      <c r="FJ50" s="183"/>
      <c r="FK50" s="183"/>
      <c r="FL50" s="183"/>
      <c r="FM50" s="183"/>
      <c r="FN50" s="183"/>
      <c r="FO50" s="183"/>
      <c r="FP50" s="183"/>
      <c r="FQ50" s="183"/>
      <c r="FR50" s="183"/>
      <c r="FS50" s="183"/>
      <c r="FT50" s="183"/>
      <c r="FU50" s="183"/>
      <c r="FV50" s="183"/>
      <c r="FW50" s="183"/>
      <c r="FX50" s="183"/>
      <c r="FY50" s="183"/>
    </row>
    <row r="51" spans="1:181" ht="11.25" customHeight="1">
      <c r="A51" s="183"/>
      <c r="B51" s="183"/>
      <c r="C51" s="183"/>
      <c r="D51" s="183"/>
      <c r="E51" s="183"/>
      <c r="F51" s="183"/>
      <c r="G51" s="183"/>
      <c r="H51" s="183"/>
      <c r="I51" s="183"/>
      <c r="J51" s="227" t="s">
        <v>566</v>
      </c>
      <c r="K51" s="227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3"/>
      <c r="FY51" s="183"/>
    </row>
    <row r="52" spans="1:181" ht="11.25" customHeight="1">
      <c r="A52" s="183"/>
      <c r="B52" s="183"/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  <c r="FE52" s="183"/>
      <c r="FF52" s="183"/>
      <c r="FG52" s="183"/>
      <c r="FH52" s="183"/>
      <c r="FI52" s="183"/>
      <c r="FJ52" s="183"/>
      <c r="FK52" s="183"/>
      <c r="FL52" s="183"/>
      <c r="FM52" s="183"/>
      <c r="FN52" s="183"/>
      <c r="FO52" s="183"/>
      <c r="FP52" s="183"/>
      <c r="FQ52" s="183"/>
      <c r="FR52" s="183"/>
      <c r="FS52" s="183"/>
      <c r="FT52" s="183"/>
      <c r="FU52" s="183"/>
      <c r="FV52" s="183"/>
      <c r="FW52" s="183"/>
      <c r="FX52" s="183"/>
      <c r="FY52" s="183"/>
    </row>
    <row r="53" spans="1:181" ht="11.25" hidden="1" customHeight="1">
      <c r="A53" s="183"/>
      <c r="B53" s="183"/>
      <c r="C53" s="183"/>
      <c r="D53" s="183"/>
      <c r="E53" s="183"/>
      <c r="F53" s="183"/>
      <c r="G53" s="183"/>
      <c r="H53" s="183"/>
      <c r="I53" s="214">
        <v>0.06</v>
      </c>
      <c r="J53" s="183"/>
      <c r="K53" s="183"/>
      <c r="L53" s="183"/>
      <c r="M53" s="183"/>
      <c r="N53" s="234">
        <f t="shared" ref="N53:R53" si="13">+$I$53*N35</f>
        <v>0</v>
      </c>
      <c r="O53" s="234">
        <f t="shared" si="13"/>
        <v>0</v>
      </c>
      <c r="P53" s="234">
        <f t="shared" si="13"/>
        <v>0</v>
      </c>
      <c r="Q53" s="234">
        <f t="shared" si="13"/>
        <v>0</v>
      </c>
      <c r="R53" s="234">
        <f t="shared" si="13"/>
        <v>0</v>
      </c>
      <c r="S53" s="234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  <c r="FE53" s="183"/>
      <c r="FF53" s="183"/>
      <c r="FG53" s="183"/>
      <c r="FH53" s="183"/>
      <c r="FI53" s="183"/>
      <c r="FJ53" s="183"/>
      <c r="FK53" s="183"/>
      <c r="FL53" s="183"/>
      <c r="FM53" s="183"/>
      <c r="FN53" s="183"/>
      <c r="FO53" s="183"/>
      <c r="FP53" s="183"/>
      <c r="FQ53" s="183"/>
      <c r="FR53" s="183"/>
      <c r="FS53" s="183"/>
      <c r="FT53" s="183"/>
      <c r="FU53" s="183"/>
      <c r="FV53" s="183"/>
      <c r="FW53" s="183"/>
      <c r="FX53" s="183"/>
      <c r="FY53" s="183"/>
    </row>
    <row r="54" spans="1:181" ht="11.25" hidden="1" customHeight="1">
      <c r="A54" s="183"/>
      <c r="B54" s="183"/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</row>
    <row r="55" spans="1:181" ht="11.25" hidden="1" customHeight="1">
      <c r="A55" s="183"/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3"/>
      <c r="FG55" s="183"/>
      <c r="FH55" s="183"/>
      <c r="FI55" s="183"/>
      <c r="FJ55" s="183"/>
      <c r="FK55" s="183"/>
      <c r="FL55" s="183"/>
      <c r="FM55" s="183"/>
      <c r="FN55" s="183"/>
      <c r="FO55" s="183"/>
      <c r="FP55" s="183"/>
      <c r="FQ55" s="183"/>
      <c r="FR55" s="183"/>
      <c r="FS55" s="183"/>
      <c r="FT55" s="183"/>
      <c r="FU55" s="183"/>
      <c r="FV55" s="183"/>
      <c r="FW55" s="183"/>
      <c r="FX55" s="183"/>
      <c r="FY55" s="183"/>
    </row>
    <row r="56" spans="1:181" ht="11.25" hidden="1" customHeight="1">
      <c r="A56" s="183"/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92" t="s">
        <v>567</v>
      </c>
      <c r="O56" s="238"/>
      <c r="P56" s="238"/>
      <c r="Q56" s="238"/>
      <c r="R56" s="238"/>
      <c r="S56" s="238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  <c r="FE56" s="183"/>
      <c r="FF56" s="183"/>
      <c r="FG56" s="183"/>
      <c r="FH56" s="183"/>
      <c r="FI56" s="183"/>
      <c r="FJ56" s="183"/>
      <c r="FK56" s="183"/>
      <c r="FL56" s="183"/>
      <c r="FM56" s="183"/>
      <c r="FN56" s="183"/>
      <c r="FO56" s="183"/>
      <c r="FP56" s="183"/>
      <c r="FQ56" s="183"/>
      <c r="FR56" s="183"/>
      <c r="FS56" s="183"/>
      <c r="FT56" s="183"/>
      <c r="FU56" s="183"/>
      <c r="FV56" s="183"/>
      <c r="FW56" s="183"/>
      <c r="FX56" s="183"/>
      <c r="FY56" s="183"/>
    </row>
    <row r="57" spans="1:181" ht="11.25" hidden="1" customHeight="1">
      <c r="A57" s="183"/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239" t="s">
        <v>568</v>
      </c>
      <c r="O57" s="240" t="s">
        <v>569</v>
      </c>
      <c r="P57" s="240" t="s">
        <v>570</v>
      </c>
      <c r="Q57" s="241" t="s">
        <v>571</v>
      </c>
      <c r="R57" s="242"/>
      <c r="S57" s="24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3"/>
      <c r="FK57" s="183"/>
      <c r="FL57" s="183"/>
      <c r="FM57" s="183"/>
      <c r="FN57" s="183"/>
      <c r="FO57" s="183"/>
      <c r="FP57" s="183"/>
      <c r="FQ57" s="183"/>
      <c r="FR57" s="183"/>
      <c r="FS57" s="183"/>
      <c r="FT57" s="183"/>
      <c r="FU57" s="183"/>
      <c r="FV57" s="183"/>
      <c r="FW57" s="183"/>
      <c r="FX57" s="183"/>
      <c r="FY57" s="183"/>
    </row>
    <row r="58" spans="1:181" ht="11.25" hidden="1" customHeight="1">
      <c r="A58" s="183"/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215">
        <v>1364182689</v>
      </c>
      <c r="O58" s="215">
        <v>14463226</v>
      </c>
      <c r="P58" s="215">
        <v>2192539</v>
      </c>
      <c r="Q58" s="215">
        <v>16655765</v>
      </c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  <c r="FE58" s="183"/>
      <c r="FF58" s="183"/>
      <c r="FG58" s="183"/>
      <c r="FH58" s="183"/>
      <c r="FI58" s="183"/>
      <c r="FJ58" s="183"/>
      <c r="FK58" s="183"/>
      <c r="FL58" s="183"/>
      <c r="FM58" s="183"/>
      <c r="FN58" s="183"/>
      <c r="FO58" s="183"/>
      <c r="FP58" s="183"/>
      <c r="FQ58" s="183"/>
      <c r="FR58" s="183"/>
      <c r="FS58" s="183"/>
      <c r="FT58" s="183"/>
      <c r="FU58" s="183"/>
      <c r="FV58" s="183"/>
      <c r="FW58" s="183"/>
      <c r="FX58" s="183"/>
      <c r="FY58" s="183"/>
    </row>
    <row r="59" spans="1:181" ht="11.25" hidden="1" customHeight="1">
      <c r="A59" s="183"/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  <c r="FE59" s="183"/>
      <c r="FF59" s="183"/>
      <c r="FG59" s="183"/>
      <c r="FH59" s="183"/>
      <c r="FI59" s="183"/>
      <c r="FJ59" s="183"/>
      <c r="FK59" s="183"/>
      <c r="FL59" s="183"/>
      <c r="FM59" s="183"/>
      <c r="FN59" s="183"/>
      <c r="FO59" s="183"/>
      <c r="FP59" s="183"/>
      <c r="FQ59" s="183"/>
      <c r="FR59" s="183"/>
      <c r="FS59" s="183"/>
      <c r="FT59" s="183"/>
      <c r="FU59" s="183"/>
      <c r="FV59" s="183"/>
      <c r="FW59" s="183"/>
      <c r="FX59" s="183"/>
      <c r="FY59" s="183"/>
    </row>
    <row r="60" spans="1:181" ht="11.25" hidden="1" customHeight="1">
      <c r="A60" s="183"/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243"/>
      <c r="N60" s="244" t="s">
        <v>112</v>
      </c>
      <c r="O60" s="243" t="s">
        <v>572</v>
      </c>
      <c r="P60" s="243" t="s">
        <v>573</v>
      </c>
      <c r="Q60" s="243"/>
      <c r="R60" s="243"/>
      <c r="S60" s="24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  <c r="FE60" s="183"/>
      <c r="FF60" s="183"/>
      <c r="FG60" s="183"/>
      <c r="FH60" s="183"/>
      <c r="FI60" s="183"/>
      <c r="FJ60" s="183"/>
      <c r="FK60" s="183"/>
      <c r="FL60" s="183"/>
      <c r="FM60" s="183"/>
      <c r="FN60" s="183"/>
      <c r="FO60" s="183"/>
      <c r="FP60" s="183"/>
      <c r="FQ60" s="183"/>
      <c r="FR60" s="183"/>
      <c r="FS60" s="183"/>
      <c r="FT60" s="183"/>
      <c r="FU60" s="183"/>
      <c r="FV60" s="183"/>
      <c r="FW60" s="183"/>
      <c r="FX60" s="183"/>
      <c r="FY60" s="183"/>
    </row>
    <row r="61" spans="1:181" ht="11.25" hidden="1" customHeight="1">
      <c r="A61" s="183"/>
      <c r="B61" s="183"/>
      <c r="C61" s="183"/>
      <c r="D61" s="183"/>
      <c r="E61" s="183"/>
      <c r="F61" s="183"/>
      <c r="G61" s="183"/>
      <c r="H61" s="183"/>
      <c r="I61" s="183"/>
      <c r="J61" s="245"/>
      <c r="K61" s="183"/>
      <c r="L61" s="246" t="s">
        <v>521</v>
      </c>
      <c r="M61" s="247" t="s">
        <v>522</v>
      </c>
      <c r="N61" s="248" t="s">
        <v>574</v>
      </c>
      <c r="O61" s="247" t="s">
        <v>575</v>
      </c>
      <c r="P61" s="247" t="s">
        <v>576</v>
      </c>
      <c r="Q61" s="247" t="s">
        <v>577</v>
      </c>
      <c r="R61" s="247" t="s">
        <v>578</v>
      </c>
      <c r="S61" s="247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  <c r="FE61" s="183"/>
      <c r="FF61" s="183"/>
      <c r="FG61" s="183"/>
      <c r="FH61" s="183"/>
      <c r="FI61" s="183"/>
      <c r="FJ61" s="183"/>
      <c r="FK61" s="183"/>
      <c r="FL61" s="183"/>
      <c r="FM61" s="183"/>
      <c r="FN61" s="183"/>
      <c r="FO61" s="183"/>
      <c r="FP61" s="183"/>
      <c r="FQ61" s="183"/>
      <c r="FR61" s="183"/>
      <c r="FS61" s="183"/>
      <c r="FT61" s="183"/>
      <c r="FU61" s="183"/>
      <c r="FV61" s="183"/>
      <c r="FW61" s="183"/>
      <c r="FX61" s="183"/>
      <c r="FY61" s="183"/>
    </row>
    <row r="62" spans="1:181" ht="11.25" hidden="1" customHeight="1">
      <c r="A62" s="183"/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249"/>
      <c r="M62" s="249"/>
      <c r="N62" s="250" t="e">
        <f t="shared" ref="N62:R62" si="14">+N63/$A$111</f>
        <v>#VALUE!</v>
      </c>
      <c r="O62" s="250" t="e">
        <f t="shared" si="14"/>
        <v>#VALUE!</v>
      </c>
      <c r="P62" s="250" t="e">
        <f t="shared" si="14"/>
        <v>#VALUE!</v>
      </c>
      <c r="Q62" s="250" t="e">
        <f t="shared" si="14"/>
        <v>#VALUE!</v>
      </c>
      <c r="R62" s="250" t="e">
        <f t="shared" si="14"/>
        <v>#VALUE!</v>
      </c>
      <c r="S62" s="250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  <c r="FE62" s="183"/>
      <c r="FF62" s="183"/>
      <c r="FG62" s="183"/>
      <c r="FH62" s="183"/>
      <c r="FI62" s="183"/>
      <c r="FJ62" s="183"/>
      <c r="FK62" s="183"/>
      <c r="FL62" s="183"/>
      <c r="FM62" s="183"/>
      <c r="FN62" s="183"/>
      <c r="FO62" s="183"/>
      <c r="FP62" s="183"/>
      <c r="FQ62" s="183"/>
      <c r="FR62" s="183"/>
      <c r="FS62" s="183"/>
      <c r="FT62" s="183"/>
      <c r="FU62" s="183"/>
      <c r="FV62" s="183"/>
      <c r="FW62" s="183"/>
      <c r="FX62" s="183"/>
      <c r="FY62" s="183"/>
    </row>
    <row r="63" spans="1:181" ht="11.25" hidden="1" customHeight="1">
      <c r="A63" s="183"/>
      <c r="B63" s="183"/>
      <c r="C63" s="183"/>
      <c r="D63" s="183"/>
      <c r="E63" s="183"/>
      <c r="F63" s="183"/>
      <c r="G63" s="183"/>
      <c r="H63" s="183"/>
      <c r="I63" s="183"/>
      <c r="J63" s="251" t="s">
        <v>579</v>
      </c>
      <c r="K63" s="183"/>
      <c r="L63" s="252">
        <f t="shared" ref="L63:R63" si="15">+L46</f>
        <v>0</v>
      </c>
      <c r="M63" s="253">
        <f t="shared" si="15"/>
        <v>0</v>
      </c>
      <c r="N63" s="253">
        <f t="shared" si="15"/>
        <v>0</v>
      </c>
      <c r="O63" s="253">
        <f t="shared" si="15"/>
        <v>0</v>
      </c>
      <c r="P63" s="253">
        <f t="shared" si="15"/>
        <v>0</v>
      </c>
      <c r="Q63" s="253">
        <f t="shared" si="15"/>
        <v>0</v>
      </c>
      <c r="R63" s="253">
        <f t="shared" si="15"/>
        <v>0</v>
      </c>
      <c r="S63" s="25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  <c r="FE63" s="183"/>
      <c r="FF63" s="183"/>
      <c r="FG63" s="183"/>
      <c r="FH63" s="183"/>
      <c r="FI63" s="183"/>
      <c r="FJ63" s="183"/>
      <c r="FK63" s="183"/>
      <c r="FL63" s="183"/>
      <c r="FM63" s="183"/>
      <c r="FN63" s="183"/>
      <c r="FO63" s="183"/>
      <c r="FP63" s="183"/>
      <c r="FQ63" s="183"/>
      <c r="FR63" s="183"/>
      <c r="FS63" s="183"/>
      <c r="FT63" s="183"/>
      <c r="FU63" s="183"/>
      <c r="FV63" s="183"/>
      <c r="FW63" s="183"/>
      <c r="FX63" s="183"/>
      <c r="FY63" s="183"/>
    </row>
    <row r="64" spans="1:181" ht="11.25" hidden="1" customHeight="1">
      <c r="A64" s="183"/>
      <c r="B64" s="183"/>
      <c r="C64" s="183"/>
      <c r="D64" s="183"/>
      <c r="E64" s="183"/>
      <c r="F64" s="183"/>
      <c r="G64" s="183"/>
      <c r="H64" s="183"/>
      <c r="I64" s="183"/>
      <c r="J64" s="254" t="s">
        <v>580</v>
      </c>
      <c r="K64" s="196"/>
      <c r="L64" s="255">
        <f t="shared" ref="L64:R65" si="16">+L47*USD</f>
        <v>0</v>
      </c>
      <c r="M64" s="255">
        <f t="shared" si="16"/>
        <v>0</v>
      </c>
      <c r="N64" s="255">
        <f t="shared" si="16"/>
        <v>0</v>
      </c>
      <c r="O64" s="255">
        <f t="shared" si="16"/>
        <v>0</v>
      </c>
      <c r="P64" s="255">
        <f t="shared" si="16"/>
        <v>0</v>
      </c>
      <c r="Q64" s="255">
        <f t="shared" si="16"/>
        <v>0</v>
      </c>
      <c r="R64" s="255">
        <f t="shared" si="16"/>
        <v>0</v>
      </c>
      <c r="S64" s="255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</row>
    <row r="65" spans="1:181" ht="11.25" hidden="1" customHeight="1">
      <c r="A65" s="183"/>
      <c r="B65" s="183"/>
      <c r="C65" s="183"/>
      <c r="D65" s="183"/>
      <c r="E65" s="183"/>
      <c r="F65" s="183"/>
      <c r="G65" s="183"/>
      <c r="H65" s="183"/>
      <c r="I65" s="183"/>
      <c r="J65" s="256"/>
      <c r="K65" s="183"/>
      <c r="L65" s="234">
        <f t="shared" si="16"/>
        <v>0</v>
      </c>
      <c r="M65" s="234">
        <f t="shared" si="16"/>
        <v>0</v>
      </c>
      <c r="N65" s="234">
        <f t="shared" si="16"/>
        <v>0</v>
      </c>
      <c r="O65" s="234">
        <f t="shared" si="16"/>
        <v>0</v>
      </c>
      <c r="P65" s="234">
        <f t="shared" si="16"/>
        <v>0</v>
      </c>
      <c r="Q65" s="234">
        <f t="shared" si="16"/>
        <v>0</v>
      </c>
      <c r="R65" s="234">
        <f t="shared" si="16"/>
        <v>0</v>
      </c>
      <c r="S65" s="234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  <c r="FE65" s="183"/>
      <c r="FF65" s="183"/>
      <c r="FG65" s="183"/>
      <c r="FH65" s="183"/>
      <c r="FI65" s="183"/>
      <c r="FJ65" s="183"/>
      <c r="FK65" s="183"/>
      <c r="FL65" s="183"/>
      <c r="FM65" s="183"/>
      <c r="FN65" s="183"/>
      <c r="FO65" s="183"/>
      <c r="FP65" s="183"/>
      <c r="FQ65" s="183"/>
      <c r="FR65" s="183"/>
      <c r="FS65" s="183"/>
      <c r="FT65" s="183"/>
      <c r="FU65" s="183"/>
      <c r="FV65" s="183"/>
      <c r="FW65" s="183"/>
      <c r="FX65" s="183"/>
      <c r="FY65" s="183"/>
    </row>
    <row r="66" spans="1:181" ht="11.25" hidden="1" customHeight="1">
      <c r="A66" s="183"/>
      <c r="B66" s="183"/>
      <c r="C66" s="183"/>
      <c r="D66" s="183"/>
      <c r="E66" s="183"/>
      <c r="F66" s="183"/>
      <c r="G66" s="183"/>
      <c r="H66" s="183"/>
      <c r="I66" s="183"/>
      <c r="J66" s="257"/>
      <c r="K66" s="192"/>
      <c r="L66" s="258"/>
      <c r="M66" s="258"/>
      <c r="N66" s="214" t="e">
        <f t="shared" ref="N66:R66" si="17">+N65/N64</f>
        <v>#DIV/0!</v>
      </c>
      <c r="O66" s="214" t="e">
        <f t="shared" si="17"/>
        <v>#DIV/0!</v>
      </c>
      <c r="P66" s="214" t="e">
        <f t="shared" si="17"/>
        <v>#DIV/0!</v>
      </c>
      <c r="Q66" s="214" t="e">
        <f t="shared" si="17"/>
        <v>#DIV/0!</v>
      </c>
      <c r="R66" s="214" t="e">
        <f t="shared" si="17"/>
        <v>#DIV/0!</v>
      </c>
      <c r="S66" s="214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  <c r="FE66" s="183"/>
      <c r="FF66" s="183"/>
      <c r="FG66" s="183"/>
      <c r="FH66" s="183"/>
      <c r="FI66" s="183"/>
      <c r="FJ66" s="183"/>
      <c r="FK66" s="183"/>
      <c r="FL66" s="183"/>
      <c r="FM66" s="183"/>
      <c r="FN66" s="183"/>
      <c r="FO66" s="183"/>
      <c r="FP66" s="183"/>
      <c r="FQ66" s="183"/>
      <c r="FR66" s="183"/>
      <c r="FS66" s="183"/>
      <c r="FT66" s="183"/>
      <c r="FU66" s="183"/>
      <c r="FV66" s="183"/>
      <c r="FW66" s="183"/>
      <c r="FX66" s="183"/>
      <c r="FY66" s="183"/>
    </row>
    <row r="67" spans="1:181" ht="11.25" hidden="1" customHeight="1">
      <c r="A67" s="183"/>
      <c r="B67" s="183"/>
      <c r="C67" s="183"/>
      <c r="D67" s="183"/>
      <c r="E67" s="183"/>
      <c r="F67" s="183"/>
      <c r="G67" s="183"/>
      <c r="H67" s="183"/>
      <c r="I67" s="183"/>
      <c r="J67" s="254" t="s">
        <v>555</v>
      </c>
      <c r="K67" s="196"/>
      <c r="L67" s="255">
        <f t="shared" ref="L67:R67" si="18">+L50*USD</f>
        <v>0</v>
      </c>
      <c r="M67" s="255">
        <f t="shared" si="18"/>
        <v>0</v>
      </c>
      <c r="N67" s="255">
        <f t="shared" si="18"/>
        <v>0</v>
      </c>
      <c r="O67" s="255">
        <f t="shared" si="18"/>
        <v>0</v>
      </c>
      <c r="P67" s="255">
        <f t="shared" si="18"/>
        <v>0</v>
      </c>
      <c r="Q67" s="255">
        <f t="shared" si="18"/>
        <v>0</v>
      </c>
      <c r="R67" s="255">
        <f t="shared" si="18"/>
        <v>0</v>
      </c>
      <c r="S67" s="255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  <c r="FE67" s="183"/>
      <c r="FF67" s="183"/>
      <c r="FG67" s="183"/>
      <c r="FH67" s="183"/>
      <c r="FI67" s="183"/>
      <c r="FJ67" s="183"/>
      <c r="FK67" s="183"/>
      <c r="FL67" s="183"/>
      <c r="FM67" s="183"/>
      <c r="FN67" s="183"/>
      <c r="FO67" s="183"/>
      <c r="FP67" s="183"/>
      <c r="FQ67" s="183"/>
      <c r="FR67" s="183"/>
      <c r="FS67" s="183"/>
      <c r="FT67" s="183"/>
      <c r="FU67" s="183"/>
      <c r="FV67" s="183"/>
      <c r="FW67" s="183"/>
      <c r="FX67" s="183"/>
      <c r="FY67" s="183"/>
    </row>
    <row r="68" spans="1:181" ht="11.25" hidden="1" customHeight="1">
      <c r="A68" s="183"/>
      <c r="B68" s="183"/>
      <c r="C68" s="183"/>
      <c r="D68" s="183"/>
      <c r="E68" s="183"/>
      <c r="F68" s="183"/>
      <c r="G68" s="183"/>
      <c r="H68" s="183"/>
      <c r="I68" s="183"/>
      <c r="J68" s="257"/>
      <c r="K68" s="192"/>
      <c r="L68" s="258"/>
      <c r="M68" s="258"/>
      <c r="N68" s="214" t="e">
        <f t="shared" ref="N68:R68" si="19">+N67/N64</f>
        <v>#DIV/0!</v>
      </c>
      <c r="O68" s="214" t="e">
        <f t="shared" si="19"/>
        <v>#DIV/0!</v>
      </c>
      <c r="P68" s="214" t="e">
        <f t="shared" si="19"/>
        <v>#DIV/0!</v>
      </c>
      <c r="Q68" s="214" t="e">
        <f t="shared" si="19"/>
        <v>#DIV/0!</v>
      </c>
      <c r="R68" s="214" t="e">
        <f t="shared" si="19"/>
        <v>#DIV/0!</v>
      </c>
      <c r="S68" s="214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3"/>
      <c r="FG68" s="183"/>
      <c r="FH68" s="183"/>
      <c r="FI68" s="183"/>
      <c r="FJ68" s="183"/>
      <c r="FK68" s="183"/>
      <c r="FL68" s="183"/>
      <c r="FM68" s="183"/>
      <c r="FN68" s="183"/>
      <c r="FO68" s="183"/>
      <c r="FP68" s="183"/>
      <c r="FQ68" s="183"/>
      <c r="FR68" s="183"/>
      <c r="FS68" s="183"/>
      <c r="FT68" s="183"/>
      <c r="FU68" s="183"/>
      <c r="FV68" s="183"/>
      <c r="FW68" s="183"/>
      <c r="FX68" s="183"/>
      <c r="FY68" s="183"/>
    </row>
    <row r="69" spans="1:181" ht="11.25" hidden="1" customHeight="1">
      <c r="A69" s="183"/>
      <c r="B69" s="183"/>
      <c r="C69" s="183"/>
      <c r="D69" s="183"/>
      <c r="E69" s="183"/>
      <c r="F69" s="183"/>
      <c r="G69" s="183"/>
      <c r="H69" s="183"/>
      <c r="I69" s="183"/>
      <c r="J69" s="251" t="s">
        <v>579</v>
      </c>
      <c r="K69" s="183"/>
      <c r="L69" s="253"/>
      <c r="M69" s="253"/>
      <c r="N69" s="253">
        <f t="shared" ref="N69:R70" si="20">+M69+N63</f>
        <v>0</v>
      </c>
      <c r="O69" s="253">
        <f t="shared" si="20"/>
        <v>0</v>
      </c>
      <c r="P69" s="253">
        <f t="shared" si="20"/>
        <v>0</v>
      </c>
      <c r="Q69" s="253">
        <f t="shared" si="20"/>
        <v>0</v>
      </c>
      <c r="R69" s="253">
        <f t="shared" si="20"/>
        <v>0</v>
      </c>
      <c r="S69" s="25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3"/>
      <c r="FK69" s="183"/>
      <c r="FL69" s="183"/>
      <c r="FM69" s="183"/>
      <c r="FN69" s="183"/>
      <c r="FO69" s="183"/>
      <c r="FP69" s="183"/>
      <c r="FQ69" s="183"/>
      <c r="FR69" s="183"/>
      <c r="FS69" s="183"/>
      <c r="FT69" s="183"/>
      <c r="FU69" s="183"/>
      <c r="FV69" s="183"/>
      <c r="FW69" s="183"/>
      <c r="FX69" s="183"/>
      <c r="FY69" s="183"/>
    </row>
    <row r="70" spans="1:181" ht="11.25" hidden="1" customHeight="1">
      <c r="A70" s="183"/>
      <c r="B70" s="183"/>
      <c r="C70" s="183"/>
      <c r="D70" s="183"/>
      <c r="E70" s="183"/>
      <c r="F70" s="183"/>
      <c r="G70" s="183"/>
      <c r="H70" s="183"/>
      <c r="I70" s="183"/>
      <c r="J70" s="256" t="s">
        <v>581</v>
      </c>
      <c r="K70" s="183"/>
      <c r="L70" s="253"/>
      <c r="M70" s="253"/>
      <c r="N70" s="234">
        <f t="shared" si="20"/>
        <v>0</v>
      </c>
      <c r="O70" s="234">
        <f t="shared" si="20"/>
        <v>0</v>
      </c>
      <c r="P70" s="234">
        <f t="shared" si="20"/>
        <v>0</v>
      </c>
      <c r="Q70" s="234">
        <f t="shared" si="20"/>
        <v>0</v>
      </c>
      <c r="R70" s="234">
        <f t="shared" si="20"/>
        <v>0</v>
      </c>
      <c r="S70" s="234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  <c r="FE70" s="183"/>
      <c r="FF70" s="183"/>
      <c r="FG70" s="183"/>
      <c r="FH70" s="183"/>
      <c r="FI70" s="183"/>
      <c r="FJ70" s="183"/>
      <c r="FK70" s="183"/>
      <c r="FL70" s="183"/>
      <c r="FM70" s="183"/>
      <c r="FN70" s="183"/>
      <c r="FO70" s="183"/>
      <c r="FP70" s="183"/>
      <c r="FQ70" s="183"/>
      <c r="FR70" s="183"/>
      <c r="FS70" s="183"/>
      <c r="FT70" s="183"/>
      <c r="FU70" s="183"/>
      <c r="FV70" s="183"/>
      <c r="FW70" s="183"/>
      <c r="FX70" s="183"/>
      <c r="FY70" s="183"/>
    </row>
    <row r="71" spans="1:181" ht="11.25" hidden="1" customHeight="1">
      <c r="A71" s="183"/>
      <c r="B71" s="183"/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  <c r="FE71" s="183"/>
      <c r="FF71" s="183"/>
      <c r="FG71" s="183"/>
      <c r="FH71" s="183"/>
      <c r="FI71" s="183"/>
      <c r="FJ71" s="183"/>
      <c r="FK71" s="183"/>
      <c r="FL71" s="183"/>
      <c r="FM71" s="183"/>
      <c r="FN71" s="183"/>
      <c r="FO71" s="183"/>
      <c r="FP71" s="183"/>
      <c r="FQ71" s="183"/>
      <c r="FR71" s="183"/>
      <c r="FS71" s="183"/>
      <c r="FT71" s="183"/>
      <c r="FU71" s="183"/>
      <c r="FV71" s="183"/>
      <c r="FW71" s="183"/>
      <c r="FX71" s="183"/>
      <c r="FY71" s="183"/>
    </row>
    <row r="72" spans="1:181" ht="11.25" hidden="1" customHeight="1">
      <c r="A72" s="183"/>
      <c r="B72" s="183"/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  <c r="FE72" s="183"/>
      <c r="FF72" s="183"/>
      <c r="FG72" s="183"/>
      <c r="FH72" s="183"/>
      <c r="FI72" s="183"/>
      <c r="FJ72" s="183"/>
      <c r="FK72" s="183"/>
      <c r="FL72" s="183"/>
      <c r="FM72" s="183"/>
      <c r="FN72" s="183"/>
      <c r="FO72" s="183"/>
      <c r="FP72" s="183"/>
      <c r="FQ72" s="183"/>
      <c r="FR72" s="183"/>
      <c r="FS72" s="183"/>
      <c r="FT72" s="183"/>
      <c r="FU72" s="183"/>
      <c r="FV72" s="183"/>
      <c r="FW72" s="183"/>
      <c r="FX72" s="183"/>
      <c r="FY72" s="183"/>
    </row>
    <row r="73" spans="1:181" ht="11.25" hidden="1" customHeight="1">
      <c r="A73" s="183"/>
      <c r="B73" s="183"/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  <c r="FE73" s="183"/>
      <c r="FF73" s="183"/>
      <c r="FG73" s="183"/>
      <c r="FH73" s="183"/>
      <c r="FI73" s="183"/>
      <c r="FJ73" s="183"/>
      <c r="FK73" s="183"/>
      <c r="FL73" s="183"/>
      <c r="FM73" s="183"/>
      <c r="FN73" s="183"/>
      <c r="FO73" s="183"/>
      <c r="FP73" s="183"/>
      <c r="FQ73" s="183"/>
      <c r="FR73" s="183"/>
      <c r="FS73" s="183"/>
      <c r="FT73" s="183"/>
      <c r="FU73" s="183"/>
      <c r="FV73" s="183"/>
      <c r="FW73" s="183"/>
      <c r="FX73" s="183"/>
      <c r="FY73" s="183"/>
    </row>
    <row r="74" spans="1:181" ht="11.25" hidden="1" customHeight="1">
      <c r="A74" s="183"/>
      <c r="B74" s="183"/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>
        <f>7920/2/USD</f>
        <v>3152.0129901141408</v>
      </c>
      <c r="BB74" s="183"/>
      <c r="BC74" s="183"/>
      <c r="BD74" s="183">
        <f>7920/2/USD</f>
        <v>3152.0129901141408</v>
      </c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  <c r="FE74" s="183"/>
      <c r="FF74" s="183"/>
      <c r="FG74" s="183"/>
      <c r="FH74" s="183"/>
      <c r="FI74" s="183"/>
      <c r="FJ74" s="183"/>
      <c r="FK74" s="183"/>
      <c r="FL74" s="183"/>
      <c r="FM74" s="183"/>
      <c r="FN74" s="183"/>
      <c r="FO74" s="183"/>
      <c r="FP74" s="183"/>
      <c r="FQ74" s="183"/>
      <c r="FR74" s="183"/>
      <c r="FS74" s="183"/>
      <c r="FT74" s="183"/>
      <c r="FU74" s="183"/>
      <c r="FV74" s="183"/>
      <c r="FW74" s="183"/>
      <c r="FX74" s="183"/>
      <c r="FY74" s="183"/>
    </row>
    <row r="75" spans="1:181" ht="11.25" hidden="1" customHeight="1">
      <c r="A75" s="183"/>
      <c r="B75" s="183"/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</row>
    <row r="76" spans="1:181" ht="11.25" hidden="1" customHeight="1">
      <c r="A76" s="183"/>
      <c r="B76" s="183"/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</row>
    <row r="77" spans="1:181" ht="11.25" hidden="1" customHeight="1">
      <c r="A77" s="183"/>
      <c r="B77" s="183"/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  <c r="FE77" s="183"/>
      <c r="FF77" s="183"/>
      <c r="FG77" s="183"/>
      <c r="FH77" s="183"/>
      <c r="FI77" s="183"/>
      <c r="FJ77" s="183"/>
      <c r="FK77" s="183"/>
      <c r="FL77" s="183"/>
      <c r="FM77" s="183"/>
      <c r="FN77" s="183"/>
      <c r="FO77" s="183"/>
      <c r="FP77" s="183"/>
      <c r="FQ77" s="183"/>
      <c r="FR77" s="183"/>
      <c r="FS77" s="183"/>
      <c r="FT77" s="183"/>
      <c r="FU77" s="183"/>
      <c r="FV77" s="183"/>
      <c r="FW77" s="183"/>
      <c r="FX77" s="183"/>
      <c r="FY77" s="183"/>
    </row>
    <row r="78" spans="1:181" ht="11.25" hidden="1" customHeight="1">
      <c r="A78" s="183"/>
      <c r="B78" s="183"/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  <c r="FE78" s="183"/>
      <c r="FF78" s="183"/>
      <c r="FG78" s="183"/>
      <c r="FH78" s="183"/>
      <c r="FI78" s="183"/>
      <c r="FJ78" s="183"/>
      <c r="FK78" s="183"/>
      <c r="FL78" s="183"/>
      <c r="FM78" s="183"/>
      <c r="FN78" s="183"/>
      <c r="FO78" s="183"/>
      <c r="FP78" s="183"/>
      <c r="FQ78" s="183"/>
      <c r="FR78" s="183"/>
      <c r="FS78" s="183"/>
      <c r="FT78" s="183"/>
      <c r="FU78" s="183"/>
      <c r="FV78" s="183"/>
      <c r="FW78" s="183"/>
      <c r="FX78" s="183"/>
      <c r="FY78" s="183"/>
    </row>
    <row r="79" spans="1:181" ht="11.25" hidden="1" customHeight="1">
      <c r="A79" s="183"/>
      <c r="B79" s="183"/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  <c r="FE79" s="183"/>
      <c r="FF79" s="183"/>
      <c r="FG79" s="183"/>
      <c r="FH79" s="183"/>
      <c r="FI79" s="183"/>
      <c r="FJ79" s="183"/>
      <c r="FK79" s="183"/>
      <c r="FL79" s="183"/>
      <c r="FM79" s="183"/>
      <c r="FN79" s="183"/>
      <c r="FO79" s="183"/>
      <c r="FP79" s="183"/>
      <c r="FQ79" s="183"/>
      <c r="FR79" s="183"/>
      <c r="FS79" s="183"/>
      <c r="FT79" s="183"/>
      <c r="FU79" s="183"/>
      <c r="FV79" s="183"/>
      <c r="FW79" s="183"/>
      <c r="FX79" s="183"/>
      <c r="FY79" s="183"/>
    </row>
    <row r="80" spans="1:181" ht="11.25" hidden="1" customHeight="1">
      <c r="A80" s="183"/>
      <c r="B80" s="183"/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>
        <f>19789.2/2/USD</f>
        <v>7875.7342757533788</v>
      </c>
      <c r="BB80" s="183"/>
      <c r="BC80" s="183"/>
      <c r="BD80" s="183">
        <f>19789.2/2/USD</f>
        <v>7875.7342757533788</v>
      </c>
      <c r="BE80" s="183"/>
      <c r="BF80" s="183">
        <f>36068/USD</f>
        <v>28708.789022080011</v>
      </c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  <c r="FE80" s="183"/>
      <c r="FF80" s="183"/>
      <c r="FG80" s="183"/>
      <c r="FH80" s="183"/>
      <c r="FI80" s="183"/>
      <c r="FJ80" s="183"/>
      <c r="FK80" s="183"/>
      <c r="FL80" s="183"/>
      <c r="FM80" s="183"/>
      <c r="FN80" s="183"/>
      <c r="FO80" s="183"/>
      <c r="FP80" s="183"/>
      <c r="FQ80" s="183"/>
      <c r="FR80" s="183"/>
      <c r="FS80" s="183"/>
      <c r="FT80" s="183"/>
      <c r="FU80" s="183"/>
      <c r="FV80" s="183"/>
      <c r="FW80" s="183"/>
      <c r="FX80" s="183"/>
      <c r="FY80" s="183"/>
    </row>
    <row r="81" spans="1:181" ht="16.5" hidden="1" customHeight="1">
      <c r="A81" s="183"/>
      <c r="B81" s="183"/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3"/>
      <c r="FK81" s="183"/>
      <c r="FL81" s="183"/>
      <c r="FM81" s="183"/>
      <c r="FN81" s="183"/>
      <c r="FO81" s="183"/>
      <c r="FP81" s="183"/>
      <c r="FQ81" s="183"/>
      <c r="FR81" s="183"/>
      <c r="FS81" s="183"/>
      <c r="FT81" s="183"/>
      <c r="FU81" s="183"/>
      <c r="FV81" s="183"/>
      <c r="FW81" s="183"/>
      <c r="FX81" s="183"/>
      <c r="FY81" s="183"/>
    </row>
    <row r="82" spans="1:181" ht="11.25" hidden="1" customHeight="1">
      <c r="A82" s="183"/>
      <c r="B82" s="183"/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  <c r="FE82" s="183"/>
      <c r="FF82" s="183"/>
      <c r="FG82" s="183"/>
      <c r="FH82" s="183"/>
      <c r="FI82" s="183"/>
      <c r="FJ82" s="183"/>
      <c r="FK82" s="183"/>
      <c r="FL82" s="183"/>
      <c r="FM82" s="183"/>
      <c r="FN82" s="183"/>
      <c r="FO82" s="183"/>
      <c r="FP82" s="183"/>
      <c r="FQ82" s="183"/>
      <c r="FR82" s="183"/>
      <c r="FS82" s="183"/>
      <c r="FT82" s="183"/>
      <c r="FU82" s="183"/>
      <c r="FV82" s="183"/>
      <c r="FW82" s="183"/>
      <c r="FX82" s="183"/>
      <c r="FY82" s="183"/>
    </row>
    <row r="83" spans="1:181" ht="11.25" hidden="1" customHeight="1">
      <c r="A83" s="183"/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  <c r="FE83" s="183"/>
      <c r="FF83" s="183"/>
      <c r="FG83" s="183"/>
      <c r="FH83" s="183"/>
      <c r="FI83" s="183"/>
      <c r="FJ83" s="183"/>
      <c r="FK83" s="183"/>
      <c r="FL83" s="183"/>
      <c r="FM83" s="183"/>
      <c r="FN83" s="183"/>
      <c r="FO83" s="183"/>
      <c r="FP83" s="183"/>
      <c r="FQ83" s="183"/>
      <c r="FR83" s="183"/>
      <c r="FS83" s="183"/>
      <c r="FT83" s="183"/>
      <c r="FU83" s="183"/>
      <c r="FV83" s="183"/>
      <c r="FW83" s="183"/>
      <c r="FX83" s="183"/>
      <c r="FY83" s="183"/>
    </row>
    <row r="84" spans="1:181" ht="11.25" customHeight="1">
      <c r="A84" s="183"/>
      <c r="B84" s="183"/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  <c r="FE84" s="183"/>
      <c r="FF84" s="183"/>
      <c r="FG84" s="183"/>
      <c r="FH84" s="183"/>
      <c r="FI84" s="183"/>
      <c r="FJ84" s="183"/>
      <c r="FK84" s="183"/>
      <c r="FL84" s="183"/>
      <c r="FM84" s="183"/>
      <c r="FN84" s="183"/>
      <c r="FO84" s="183"/>
      <c r="FP84" s="183"/>
      <c r="FQ84" s="183"/>
      <c r="FR84" s="183"/>
      <c r="FS84" s="183"/>
      <c r="FT84" s="183"/>
      <c r="FU84" s="183"/>
      <c r="FV84" s="183"/>
      <c r="FW84" s="183"/>
      <c r="FX84" s="183"/>
      <c r="FY84" s="183"/>
    </row>
    <row r="85" spans="1:181" ht="11.25" customHeight="1">
      <c r="A85" s="183"/>
      <c r="B85" s="183"/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  <c r="FE85" s="183"/>
      <c r="FF85" s="183"/>
      <c r="FG85" s="183"/>
      <c r="FH85" s="183"/>
      <c r="FI85" s="183"/>
      <c r="FJ85" s="183"/>
      <c r="FK85" s="183"/>
      <c r="FL85" s="183"/>
      <c r="FM85" s="183"/>
      <c r="FN85" s="183"/>
      <c r="FO85" s="183"/>
      <c r="FP85" s="183"/>
      <c r="FQ85" s="183"/>
      <c r="FR85" s="183"/>
      <c r="FS85" s="183"/>
      <c r="FT85" s="183"/>
      <c r="FU85" s="183"/>
      <c r="FV85" s="183"/>
      <c r="FW85" s="183"/>
      <c r="FX85" s="183"/>
      <c r="FY85" s="183"/>
    </row>
    <row r="86" spans="1:181" ht="11.25" customHeight="1">
      <c r="A86" s="259"/>
      <c r="B86" s="183"/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  <c r="FE86" s="183"/>
      <c r="FF86" s="183"/>
      <c r="FG86" s="183"/>
      <c r="FH86" s="183"/>
      <c r="FI86" s="183"/>
      <c r="FJ86" s="183"/>
      <c r="FK86" s="183"/>
      <c r="FL86" s="183"/>
      <c r="FM86" s="183"/>
      <c r="FN86" s="183"/>
      <c r="FO86" s="183"/>
      <c r="FP86" s="183"/>
      <c r="FQ86" s="183"/>
      <c r="FR86" s="183"/>
      <c r="FS86" s="183"/>
      <c r="FT86" s="183"/>
      <c r="FU86" s="183"/>
      <c r="FV86" s="183"/>
      <c r="FW86" s="183"/>
      <c r="FX86" s="183"/>
      <c r="FY86" s="183"/>
    </row>
    <row r="87" spans="1:181" ht="11.25" customHeight="1">
      <c r="A87" s="259"/>
      <c r="B87" s="183"/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  <c r="FE87" s="183"/>
      <c r="FF87" s="183"/>
      <c r="FG87" s="183"/>
      <c r="FH87" s="183"/>
      <c r="FI87" s="183"/>
      <c r="FJ87" s="183"/>
      <c r="FK87" s="183"/>
      <c r="FL87" s="183"/>
      <c r="FM87" s="183"/>
      <c r="FN87" s="183"/>
      <c r="FO87" s="183"/>
      <c r="FP87" s="183"/>
      <c r="FQ87" s="183"/>
      <c r="FR87" s="183"/>
      <c r="FS87" s="183"/>
      <c r="FT87" s="183"/>
      <c r="FU87" s="183"/>
      <c r="FV87" s="183"/>
      <c r="FW87" s="183"/>
      <c r="FX87" s="183"/>
      <c r="FY87" s="183"/>
    </row>
    <row r="88" spans="1:181" ht="11.25" customHeight="1">
      <c r="A88" s="183"/>
      <c r="B88" s="183"/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</row>
    <row r="89" spans="1:181" ht="11.25" customHeight="1">
      <c r="A89" s="200" t="s">
        <v>582</v>
      </c>
      <c r="B89" s="196"/>
      <c r="C89" s="196"/>
      <c r="D89" s="196"/>
      <c r="E89" s="196"/>
      <c r="F89" s="196"/>
      <c r="G89" s="196"/>
      <c r="H89" s="196"/>
      <c r="I89" s="196"/>
      <c r="J89" s="196"/>
      <c r="K89" s="184" t="s">
        <v>347</v>
      </c>
      <c r="L89" s="196" t="s">
        <v>583</v>
      </c>
      <c r="M89" s="184" t="s">
        <v>584</v>
      </c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</row>
    <row r="90" spans="1:181" ht="11.25" customHeight="1">
      <c r="A90" s="199"/>
      <c r="B90" s="183"/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  <c r="FE90" s="183"/>
      <c r="FF90" s="183"/>
      <c r="FG90" s="183"/>
      <c r="FH90" s="183"/>
      <c r="FI90" s="183"/>
      <c r="FJ90" s="183"/>
      <c r="FK90" s="183"/>
      <c r="FL90" s="183"/>
      <c r="FM90" s="183"/>
      <c r="FN90" s="183"/>
      <c r="FO90" s="183"/>
      <c r="FP90" s="183"/>
      <c r="FQ90" s="183"/>
      <c r="FR90" s="183"/>
      <c r="FS90" s="183"/>
      <c r="FT90" s="183"/>
      <c r="FU90" s="183"/>
      <c r="FV90" s="183"/>
      <c r="FW90" s="183"/>
      <c r="FX90" s="183"/>
      <c r="FY90" s="183"/>
    </row>
    <row r="91" spans="1:181" ht="11.25" customHeight="1">
      <c r="A91" s="199" t="str">
        <f t="shared" ref="A91:A93" si="21">+A12</f>
        <v>Clinical Trials</v>
      </c>
      <c r="B91" s="183"/>
      <c r="C91" s="183"/>
      <c r="D91" s="183"/>
      <c r="E91" s="183"/>
      <c r="F91" s="183"/>
      <c r="G91" s="183"/>
      <c r="H91" s="183"/>
      <c r="I91" s="183"/>
      <c r="J91" s="183"/>
      <c r="K91" s="215">
        <f t="shared" ref="K91:K103" si="22">+T12</f>
        <v>9056357</v>
      </c>
      <c r="L91" s="260">
        <f t="shared" ref="L91:L103" si="23">+K91/$K$104</f>
        <v>0.19267479969344298</v>
      </c>
      <c r="M91" s="183" t="s">
        <v>585</v>
      </c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  <c r="FE91" s="183"/>
      <c r="FF91" s="183"/>
      <c r="FG91" s="183"/>
      <c r="FH91" s="183"/>
      <c r="FI91" s="183"/>
      <c r="FJ91" s="183"/>
      <c r="FK91" s="183"/>
      <c r="FL91" s="183"/>
      <c r="FM91" s="183"/>
      <c r="FN91" s="183"/>
      <c r="FO91" s="183"/>
      <c r="FP91" s="183"/>
      <c r="FQ91" s="183"/>
      <c r="FR91" s="183"/>
      <c r="FS91" s="183"/>
      <c r="FT91" s="183"/>
      <c r="FU91" s="183"/>
      <c r="FV91" s="183"/>
      <c r="FW91" s="183"/>
      <c r="FX91" s="183"/>
      <c r="FY91" s="183"/>
    </row>
    <row r="92" spans="1:181" ht="11.25" customHeight="1">
      <c r="A92" s="199" t="str">
        <f t="shared" si="21"/>
        <v>Product Development</v>
      </c>
      <c r="B92" s="183"/>
      <c r="C92" s="183"/>
      <c r="D92" s="183"/>
      <c r="E92" s="183"/>
      <c r="F92" s="183"/>
      <c r="G92" s="183"/>
      <c r="H92" s="183"/>
      <c r="I92" s="183"/>
      <c r="J92" s="183"/>
      <c r="K92" s="215">
        <f t="shared" si="22"/>
        <v>3399778</v>
      </c>
      <c r="L92" s="260">
        <f t="shared" si="23"/>
        <v>7.2330578968140741E-2</v>
      </c>
      <c r="M92" s="183" t="s">
        <v>586</v>
      </c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  <c r="FE92" s="183"/>
      <c r="FF92" s="183"/>
      <c r="FG92" s="183"/>
      <c r="FH92" s="183"/>
      <c r="FI92" s="183"/>
      <c r="FJ92" s="183"/>
      <c r="FK92" s="183"/>
      <c r="FL92" s="183"/>
      <c r="FM92" s="183"/>
      <c r="FN92" s="183"/>
      <c r="FO92" s="183"/>
      <c r="FP92" s="183"/>
      <c r="FQ92" s="183"/>
      <c r="FR92" s="183"/>
      <c r="FS92" s="183"/>
      <c r="FT92" s="183"/>
      <c r="FU92" s="183"/>
      <c r="FV92" s="183"/>
      <c r="FW92" s="183"/>
      <c r="FX92" s="183"/>
      <c r="FY92" s="183"/>
    </row>
    <row r="93" spans="1:181" ht="11.25" customHeight="1">
      <c r="A93" s="199" t="str">
        <f t="shared" si="21"/>
        <v>Marketing</v>
      </c>
      <c r="B93" s="183"/>
      <c r="C93" s="183"/>
      <c r="D93" s="183"/>
      <c r="E93" s="183"/>
      <c r="F93" s="183"/>
      <c r="G93" s="183"/>
      <c r="H93" s="183"/>
      <c r="I93" s="183"/>
      <c r="J93" s="183"/>
      <c r="K93" s="215">
        <f t="shared" si="22"/>
        <v>7107462</v>
      </c>
      <c r="L93" s="260">
        <f t="shared" si="23"/>
        <v>0.15121188543900796</v>
      </c>
      <c r="M93" s="183" t="s">
        <v>587</v>
      </c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3"/>
      <c r="FK93" s="183"/>
      <c r="FL93" s="183"/>
      <c r="FM93" s="183"/>
      <c r="FN93" s="183"/>
      <c r="FO93" s="183"/>
      <c r="FP93" s="183"/>
      <c r="FQ93" s="183"/>
      <c r="FR93" s="183"/>
      <c r="FS93" s="183"/>
      <c r="FT93" s="183"/>
      <c r="FU93" s="183"/>
      <c r="FV93" s="183"/>
      <c r="FW93" s="183"/>
      <c r="FX93" s="183"/>
      <c r="FY93" s="183"/>
    </row>
    <row r="94" spans="1:181" ht="11.25" customHeight="1">
      <c r="A94" s="199" t="s">
        <v>541</v>
      </c>
      <c r="B94" s="183"/>
      <c r="C94" s="183"/>
      <c r="D94" s="183"/>
      <c r="E94" s="183"/>
      <c r="F94" s="183"/>
      <c r="G94" s="183"/>
      <c r="H94" s="183"/>
      <c r="I94" s="183"/>
      <c r="J94" s="183"/>
      <c r="K94" s="215">
        <f t="shared" si="22"/>
        <v>8610371</v>
      </c>
      <c r="L94" s="260">
        <f t="shared" si="23"/>
        <v>0.18318640792442595</v>
      </c>
      <c r="M94" s="183" t="s">
        <v>588</v>
      </c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  <c r="FE94" s="183"/>
      <c r="FF94" s="183"/>
      <c r="FG94" s="183"/>
      <c r="FH94" s="183"/>
      <c r="FI94" s="183"/>
      <c r="FJ94" s="183"/>
      <c r="FK94" s="183"/>
      <c r="FL94" s="183"/>
      <c r="FM94" s="183"/>
      <c r="FN94" s="183"/>
      <c r="FO94" s="183"/>
      <c r="FP94" s="183"/>
      <c r="FQ94" s="183"/>
      <c r="FR94" s="183"/>
      <c r="FS94" s="183"/>
      <c r="FT94" s="183"/>
      <c r="FU94" s="183"/>
      <c r="FV94" s="183"/>
      <c r="FW94" s="183"/>
      <c r="FX94" s="183"/>
      <c r="FY94" s="183"/>
    </row>
    <row r="95" spans="1:181" ht="11.25" customHeight="1">
      <c r="A95" s="199" t="str">
        <f t="shared" ref="A95:A103" si="24">+A16</f>
        <v>Payroll and Personnel</v>
      </c>
      <c r="B95" s="183"/>
      <c r="C95" s="183"/>
      <c r="D95" s="183"/>
      <c r="E95" s="183"/>
      <c r="F95" s="183"/>
      <c r="G95" s="183"/>
      <c r="H95" s="183"/>
      <c r="I95" s="183"/>
      <c r="J95" s="183"/>
      <c r="K95" s="215">
        <f t="shared" si="22"/>
        <v>10193625</v>
      </c>
      <c r="L95" s="260">
        <f t="shared" si="23"/>
        <v>0.21687027742226514</v>
      </c>
      <c r="M95" s="183" t="s">
        <v>589</v>
      </c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  <c r="FE95" s="183"/>
      <c r="FF95" s="183"/>
      <c r="FG95" s="183"/>
      <c r="FH95" s="183"/>
      <c r="FI95" s="183"/>
      <c r="FJ95" s="183"/>
      <c r="FK95" s="183"/>
      <c r="FL95" s="183"/>
      <c r="FM95" s="183"/>
      <c r="FN95" s="183"/>
      <c r="FO95" s="183"/>
      <c r="FP95" s="183"/>
      <c r="FQ95" s="183"/>
      <c r="FR95" s="183"/>
      <c r="FS95" s="183"/>
      <c r="FT95" s="183"/>
      <c r="FU95" s="183"/>
      <c r="FV95" s="183"/>
      <c r="FW95" s="183"/>
      <c r="FX95" s="183"/>
      <c r="FY95" s="183"/>
    </row>
    <row r="96" spans="1:181" ht="11.25" customHeight="1">
      <c r="A96" s="199" t="str">
        <f t="shared" si="24"/>
        <v>Administration</v>
      </c>
      <c r="B96" s="183"/>
      <c r="C96" s="183"/>
      <c r="D96" s="183"/>
      <c r="E96" s="183"/>
      <c r="F96" s="183"/>
      <c r="G96" s="183"/>
      <c r="H96" s="183"/>
      <c r="I96" s="183"/>
      <c r="J96" s="183"/>
      <c r="K96" s="215">
        <f t="shared" si="22"/>
        <v>963185</v>
      </c>
      <c r="L96" s="260">
        <f t="shared" si="23"/>
        <v>2.0491846439217105E-2</v>
      </c>
      <c r="M96" s="183" t="s">
        <v>11</v>
      </c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  <c r="FE96" s="183"/>
      <c r="FF96" s="183"/>
      <c r="FG96" s="183"/>
      <c r="FH96" s="183"/>
      <c r="FI96" s="183"/>
      <c r="FJ96" s="183"/>
      <c r="FK96" s="183"/>
      <c r="FL96" s="183"/>
      <c r="FM96" s="183"/>
      <c r="FN96" s="183"/>
      <c r="FO96" s="183"/>
      <c r="FP96" s="183"/>
      <c r="FQ96" s="183"/>
      <c r="FR96" s="183"/>
      <c r="FS96" s="183"/>
      <c r="FT96" s="183"/>
      <c r="FU96" s="183"/>
      <c r="FV96" s="183"/>
      <c r="FW96" s="183"/>
      <c r="FX96" s="183"/>
      <c r="FY96" s="183"/>
    </row>
    <row r="97" spans="1:181" ht="11.25" customHeight="1">
      <c r="A97" s="199" t="str">
        <f t="shared" si="24"/>
        <v>Recruitment Costs</v>
      </c>
      <c r="B97" s="183"/>
      <c r="C97" s="183"/>
      <c r="D97" s="183"/>
      <c r="E97" s="183"/>
      <c r="F97" s="183"/>
      <c r="G97" s="183"/>
      <c r="H97" s="183"/>
      <c r="I97" s="183"/>
      <c r="J97" s="183"/>
      <c r="K97" s="215">
        <f t="shared" si="22"/>
        <v>583690</v>
      </c>
      <c r="L97" s="260">
        <f t="shared" si="23"/>
        <v>1.2418056601905793E-2</v>
      </c>
      <c r="M97" s="183" t="s">
        <v>590</v>
      </c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  <c r="FE97" s="183"/>
      <c r="FF97" s="183"/>
      <c r="FG97" s="183"/>
      <c r="FH97" s="183"/>
      <c r="FI97" s="183"/>
      <c r="FJ97" s="183"/>
      <c r="FK97" s="183"/>
      <c r="FL97" s="183"/>
      <c r="FM97" s="183"/>
      <c r="FN97" s="183"/>
      <c r="FO97" s="183"/>
      <c r="FP97" s="183"/>
      <c r="FQ97" s="183"/>
      <c r="FR97" s="183"/>
      <c r="FS97" s="183"/>
      <c r="FT97" s="183"/>
      <c r="FU97" s="183"/>
      <c r="FV97" s="183"/>
      <c r="FW97" s="183"/>
      <c r="FX97" s="183"/>
      <c r="FY97" s="183"/>
    </row>
    <row r="98" spans="1:181" ht="11.25" customHeight="1">
      <c r="A98" s="199" t="str">
        <f t="shared" si="24"/>
        <v>Other Consultants</v>
      </c>
      <c r="B98" s="183"/>
      <c r="C98" s="183"/>
      <c r="D98" s="183"/>
      <c r="E98" s="183"/>
      <c r="F98" s="183"/>
      <c r="G98" s="183"/>
      <c r="H98" s="183"/>
      <c r="I98" s="183"/>
      <c r="J98" s="183"/>
      <c r="K98" s="215">
        <f t="shared" si="22"/>
        <v>2603722</v>
      </c>
      <c r="L98" s="260">
        <f t="shared" si="23"/>
        <v>5.539441685077242E-2</v>
      </c>
      <c r="M98" s="183" t="s">
        <v>591</v>
      </c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  <c r="FE98" s="183"/>
      <c r="FF98" s="183"/>
      <c r="FG98" s="183"/>
      <c r="FH98" s="183"/>
      <c r="FI98" s="183"/>
      <c r="FJ98" s="183"/>
      <c r="FK98" s="183"/>
      <c r="FL98" s="183"/>
      <c r="FM98" s="183"/>
      <c r="FN98" s="183"/>
      <c r="FO98" s="183"/>
      <c r="FP98" s="183"/>
      <c r="FQ98" s="183"/>
      <c r="FR98" s="183"/>
      <c r="FS98" s="183"/>
      <c r="FT98" s="183"/>
      <c r="FU98" s="183"/>
      <c r="FV98" s="183"/>
      <c r="FW98" s="183"/>
      <c r="FX98" s="183"/>
      <c r="FY98" s="183"/>
    </row>
    <row r="99" spans="1:181" ht="11.25" customHeight="1">
      <c r="A99" s="199" t="str">
        <f t="shared" si="24"/>
        <v>Legal Fees</v>
      </c>
      <c r="B99" s="183"/>
      <c r="C99" s="183"/>
      <c r="D99" s="183"/>
      <c r="E99" s="183"/>
      <c r="F99" s="183"/>
      <c r="G99" s="183"/>
      <c r="H99" s="183"/>
      <c r="I99" s="183"/>
      <c r="J99" s="183"/>
      <c r="K99" s="215">
        <f t="shared" si="22"/>
        <v>964156</v>
      </c>
      <c r="L99" s="260">
        <f t="shared" si="23"/>
        <v>2.0512504550475562E-2</v>
      </c>
      <c r="M99" s="183" t="s">
        <v>592</v>
      </c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  <c r="FE99" s="183"/>
      <c r="FF99" s="183"/>
      <c r="FG99" s="183"/>
      <c r="FH99" s="183"/>
      <c r="FI99" s="183"/>
      <c r="FJ99" s="183"/>
      <c r="FK99" s="183"/>
      <c r="FL99" s="183"/>
      <c r="FM99" s="183"/>
      <c r="FN99" s="183"/>
      <c r="FO99" s="183"/>
      <c r="FP99" s="183"/>
      <c r="FQ99" s="183"/>
      <c r="FR99" s="183"/>
      <c r="FS99" s="183"/>
      <c r="FT99" s="183"/>
      <c r="FU99" s="183"/>
      <c r="FV99" s="183"/>
      <c r="FW99" s="183"/>
      <c r="FX99" s="183"/>
      <c r="FY99" s="183"/>
    </row>
    <row r="100" spans="1:181" ht="11.25" customHeight="1">
      <c r="A100" s="199" t="str">
        <f t="shared" si="24"/>
        <v>Rent</v>
      </c>
      <c r="B100" s="183"/>
      <c r="C100" s="183"/>
      <c r="D100" s="183"/>
      <c r="E100" s="183"/>
      <c r="F100" s="183"/>
      <c r="G100" s="183"/>
      <c r="H100" s="183"/>
      <c r="I100" s="183"/>
      <c r="J100" s="183"/>
      <c r="K100" s="215">
        <f t="shared" si="22"/>
        <v>781815</v>
      </c>
      <c r="L100" s="260">
        <f t="shared" si="23"/>
        <v>1.6633183577273856E-2</v>
      </c>
      <c r="M100" s="183" t="s">
        <v>593</v>
      </c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  <c r="FE100" s="183"/>
      <c r="FF100" s="183"/>
      <c r="FG100" s="183"/>
      <c r="FH100" s="183"/>
      <c r="FI100" s="183"/>
      <c r="FJ100" s="183"/>
      <c r="FK100" s="183"/>
      <c r="FL100" s="183"/>
      <c r="FM100" s="183"/>
      <c r="FN100" s="183"/>
      <c r="FO100" s="183"/>
      <c r="FP100" s="183"/>
      <c r="FQ100" s="183"/>
      <c r="FR100" s="183"/>
      <c r="FS100" s="183"/>
      <c r="FT100" s="183"/>
      <c r="FU100" s="183"/>
      <c r="FV100" s="183"/>
      <c r="FW100" s="183"/>
      <c r="FX100" s="183"/>
      <c r="FY100" s="183"/>
    </row>
    <row r="101" spans="1:181" ht="11.25" customHeight="1">
      <c r="A101" s="199" t="str">
        <f t="shared" si="24"/>
        <v xml:space="preserve">Travel </v>
      </c>
      <c r="B101" s="183"/>
      <c r="C101" s="183"/>
      <c r="D101" s="183"/>
      <c r="E101" s="183"/>
      <c r="F101" s="183"/>
      <c r="G101" s="183"/>
      <c r="H101" s="183"/>
      <c r="I101" s="183"/>
      <c r="J101" s="183"/>
      <c r="K101" s="215">
        <f t="shared" si="22"/>
        <v>1185040</v>
      </c>
      <c r="L101" s="260">
        <f t="shared" si="23"/>
        <v>2.5211831272631775E-2</v>
      </c>
      <c r="M101" s="183" t="s">
        <v>594</v>
      </c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  <c r="FE101" s="183"/>
      <c r="FF101" s="183"/>
      <c r="FG101" s="183"/>
      <c r="FH101" s="183"/>
      <c r="FI101" s="183"/>
      <c r="FJ101" s="183"/>
      <c r="FK101" s="183"/>
      <c r="FL101" s="183"/>
      <c r="FM101" s="183"/>
      <c r="FN101" s="183"/>
      <c r="FO101" s="183"/>
      <c r="FP101" s="183"/>
      <c r="FQ101" s="183"/>
      <c r="FR101" s="183"/>
      <c r="FS101" s="183"/>
      <c r="FT101" s="183"/>
      <c r="FU101" s="183"/>
      <c r="FV101" s="183"/>
      <c r="FW101" s="183"/>
      <c r="FX101" s="183"/>
      <c r="FY101" s="183"/>
    </row>
    <row r="102" spans="1:181" ht="11.25" customHeight="1">
      <c r="A102" s="199" t="str">
        <f t="shared" si="24"/>
        <v>Patents</v>
      </c>
      <c r="B102" s="183"/>
      <c r="C102" s="183"/>
      <c r="D102" s="183"/>
      <c r="E102" s="183"/>
      <c r="F102" s="183"/>
      <c r="G102" s="183"/>
      <c r="H102" s="183"/>
      <c r="I102" s="183"/>
      <c r="J102" s="183"/>
      <c r="K102" s="215">
        <f t="shared" si="22"/>
        <v>1140130</v>
      </c>
      <c r="L102" s="260">
        <f t="shared" si="23"/>
        <v>2.4256367033066956E-2</v>
      </c>
      <c r="M102" s="183" t="s">
        <v>595</v>
      </c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  <c r="FE102" s="183"/>
      <c r="FF102" s="183"/>
      <c r="FG102" s="183"/>
      <c r="FH102" s="183"/>
      <c r="FI102" s="183"/>
      <c r="FJ102" s="183"/>
      <c r="FK102" s="183"/>
      <c r="FL102" s="183"/>
      <c r="FM102" s="183"/>
      <c r="FN102" s="183"/>
      <c r="FO102" s="183"/>
      <c r="FP102" s="183"/>
      <c r="FQ102" s="183"/>
      <c r="FR102" s="183"/>
      <c r="FS102" s="183"/>
      <c r="FT102" s="183"/>
      <c r="FU102" s="183"/>
      <c r="FV102" s="183"/>
      <c r="FW102" s="183"/>
      <c r="FX102" s="183"/>
      <c r="FY102" s="183"/>
    </row>
    <row r="103" spans="1:181" ht="11.25" customHeight="1">
      <c r="A103" s="199" t="str">
        <f t="shared" si="24"/>
        <v>QARA-Quality Assurance</v>
      </c>
      <c r="B103" s="183"/>
      <c r="C103" s="183"/>
      <c r="D103" s="183"/>
      <c r="E103" s="183"/>
      <c r="F103" s="183"/>
      <c r="G103" s="183"/>
      <c r="H103" s="183"/>
      <c r="I103" s="183"/>
      <c r="J103" s="183"/>
      <c r="K103" s="261">
        <f t="shared" si="22"/>
        <v>413998</v>
      </c>
      <c r="L103" s="260">
        <f t="shared" si="23"/>
        <v>8.8078442273737678E-3</v>
      </c>
      <c r="M103" s="183" t="s">
        <v>596</v>
      </c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  <c r="FE103" s="183"/>
      <c r="FF103" s="183"/>
      <c r="FG103" s="183"/>
      <c r="FH103" s="183"/>
      <c r="FI103" s="183"/>
      <c r="FJ103" s="183"/>
      <c r="FK103" s="183"/>
      <c r="FL103" s="183"/>
      <c r="FM103" s="183"/>
      <c r="FN103" s="183"/>
      <c r="FO103" s="183"/>
      <c r="FP103" s="183"/>
      <c r="FQ103" s="183"/>
      <c r="FR103" s="183"/>
      <c r="FS103" s="183"/>
      <c r="FT103" s="183"/>
      <c r="FU103" s="183"/>
      <c r="FV103" s="183"/>
      <c r="FW103" s="183"/>
      <c r="FX103" s="183"/>
      <c r="FY103" s="183"/>
    </row>
    <row r="104" spans="1:181" ht="11.25" customHeight="1">
      <c r="A104" s="200" t="s">
        <v>68</v>
      </c>
      <c r="B104" s="196"/>
      <c r="C104" s="196"/>
      <c r="D104" s="196"/>
      <c r="E104" s="196"/>
      <c r="F104" s="196"/>
      <c r="G104" s="196"/>
      <c r="H104" s="196"/>
      <c r="I104" s="196"/>
      <c r="J104" s="196"/>
      <c r="K104" s="224">
        <f>SUM(K91:K103)</f>
        <v>47003329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  <c r="FE104" s="183"/>
      <c r="FF104" s="183"/>
      <c r="FG104" s="183"/>
      <c r="FH104" s="183"/>
      <c r="FI104" s="183"/>
      <c r="FJ104" s="183"/>
      <c r="FK104" s="183"/>
      <c r="FL104" s="183"/>
      <c r="FM104" s="183"/>
      <c r="FN104" s="183"/>
      <c r="FO104" s="183"/>
      <c r="FP104" s="183"/>
      <c r="FQ104" s="183"/>
      <c r="FR104" s="183"/>
      <c r="FS104" s="183"/>
      <c r="FT104" s="183"/>
      <c r="FU104" s="183"/>
      <c r="FV104" s="183"/>
      <c r="FW104" s="183"/>
      <c r="FX104" s="183"/>
      <c r="FY104" s="183"/>
    </row>
    <row r="105" spans="1:181" ht="11.25" customHeight="1">
      <c r="A105" s="259"/>
      <c r="B105" s="183"/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  <c r="FE105" s="183"/>
      <c r="FF105" s="183"/>
      <c r="FG105" s="183"/>
      <c r="FH105" s="183"/>
      <c r="FI105" s="183"/>
      <c r="FJ105" s="183"/>
      <c r="FK105" s="183"/>
      <c r="FL105" s="183"/>
      <c r="FM105" s="183"/>
      <c r="FN105" s="183"/>
      <c r="FO105" s="183"/>
      <c r="FP105" s="183"/>
      <c r="FQ105" s="183"/>
      <c r="FR105" s="183"/>
      <c r="FS105" s="183"/>
      <c r="FT105" s="183"/>
      <c r="FU105" s="183"/>
      <c r="FV105" s="183"/>
      <c r="FW105" s="183"/>
      <c r="FX105" s="183"/>
      <c r="FY105" s="183"/>
    </row>
    <row r="106" spans="1:181" ht="11.25" customHeight="1">
      <c r="A106" s="200" t="s">
        <v>597</v>
      </c>
      <c r="B106" s="196"/>
      <c r="C106" s="196"/>
      <c r="D106" s="196"/>
      <c r="E106" s="196"/>
      <c r="F106" s="196"/>
      <c r="G106" s="196"/>
      <c r="H106" s="196"/>
      <c r="I106" s="196"/>
      <c r="J106" s="196"/>
      <c r="K106" s="262" t="str">
        <f t="shared" ref="K106:L106" si="25">+K89</f>
        <v>USD</v>
      </c>
      <c r="L106" s="196" t="str">
        <f t="shared" si="25"/>
        <v>% of allocation</v>
      </c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6"/>
      <c r="AS106" s="196"/>
      <c r="AT106" s="196"/>
      <c r="AU106" s="196"/>
      <c r="AV106" s="196"/>
      <c r="AW106" s="196"/>
      <c r="AX106" s="196"/>
      <c r="AY106" s="196"/>
      <c r="AZ106" s="196"/>
      <c r="BA106" s="196"/>
      <c r="BB106" s="196"/>
      <c r="BC106" s="196"/>
      <c r="BD106" s="196"/>
      <c r="BE106" s="196"/>
      <c r="BF106" s="196"/>
      <c r="BG106" s="196"/>
      <c r="BH106" s="196"/>
      <c r="BI106" s="196"/>
      <c r="BJ106" s="196"/>
      <c r="BK106" s="196"/>
      <c r="BL106" s="196"/>
      <c r="BM106" s="196"/>
      <c r="BN106" s="196"/>
      <c r="BO106" s="196"/>
      <c r="BP106" s="196"/>
      <c r="BQ106" s="196"/>
      <c r="BR106" s="196"/>
      <c r="BS106" s="196"/>
      <c r="BT106" s="196"/>
      <c r="BU106" s="196"/>
      <c r="BV106" s="196"/>
      <c r="BW106" s="196"/>
      <c r="BX106" s="196"/>
      <c r="BY106" s="196"/>
      <c r="BZ106" s="196"/>
      <c r="CA106" s="196"/>
      <c r="CB106" s="196"/>
      <c r="CC106" s="196"/>
      <c r="CD106" s="196"/>
      <c r="CE106" s="196"/>
      <c r="CF106" s="196"/>
      <c r="CG106" s="196"/>
      <c r="CH106" s="196"/>
      <c r="CI106" s="196"/>
      <c r="CJ106" s="196"/>
      <c r="CK106" s="196"/>
      <c r="CL106" s="196"/>
      <c r="CM106" s="196"/>
      <c r="CN106" s="196"/>
      <c r="CO106" s="196"/>
      <c r="CP106" s="196"/>
      <c r="CQ106" s="196"/>
      <c r="CR106" s="196"/>
      <c r="CS106" s="196"/>
      <c r="CT106" s="196"/>
      <c r="CU106" s="196"/>
      <c r="CV106" s="196"/>
      <c r="CW106" s="196"/>
      <c r="CX106" s="196"/>
      <c r="CY106" s="196"/>
      <c r="CZ106" s="196"/>
      <c r="DA106" s="196"/>
      <c r="DB106" s="196"/>
      <c r="DC106" s="196"/>
      <c r="DD106" s="196"/>
      <c r="DE106" s="196"/>
      <c r="DF106" s="196"/>
      <c r="DG106" s="196"/>
      <c r="DH106" s="196"/>
      <c r="DI106" s="196"/>
      <c r="DJ106" s="196"/>
      <c r="DK106" s="196"/>
      <c r="DL106" s="196"/>
      <c r="DM106" s="196"/>
      <c r="DN106" s="196"/>
      <c r="DO106" s="196"/>
      <c r="DP106" s="196"/>
      <c r="DQ106" s="196"/>
      <c r="DR106" s="196"/>
      <c r="DS106" s="196"/>
      <c r="DT106" s="196"/>
      <c r="DU106" s="196"/>
      <c r="DV106" s="196"/>
      <c r="DW106" s="196"/>
      <c r="DX106" s="196"/>
      <c r="DY106" s="196"/>
      <c r="DZ106" s="196"/>
      <c r="EA106" s="196"/>
      <c r="EB106" s="196"/>
      <c r="EC106" s="196"/>
      <c r="ED106" s="196"/>
      <c r="EE106" s="196"/>
      <c r="EF106" s="196"/>
      <c r="EG106" s="196"/>
      <c r="EH106" s="196"/>
      <c r="EI106" s="196"/>
      <c r="EJ106" s="196"/>
      <c r="EK106" s="196"/>
      <c r="EL106" s="196"/>
      <c r="EM106" s="196"/>
      <c r="EN106" s="196"/>
      <c r="EO106" s="196"/>
      <c r="EP106" s="196"/>
      <c r="EQ106" s="196"/>
      <c r="ER106" s="196"/>
      <c r="ES106" s="196"/>
      <c r="ET106" s="196"/>
      <c r="EU106" s="196"/>
      <c r="EV106" s="196"/>
      <c r="EW106" s="196"/>
      <c r="EX106" s="196"/>
      <c r="EY106" s="196"/>
      <c r="EZ106" s="196"/>
      <c r="FA106" s="196"/>
      <c r="FB106" s="196"/>
      <c r="FC106" s="196"/>
      <c r="FD106" s="196"/>
      <c r="FE106" s="196"/>
      <c r="FF106" s="196"/>
      <c r="FG106" s="196"/>
      <c r="FH106" s="196"/>
      <c r="FI106" s="196"/>
      <c r="FJ106" s="196"/>
      <c r="FK106" s="196"/>
      <c r="FL106" s="196"/>
      <c r="FM106" s="196"/>
      <c r="FN106" s="196"/>
      <c r="FO106" s="196"/>
      <c r="FP106" s="196"/>
      <c r="FQ106" s="196"/>
      <c r="FR106" s="196"/>
      <c r="FS106" s="196"/>
      <c r="FT106" s="196"/>
      <c r="FU106" s="196"/>
      <c r="FV106" s="196"/>
      <c r="FW106" s="196"/>
      <c r="FX106" s="196"/>
      <c r="FY106" s="196"/>
    </row>
    <row r="107" spans="1:181" ht="11.25" customHeight="1">
      <c r="A107" s="200" t="str">
        <f>+A89</f>
        <v>Use of Proceeds (3 Years)</v>
      </c>
      <c r="B107" s="196"/>
      <c r="C107" s="196"/>
      <c r="D107" s="196"/>
      <c r="E107" s="196"/>
      <c r="F107" s="196"/>
      <c r="G107" s="196"/>
      <c r="H107" s="196"/>
      <c r="I107" s="196"/>
      <c r="J107" s="196"/>
      <c r="K107" s="196"/>
      <c r="L107" s="196"/>
      <c r="M107" s="263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6"/>
      <c r="AS107" s="196"/>
      <c r="AT107" s="196"/>
      <c r="AU107" s="196"/>
      <c r="AV107" s="196"/>
      <c r="AW107" s="196"/>
      <c r="AX107" s="196"/>
      <c r="AY107" s="196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96"/>
      <c r="BO107" s="196"/>
      <c r="BP107" s="196"/>
      <c r="BQ107" s="196"/>
      <c r="BR107" s="196"/>
      <c r="BS107" s="196"/>
      <c r="BT107" s="196"/>
      <c r="BU107" s="196"/>
      <c r="BV107" s="196"/>
      <c r="BW107" s="196"/>
      <c r="BX107" s="196"/>
      <c r="BY107" s="196"/>
      <c r="BZ107" s="196"/>
      <c r="CA107" s="196"/>
      <c r="CB107" s="196"/>
      <c r="CC107" s="196"/>
      <c r="CD107" s="196"/>
      <c r="CE107" s="196"/>
      <c r="CF107" s="196"/>
      <c r="CG107" s="196"/>
      <c r="CH107" s="196"/>
      <c r="CI107" s="196"/>
      <c r="CJ107" s="196"/>
      <c r="CK107" s="196"/>
      <c r="CL107" s="196"/>
      <c r="CM107" s="196"/>
      <c r="CN107" s="196"/>
      <c r="CO107" s="196"/>
      <c r="CP107" s="196"/>
      <c r="CQ107" s="196"/>
      <c r="CR107" s="196"/>
      <c r="CS107" s="196"/>
      <c r="CT107" s="196"/>
      <c r="CU107" s="196"/>
      <c r="CV107" s="196"/>
      <c r="CW107" s="196"/>
      <c r="CX107" s="196"/>
      <c r="CY107" s="196"/>
      <c r="CZ107" s="196"/>
      <c r="DA107" s="196"/>
      <c r="DB107" s="196"/>
      <c r="DC107" s="196"/>
      <c r="DD107" s="196"/>
      <c r="DE107" s="196"/>
      <c r="DF107" s="196"/>
      <c r="DG107" s="196"/>
      <c r="DH107" s="196"/>
      <c r="DI107" s="196"/>
      <c r="DJ107" s="196"/>
      <c r="DK107" s="196"/>
      <c r="DL107" s="196"/>
      <c r="DM107" s="196"/>
      <c r="DN107" s="196"/>
      <c r="DO107" s="196"/>
      <c r="DP107" s="196"/>
      <c r="DQ107" s="196"/>
      <c r="DR107" s="196"/>
      <c r="DS107" s="196"/>
      <c r="DT107" s="196"/>
      <c r="DU107" s="196"/>
      <c r="DV107" s="196"/>
      <c r="DW107" s="196"/>
      <c r="DX107" s="196"/>
      <c r="DY107" s="196"/>
      <c r="DZ107" s="196"/>
      <c r="EA107" s="196"/>
      <c r="EB107" s="196"/>
      <c r="EC107" s="196"/>
      <c r="ED107" s="196"/>
      <c r="EE107" s="196"/>
      <c r="EF107" s="196"/>
      <c r="EG107" s="196"/>
      <c r="EH107" s="196"/>
      <c r="EI107" s="196"/>
      <c r="EJ107" s="196"/>
      <c r="EK107" s="196"/>
      <c r="EL107" s="196"/>
      <c r="EM107" s="196"/>
      <c r="EN107" s="196"/>
      <c r="EO107" s="196"/>
      <c r="EP107" s="196"/>
      <c r="EQ107" s="196"/>
      <c r="ER107" s="196"/>
      <c r="ES107" s="196"/>
      <c r="ET107" s="196"/>
      <c r="EU107" s="196"/>
      <c r="EV107" s="196"/>
      <c r="EW107" s="196"/>
      <c r="EX107" s="196"/>
      <c r="EY107" s="196"/>
      <c r="EZ107" s="196"/>
      <c r="FA107" s="196"/>
      <c r="FB107" s="196"/>
      <c r="FC107" s="196"/>
      <c r="FD107" s="196"/>
      <c r="FE107" s="196"/>
      <c r="FF107" s="196"/>
      <c r="FG107" s="196"/>
      <c r="FH107" s="196"/>
      <c r="FI107" s="196"/>
      <c r="FJ107" s="196"/>
      <c r="FK107" s="196"/>
      <c r="FL107" s="196"/>
      <c r="FM107" s="196"/>
      <c r="FN107" s="196"/>
      <c r="FO107" s="196"/>
      <c r="FP107" s="196"/>
      <c r="FQ107" s="196"/>
      <c r="FR107" s="196"/>
      <c r="FS107" s="196"/>
      <c r="FT107" s="196"/>
      <c r="FU107" s="196"/>
      <c r="FV107" s="196"/>
      <c r="FW107" s="196"/>
      <c r="FX107" s="196"/>
      <c r="FY107" s="196"/>
    </row>
    <row r="108" spans="1:181" ht="11.25" customHeight="1">
      <c r="A108" s="200" t="s">
        <v>533</v>
      </c>
      <c r="B108" s="183"/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  <c r="FE108" s="183"/>
      <c r="FF108" s="183"/>
      <c r="FG108" s="183"/>
      <c r="FH108" s="183"/>
      <c r="FI108" s="183"/>
      <c r="FJ108" s="183"/>
      <c r="FK108" s="183"/>
      <c r="FL108" s="183"/>
      <c r="FM108" s="183"/>
      <c r="FN108" s="183"/>
      <c r="FO108" s="183"/>
      <c r="FP108" s="183"/>
      <c r="FQ108" s="183"/>
      <c r="FR108" s="183"/>
      <c r="FS108" s="183"/>
      <c r="FT108" s="183"/>
      <c r="FU108" s="183"/>
      <c r="FV108" s="183"/>
      <c r="FW108" s="183"/>
      <c r="FX108" s="183"/>
      <c r="FY108" s="183"/>
    </row>
    <row r="109" spans="1:181" ht="11.25" customHeight="1">
      <c r="A109" s="199" t="s">
        <v>598</v>
      </c>
      <c r="B109" s="183"/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  <c r="FE109" s="183"/>
      <c r="FF109" s="183"/>
      <c r="FG109" s="183"/>
      <c r="FH109" s="183"/>
      <c r="FI109" s="183"/>
      <c r="FJ109" s="183"/>
      <c r="FK109" s="183"/>
      <c r="FL109" s="183"/>
      <c r="FM109" s="183"/>
      <c r="FN109" s="183"/>
      <c r="FO109" s="183"/>
      <c r="FP109" s="183"/>
      <c r="FQ109" s="183"/>
      <c r="FR109" s="183"/>
      <c r="FS109" s="183"/>
      <c r="FT109" s="183"/>
      <c r="FU109" s="183"/>
      <c r="FV109" s="183"/>
      <c r="FW109" s="183"/>
      <c r="FX109" s="183"/>
      <c r="FY109" s="183"/>
    </row>
    <row r="110" spans="1:181" ht="11.25" customHeight="1">
      <c r="A110" s="199" t="str">
        <f>+'[2]Assumptions &amp; Variables'!B70</f>
        <v>Y1 Gen 1 short (30 pax) first run (2 weeks)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215">
        <f>+'[2]Assumptions &amp; Variables'!D70*1000</f>
        <v>140710.08000000002</v>
      </c>
      <c r="L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  <c r="FE110" s="183"/>
      <c r="FF110" s="183"/>
      <c r="FG110" s="183"/>
      <c r="FH110" s="183"/>
      <c r="FI110" s="183"/>
      <c r="FJ110" s="183"/>
      <c r="FK110" s="183"/>
      <c r="FL110" s="183"/>
      <c r="FM110" s="183"/>
      <c r="FN110" s="183"/>
      <c r="FO110" s="183"/>
      <c r="FP110" s="183"/>
      <c r="FQ110" s="183"/>
      <c r="FR110" s="183"/>
      <c r="FS110" s="183"/>
      <c r="FT110" s="183"/>
      <c r="FU110" s="183"/>
      <c r="FV110" s="183"/>
      <c r="FW110" s="183"/>
      <c r="FX110" s="183"/>
      <c r="FY110" s="183"/>
    </row>
    <row r="111" spans="1:181" ht="11.25" customHeight="1">
      <c r="A111" s="199" t="str">
        <f>'[2]Assumptions &amp; Variables'!B71</f>
        <v>Y1 Rerun Gen 1 short (30 pax) first run admin costs only (2 weeks)</v>
      </c>
      <c r="B111" s="183"/>
      <c r="C111" s="183"/>
      <c r="D111" s="183"/>
      <c r="E111" s="183"/>
      <c r="F111" s="183"/>
      <c r="G111" s="183"/>
      <c r="H111" s="183"/>
      <c r="I111" s="183"/>
      <c r="J111" s="183"/>
      <c r="K111" s="215">
        <f>+'[2]Assumptions &amp; Variables'!D71*1000</f>
        <v>138197.4</v>
      </c>
      <c r="L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  <c r="FE111" s="183"/>
      <c r="FF111" s="183"/>
      <c r="FG111" s="183"/>
      <c r="FH111" s="183"/>
      <c r="FI111" s="183"/>
      <c r="FJ111" s="183"/>
      <c r="FK111" s="183"/>
      <c r="FL111" s="183"/>
      <c r="FM111" s="183"/>
      <c r="FN111" s="183"/>
      <c r="FO111" s="183"/>
      <c r="FP111" s="183"/>
      <c r="FQ111" s="183"/>
      <c r="FR111" s="183"/>
      <c r="FS111" s="183"/>
      <c r="FT111" s="183"/>
      <c r="FU111" s="183"/>
      <c r="FV111" s="183"/>
      <c r="FW111" s="183"/>
      <c r="FX111" s="183"/>
      <c r="FY111" s="183"/>
    </row>
    <row r="112" spans="1:181" ht="11.25" customHeight="1">
      <c r="A112" s="199" t="str">
        <f>'[2]Assumptions &amp; Variables'!B74</f>
        <v>Y1 Gen 1 long (50 pax) first run (3 months)</v>
      </c>
      <c r="B112" s="183"/>
      <c r="C112" s="183"/>
      <c r="D112" s="183"/>
      <c r="E112" s="183"/>
      <c r="F112" s="183"/>
      <c r="G112" s="183"/>
      <c r="H112" s="183"/>
      <c r="I112" s="183"/>
      <c r="J112" s="183"/>
      <c r="K112" s="215">
        <f>+'[2]Assumptions &amp; Variables'!D74*1000</f>
        <v>443488.02</v>
      </c>
      <c r="L112" s="183"/>
      <c r="M112" s="264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  <c r="FE112" s="183"/>
      <c r="FF112" s="183"/>
      <c r="FG112" s="183"/>
      <c r="FH112" s="183"/>
      <c r="FI112" s="183"/>
      <c r="FJ112" s="183"/>
      <c r="FK112" s="183"/>
      <c r="FL112" s="183"/>
      <c r="FM112" s="183"/>
      <c r="FN112" s="183"/>
      <c r="FO112" s="183"/>
      <c r="FP112" s="183"/>
      <c r="FQ112" s="183"/>
      <c r="FR112" s="183"/>
      <c r="FS112" s="183"/>
      <c r="FT112" s="183"/>
      <c r="FU112" s="183"/>
      <c r="FV112" s="183"/>
      <c r="FW112" s="183"/>
      <c r="FX112" s="183"/>
      <c r="FY112" s="183"/>
    </row>
    <row r="113" spans="1:181" ht="11.25" customHeight="1">
      <c r="A113" s="199" t="str">
        <f>'[2]Assumptions &amp; Variables'!B75</f>
        <v>Y1 Rerun Gen 1 long (50 pax) first run  (with hardware replacement) (3 months)</v>
      </c>
      <c r="B113" s="183"/>
      <c r="C113" s="183"/>
      <c r="D113" s="183"/>
      <c r="E113" s="183"/>
      <c r="F113" s="183"/>
      <c r="G113" s="183"/>
      <c r="H113" s="183"/>
      <c r="I113" s="183"/>
      <c r="J113" s="183"/>
      <c r="K113" s="215">
        <f>'[2]Assumptions &amp; Variables'!D75*1000</f>
        <v>314085</v>
      </c>
      <c r="L113" s="183"/>
      <c r="M113" s="264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  <c r="FE113" s="183"/>
      <c r="FF113" s="183"/>
      <c r="FG113" s="183"/>
      <c r="FH113" s="183"/>
      <c r="FI113" s="183"/>
      <c r="FJ113" s="183"/>
      <c r="FK113" s="183"/>
      <c r="FL113" s="183"/>
      <c r="FM113" s="183"/>
      <c r="FN113" s="183"/>
      <c r="FO113" s="183"/>
      <c r="FP113" s="183"/>
      <c r="FQ113" s="183"/>
      <c r="FR113" s="183"/>
      <c r="FS113" s="183"/>
      <c r="FT113" s="183"/>
      <c r="FU113" s="183"/>
      <c r="FV113" s="183"/>
      <c r="FW113" s="183"/>
      <c r="FX113" s="183"/>
      <c r="FY113" s="183"/>
    </row>
    <row r="114" spans="1:181" ht="11.25" customHeight="1">
      <c r="A114" s="199" t="str">
        <f>'[2]Assumptions &amp; Variables'!B78</f>
        <v>Y2 Gen 2 short (50 pax) first run  (2 weeks)</v>
      </c>
      <c r="B114" s="183"/>
      <c r="C114" s="183"/>
      <c r="D114" s="183"/>
      <c r="E114" s="183"/>
      <c r="F114" s="183"/>
      <c r="G114" s="183"/>
      <c r="H114" s="183"/>
      <c r="I114" s="183"/>
      <c r="J114" s="183"/>
      <c r="K114" s="215">
        <f>+'[2]Assumptions &amp; Variables'!D78*1000</f>
        <v>314085</v>
      </c>
      <c r="L114" s="183"/>
      <c r="M114" s="264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  <c r="FE114" s="183"/>
      <c r="FF114" s="183"/>
      <c r="FG114" s="183"/>
      <c r="FH114" s="183"/>
      <c r="FI114" s="183"/>
      <c r="FJ114" s="183"/>
      <c r="FK114" s="183"/>
      <c r="FL114" s="183"/>
      <c r="FM114" s="183"/>
      <c r="FN114" s="183"/>
      <c r="FO114" s="183"/>
      <c r="FP114" s="183"/>
      <c r="FQ114" s="183"/>
      <c r="FR114" s="183"/>
      <c r="FS114" s="183"/>
      <c r="FT114" s="183"/>
      <c r="FU114" s="183"/>
      <c r="FV114" s="183"/>
      <c r="FW114" s="183"/>
      <c r="FX114" s="183"/>
      <c r="FY114" s="183"/>
    </row>
    <row r="115" spans="1:181" ht="11.25" customHeight="1">
      <c r="A115" s="199" t="str">
        <f>'[2]Assumptions &amp; Variables'!B79</f>
        <v>Y2 Rerun Gen 2 short (50 pax) first run  (2 weeks)</v>
      </c>
      <c r="B115" s="183"/>
      <c r="C115" s="183"/>
      <c r="D115" s="183"/>
      <c r="E115" s="183"/>
      <c r="F115" s="183"/>
      <c r="G115" s="183"/>
      <c r="H115" s="183"/>
      <c r="I115" s="183"/>
      <c r="J115" s="183"/>
      <c r="K115" s="215">
        <f>'[2]Assumptions &amp; Variables'!D79*1000</f>
        <v>628170</v>
      </c>
      <c r="L115" s="183"/>
      <c r="M115" s="264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  <c r="FE115" s="183"/>
      <c r="FF115" s="183"/>
      <c r="FG115" s="183"/>
      <c r="FH115" s="183"/>
      <c r="FI115" s="183"/>
      <c r="FJ115" s="183"/>
      <c r="FK115" s="183"/>
      <c r="FL115" s="183"/>
      <c r="FM115" s="183"/>
      <c r="FN115" s="183"/>
      <c r="FO115" s="183"/>
      <c r="FP115" s="183"/>
      <c r="FQ115" s="183"/>
      <c r="FR115" s="183"/>
      <c r="FS115" s="183"/>
      <c r="FT115" s="183"/>
      <c r="FU115" s="183"/>
      <c r="FV115" s="183"/>
      <c r="FW115" s="183"/>
      <c r="FX115" s="183"/>
      <c r="FY115" s="183"/>
    </row>
    <row r="116" spans="1:181" ht="11.25" customHeight="1">
      <c r="A116" s="199" t="str">
        <f>+'[2]Assumptions &amp; Variables'!B82</f>
        <v>Y3 Gen 2 long (80 pax) first run  (3 months)</v>
      </c>
      <c r="B116" s="183"/>
      <c r="C116" s="183"/>
      <c r="D116" s="183"/>
      <c r="E116" s="183"/>
      <c r="F116" s="183"/>
      <c r="G116" s="183"/>
      <c r="H116" s="183"/>
      <c r="I116" s="183"/>
      <c r="J116" s="183"/>
      <c r="K116" s="215">
        <f>+'[2]Assumptions &amp; Variables'!D82*1000</f>
        <v>942255</v>
      </c>
      <c r="L116" s="183"/>
      <c r="M116" s="264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  <c r="FE116" s="183"/>
      <c r="FF116" s="183"/>
      <c r="FG116" s="183"/>
      <c r="FH116" s="183"/>
      <c r="FI116" s="183"/>
      <c r="FJ116" s="183"/>
      <c r="FK116" s="183"/>
      <c r="FL116" s="183"/>
      <c r="FM116" s="183"/>
      <c r="FN116" s="183"/>
      <c r="FO116" s="183"/>
      <c r="FP116" s="183"/>
      <c r="FQ116" s="183"/>
      <c r="FR116" s="183"/>
      <c r="FS116" s="183"/>
      <c r="FT116" s="183"/>
      <c r="FU116" s="183"/>
      <c r="FV116" s="183"/>
      <c r="FW116" s="183"/>
      <c r="FX116" s="183"/>
      <c r="FY116" s="183"/>
    </row>
    <row r="117" spans="1:181" ht="11.25" customHeight="1">
      <c r="A117" s="199" t="str">
        <f>+'[2]Assumptions &amp; Variables'!B83</f>
        <v>Y3 Rerun Gen 2 long (80 pax) first run (3 months)</v>
      </c>
      <c r="B117" s="183"/>
      <c r="C117" s="183"/>
      <c r="D117" s="183"/>
      <c r="E117" s="183"/>
      <c r="F117" s="183"/>
      <c r="G117" s="183"/>
      <c r="H117" s="183"/>
      <c r="I117" s="183"/>
      <c r="J117" s="183"/>
      <c r="K117" s="215">
        <f>+'[2]Assumptions &amp; Variables'!D83*1000</f>
        <v>1005072</v>
      </c>
      <c r="L117" s="183"/>
      <c r="M117" s="264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  <c r="FE117" s="183"/>
      <c r="FF117" s="183"/>
      <c r="FG117" s="183"/>
      <c r="FH117" s="183"/>
      <c r="FI117" s="183"/>
      <c r="FJ117" s="183"/>
      <c r="FK117" s="183"/>
      <c r="FL117" s="183"/>
      <c r="FM117" s="183"/>
      <c r="FN117" s="183"/>
      <c r="FO117" s="183"/>
      <c r="FP117" s="183"/>
      <c r="FQ117" s="183"/>
      <c r="FR117" s="183"/>
      <c r="FS117" s="183"/>
      <c r="FT117" s="183"/>
      <c r="FU117" s="183"/>
      <c r="FV117" s="183"/>
      <c r="FW117" s="183"/>
      <c r="FX117" s="183"/>
      <c r="FY117" s="183"/>
    </row>
    <row r="118" spans="1:181" ht="11.25" customHeight="1">
      <c r="A118" s="199" t="s">
        <v>599</v>
      </c>
      <c r="B118" s="183"/>
      <c r="C118" s="183"/>
      <c r="D118" s="183"/>
      <c r="E118" s="183"/>
      <c r="F118" s="183"/>
      <c r="G118" s="183"/>
      <c r="H118" s="183"/>
      <c r="I118" s="183"/>
      <c r="J118" s="183"/>
      <c r="K118" s="265">
        <v>100000</v>
      </c>
      <c r="L118" s="183"/>
      <c r="M118" s="264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</row>
    <row r="119" spans="1:181" ht="11.25" customHeight="1">
      <c r="A119" s="199" t="s">
        <v>600</v>
      </c>
      <c r="B119" s="183"/>
      <c r="C119" s="183"/>
      <c r="D119" s="183"/>
      <c r="E119" s="183"/>
      <c r="F119" s="183"/>
      <c r="G119" s="183"/>
      <c r="H119" s="183"/>
      <c r="I119" s="183"/>
      <c r="J119" s="183"/>
      <c r="K119" s="215">
        <f>+K98</f>
        <v>2603722</v>
      </c>
      <c r="L119" s="183"/>
      <c r="M119" s="264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</row>
    <row r="120" spans="1:181" ht="11.25" customHeight="1">
      <c r="A120" s="199" t="s">
        <v>601</v>
      </c>
      <c r="B120" s="183"/>
      <c r="C120" s="183"/>
      <c r="D120" s="183"/>
      <c r="E120" s="183"/>
      <c r="F120" s="183"/>
      <c r="G120" s="183"/>
      <c r="H120" s="183"/>
      <c r="I120" s="183"/>
      <c r="J120" s="183"/>
      <c r="K120" s="215">
        <f>100000*3</f>
        <v>300000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  <c r="FE120" s="183"/>
      <c r="FF120" s="183"/>
      <c r="FG120" s="183"/>
      <c r="FH120" s="183"/>
      <c r="FI120" s="183"/>
      <c r="FJ120" s="183"/>
      <c r="FK120" s="183"/>
      <c r="FL120" s="183"/>
      <c r="FM120" s="183"/>
      <c r="FN120" s="183"/>
      <c r="FO120" s="183"/>
      <c r="FP120" s="183"/>
      <c r="FQ120" s="183"/>
      <c r="FR120" s="183"/>
      <c r="FS120" s="183"/>
      <c r="FT120" s="183"/>
      <c r="FU120" s="183"/>
      <c r="FV120" s="183"/>
      <c r="FW120" s="183"/>
      <c r="FX120" s="183"/>
      <c r="FY120" s="183"/>
    </row>
    <row r="121" spans="1:181" ht="11.25" customHeight="1">
      <c r="A121" s="199" t="s">
        <v>602</v>
      </c>
      <c r="B121" s="183"/>
      <c r="C121" s="183"/>
      <c r="D121" s="183"/>
      <c r="E121" s="183"/>
      <c r="F121" s="183"/>
      <c r="G121" s="183"/>
      <c r="H121" s="183"/>
      <c r="I121" s="183"/>
      <c r="J121" s="183"/>
      <c r="K121" s="215">
        <f>+'[2]Payroll Total &amp; CAPEX New Hires'!L8*2</f>
        <v>256924.01738382925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  <c r="FE121" s="183"/>
      <c r="FF121" s="183"/>
      <c r="FG121" s="183"/>
      <c r="FH121" s="183"/>
      <c r="FI121" s="183"/>
      <c r="FJ121" s="183"/>
      <c r="FK121" s="183"/>
      <c r="FL121" s="183"/>
      <c r="FM121" s="183"/>
      <c r="FN121" s="183"/>
      <c r="FO121" s="183"/>
      <c r="FP121" s="183"/>
      <c r="FQ121" s="183"/>
      <c r="FR121" s="183"/>
      <c r="FS121" s="183"/>
      <c r="FT121" s="183"/>
      <c r="FU121" s="183"/>
      <c r="FV121" s="183"/>
      <c r="FW121" s="183"/>
      <c r="FX121" s="183"/>
      <c r="FY121" s="183"/>
    </row>
    <row r="122" spans="1:181" ht="11.25" customHeight="1">
      <c r="A122" s="199" t="str">
        <f>+A103</f>
        <v>QARA-Quality Assurance</v>
      </c>
      <c r="B122" s="183"/>
      <c r="C122" s="183"/>
      <c r="D122" s="183"/>
      <c r="E122" s="183"/>
      <c r="F122" s="183"/>
      <c r="G122" s="183"/>
      <c r="H122" s="183"/>
      <c r="I122" s="183"/>
      <c r="J122" s="183"/>
      <c r="K122" s="215">
        <f>+K103</f>
        <v>413998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  <c r="FE122" s="183"/>
      <c r="FF122" s="183"/>
      <c r="FG122" s="183"/>
      <c r="FH122" s="183"/>
      <c r="FI122" s="183"/>
      <c r="FJ122" s="183"/>
      <c r="FK122" s="183"/>
      <c r="FL122" s="183"/>
      <c r="FM122" s="183"/>
      <c r="FN122" s="183"/>
      <c r="FO122" s="183"/>
      <c r="FP122" s="183"/>
      <c r="FQ122" s="183"/>
      <c r="FR122" s="183"/>
      <c r="FS122" s="183"/>
      <c r="FT122" s="183"/>
      <c r="FU122" s="183"/>
      <c r="FV122" s="183"/>
      <c r="FW122" s="183"/>
      <c r="FX122" s="183"/>
      <c r="FY122" s="183"/>
    </row>
    <row r="123" spans="1:181" ht="11.25" customHeight="1">
      <c r="A123" s="199" t="s">
        <v>603</v>
      </c>
      <c r="B123" s="183"/>
      <c r="C123" s="183"/>
      <c r="D123" s="183"/>
      <c r="E123" s="183"/>
      <c r="F123" s="183"/>
      <c r="G123" s="183"/>
      <c r="H123" s="183"/>
      <c r="I123" s="183"/>
      <c r="J123" s="183"/>
      <c r="K123" s="261">
        <v>1455650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  <c r="FE123" s="183"/>
      <c r="FF123" s="183"/>
      <c r="FG123" s="183"/>
      <c r="FH123" s="183"/>
      <c r="FI123" s="183"/>
      <c r="FJ123" s="183"/>
      <c r="FK123" s="183"/>
      <c r="FL123" s="183"/>
      <c r="FM123" s="183"/>
      <c r="FN123" s="183"/>
      <c r="FO123" s="183"/>
      <c r="FP123" s="183"/>
      <c r="FQ123" s="183"/>
      <c r="FR123" s="183"/>
      <c r="FS123" s="183"/>
      <c r="FT123" s="183"/>
      <c r="FU123" s="183"/>
      <c r="FV123" s="183"/>
      <c r="FW123" s="183"/>
      <c r="FX123" s="183"/>
      <c r="FY123" s="183"/>
    </row>
    <row r="124" spans="1:181" ht="11.25" customHeight="1">
      <c r="A124" s="259"/>
      <c r="B124" s="183"/>
      <c r="C124" s="183"/>
      <c r="D124" s="183"/>
      <c r="E124" s="183"/>
      <c r="F124" s="183"/>
      <c r="G124" s="183"/>
      <c r="H124" s="183"/>
      <c r="I124" s="183"/>
      <c r="J124" s="183"/>
      <c r="K124" s="224">
        <f>SUM(K110:K123)</f>
        <v>9056356.5173838288</v>
      </c>
      <c r="L124" s="266">
        <f>+K124/$K$104</f>
        <v>0.19267478942574107</v>
      </c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  <c r="FE124" s="183"/>
      <c r="FF124" s="183"/>
      <c r="FG124" s="183"/>
      <c r="FH124" s="183"/>
      <c r="FI124" s="183"/>
      <c r="FJ124" s="183"/>
      <c r="FK124" s="183"/>
      <c r="FL124" s="183"/>
      <c r="FM124" s="183"/>
      <c r="FN124" s="183"/>
      <c r="FO124" s="183"/>
      <c r="FP124" s="183"/>
      <c r="FQ124" s="183"/>
      <c r="FR124" s="183"/>
      <c r="FS124" s="183"/>
      <c r="FT124" s="183"/>
      <c r="FU124" s="183"/>
      <c r="FV124" s="183"/>
      <c r="FW124" s="183"/>
      <c r="FX124" s="183"/>
      <c r="FY124" s="183"/>
    </row>
    <row r="125" spans="1:181" ht="12" customHeight="1">
      <c r="A125" s="200" t="s">
        <v>536</v>
      </c>
      <c r="B125" s="196"/>
      <c r="C125" s="196"/>
      <c r="D125" s="196"/>
      <c r="E125" s="196"/>
      <c r="F125" s="196"/>
      <c r="G125" s="196"/>
      <c r="H125" s="196"/>
      <c r="I125" s="196"/>
      <c r="J125" s="196"/>
      <c r="K125" s="224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6"/>
      <c r="AS125" s="196"/>
      <c r="AT125" s="196"/>
      <c r="AU125" s="196"/>
      <c r="AV125" s="196"/>
      <c r="AW125" s="196"/>
      <c r="AX125" s="196"/>
      <c r="AY125" s="196"/>
      <c r="AZ125" s="196"/>
      <c r="BA125" s="196"/>
      <c r="BB125" s="196"/>
      <c r="BC125" s="196"/>
      <c r="BD125" s="196"/>
      <c r="BE125" s="196"/>
      <c r="BF125" s="196"/>
      <c r="BG125" s="196"/>
      <c r="BH125" s="196"/>
      <c r="BI125" s="196"/>
      <c r="BJ125" s="196"/>
      <c r="BK125" s="196"/>
      <c r="BL125" s="196"/>
      <c r="BM125" s="196"/>
      <c r="BN125" s="196"/>
      <c r="BO125" s="196"/>
      <c r="BP125" s="196"/>
      <c r="BQ125" s="196"/>
      <c r="BR125" s="196"/>
      <c r="BS125" s="196"/>
      <c r="BT125" s="196"/>
      <c r="BU125" s="196"/>
      <c r="BV125" s="196"/>
      <c r="BW125" s="196"/>
      <c r="BX125" s="196"/>
      <c r="BY125" s="196"/>
      <c r="BZ125" s="196"/>
      <c r="CA125" s="196"/>
      <c r="CB125" s="196"/>
      <c r="CC125" s="196"/>
      <c r="CD125" s="196"/>
      <c r="CE125" s="196"/>
      <c r="CF125" s="196"/>
      <c r="CG125" s="196"/>
      <c r="CH125" s="196"/>
      <c r="CI125" s="196"/>
      <c r="CJ125" s="196"/>
      <c r="CK125" s="196"/>
      <c r="CL125" s="196"/>
      <c r="CM125" s="196"/>
      <c r="CN125" s="196"/>
      <c r="CO125" s="196"/>
      <c r="CP125" s="196"/>
      <c r="CQ125" s="196"/>
      <c r="CR125" s="196"/>
      <c r="CS125" s="196"/>
      <c r="CT125" s="196"/>
      <c r="CU125" s="196"/>
      <c r="CV125" s="196"/>
      <c r="CW125" s="196"/>
      <c r="CX125" s="196"/>
      <c r="CY125" s="196"/>
      <c r="CZ125" s="196"/>
      <c r="DA125" s="196"/>
      <c r="DB125" s="196"/>
      <c r="DC125" s="196"/>
      <c r="DD125" s="196"/>
      <c r="DE125" s="196"/>
      <c r="DF125" s="196"/>
      <c r="DG125" s="196"/>
      <c r="DH125" s="196"/>
      <c r="DI125" s="196"/>
      <c r="DJ125" s="196"/>
      <c r="DK125" s="196"/>
      <c r="DL125" s="196"/>
      <c r="DM125" s="196"/>
      <c r="DN125" s="196"/>
      <c r="DO125" s="196"/>
      <c r="DP125" s="196"/>
      <c r="DQ125" s="196"/>
      <c r="DR125" s="196"/>
      <c r="DS125" s="196"/>
      <c r="DT125" s="196"/>
      <c r="DU125" s="196"/>
      <c r="DV125" s="196"/>
      <c r="DW125" s="196"/>
      <c r="DX125" s="196"/>
      <c r="DY125" s="196"/>
      <c r="DZ125" s="196"/>
      <c r="EA125" s="196"/>
      <c r="EB125" s="196"/>
      <c r="EC125" s="196"/>
      <c r="ED125" s="196"/>
      <c r="EE125" s="196"/>
      <c r="EF125" s="196"/>
      <c r="EG125" s="196"/>
      <c r="EH125" s="196"/>
      <c r="EI125" s="196"/>
      <c r="EJ125" s="196"/>
      <c r="EK125" s="196"/>
      <c r="EL125" s="196"/>
      <c r="EM125" s="196"/>
      <c r="EN125" s="196"/>
      <c r="EO125" s="196"/>
      <c r="EP125" s="196"/>
      <c r="EQ125" s="196"/>
      <c r="ER125" s="196"/>
      <c r="ES125" s="196"/>
      <c r="ET125" s="196"/>
      <c r="EU125" s="196"/>
      <c r="EV125" s="196"/>
      <c r="EW125" s="196"/>
      <c r="EX125" s="196"/>
      <c r="EY125" s="196"/>
      <c r="EZ125" s="196"/>
      <c r="FA125" s="196"/>
      <c r="FB125" s="196"/>
      <c r="FC125" s="196"/>
      <c r="FD125" s="196"/>
      <c r="FE125" s="196"/>
      <c r="FF125" s="196"/>
      <c r="FG125" s="196"/>
      <c r="FH125" s="196"/>
      <c r="FI125" s="196"/>
      <c r="FJ125" s="196"/>
      <c r="FK125" s="196"/>
      <c r="FL125" s="196"/>
      <c r="FM125" s="196"/>
      <c r="FN125" s="196"/>
      <c r="FO125" s="196"/>
      <c r="FP125" s="196"/>
      <c r="FQ125" s="196"/>
      <c r="FR125" s="196"/>
      <c r="FS125" s="196"/>
      <c r="FT125" s="196"/>
      <c r="FU125" s="196"/>
      <c r="FV125" s="196"/>
      <c r="FW125" s="196"/>
      <c r="FX125" s="196"/>
      <c r="FY125" s="196"/>
    </row>
    <row r="126" spans="1:181" ht="11.25" hidden="1" customHeight="1">
      <c r="A126" s="199" t="s">
        <v>604</v>
      </c>
      <c r="B126" s="183"/>
      <c r="C126" s="183"/>
      <c r="D126" s="183"/>
      <c r="E126" s="183"/>
      <c r="F126" s="183"/>
      <c r="G126" s="183"/>
      <c r="H126" s="183"/>
      <c r="I126" s="183"/>
      <c r="J126" s="183"/>
      <c r="K126" s="215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  <c r="FE126" s="183"/>
      <c r="FF126" s="183"/>
      <c r="FG126" s="183"/>
      <c r="FH126" s="183"/>
      <c r="FI126" s="183"/>
      <c r="FJ126" s="183"/>
      <c r="FK126" s="183"/>
      <c r="FL126" s="183"/>
      <c r="FM126" s="183"/>
      <c r="FN126" s="183"/>
      <c r="FO126" s="183"/>
      <c r="FP126" s="183"/>
      <c r="FQ126" s="183"/>
      <c r="FR126" s="183"/>
      <c r="FS126" s="183"/>
      <c r="FT126" s="183"/>
      <c r="FU126" s="183"/>
      <c r="FV126" s="183"/>
      <c r="FW126" s="183"/>
      <c r="FX126" s="183"/>
      <c r="FY126" s="183"/>
    </row>
    <row r="127" spans="1:181" ht="11.25" customHeight="1">
      <c r="A127" s="199" t="s">
        <v>605</v>
      </c>
      <c r="B127" s="183"/>
      <c r="C127" s="183"/>
      <c r="D127" s="183"/>
      <c r="E127" s="183"/>
      <c r="F127" s="183"/>
      <c r="G127" s="183"/>
      <c r="H127" s="183"/>
      <c r="I127" s="183"/>
      <c r="J127" s="183"/>
      <c r="K127" s="215">
        <f>+'[2]Payroll Total &amp; CAPEX New Hires'!L6*2</f>
        <v>437109.38379737968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  <c r="FE127" s="183"/>
      <c r="FF127" s="183"/>
      <c r="FG127" s="183"/>
      <c r="FH127" s="183"/>
      <c r="FI127" s="183"/>
      <c r="FJ127" s="183"/>
      <c r="FK127" s="183"/>
      <c r="FL127" s="183"/>
      <c r="FM127" s="183"/>
      <c r="FN127" s="183"/>
      <c r="FO127" s="183"/>
      <c r="FP127" s="183"/>
      <c r="FQ127" s="183"/>
      <c r="FR127" s="183"/>
      <c r="FS127" s="183"/>
      <c r="FT127" s="183"/>
      <c r="FU127" s="183"/>
      <c r="FV127" s="183"/>
      <c r="FW127" s="183"/>
      <c r="FX127" s="183"/>
      <c r="FY127" s="183"/>
    </row>
    <row r="128" spans="1:181" ht="11.25" customHeight="1">
      <c r="A128" s="199" t="s">
        <v>606</v>
      </c>
      <c r="B128" s="183"/>
      <c r="C128" s="183"/>
      <c r="D128" s="183"/>
      <c r="E128" s="183"/>
      <c r="F128" s="183"/>
      <c r="G128" s="183"/>
      <c r="H128" s="183"/>
      <c r="I128" s="183"/>
      <c r="J128" s="183"/>
      <c r="K128" s="215">
        <f>+'[2]Payroll Total &amp; CAPEX New Hires'!L10*2</f>
        <v>1033043.6012493115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  <c r="FE128" s="183"/>
      <c r="FF128" s="183"/>
      <c r="FG128" s="183"/>
      <c r="FH128" s="183"/>
      <c r="FI128" s="183"/>
      <c r="FJ128" s="183"/>
      <c r="FK128" s="183"/>
      <c r="FL128" s="183"/>
      <c r="FM128" s="183"/>
      <c r="FN128" s="183"/>
      <c r="FO128" s="183"/>
      <c r="FP128" s="183"/>
      <c r="FQ128" s="183"/>
      <c r="FR128" s="183"/>
      <c r="FS128" s="183"/>
      <c r="FT128" s="183"/>
      <c r="FU128" s="183"/>
      <c r="FV128" s="183"/>
      <c r="FW128" s="183"/>
      <c r="FX128" s="183"/>
      <c r="FY128" s="183"/>
    </row>
    <row r="129" spans="1:181" ht="11.25" customHeight="1">
      <c r="A129" s="199" t="s">
        <v>607</v>
      </c>
      <c r="B129" s="183"/>
      <c r="C129" s="183"/>
      <c r="D129" s="183"/>
      <c r="E129" s="183"/>
      <c r="F129" s="183"/>
      <c r="G129" s="183"/>
      <c r="H129" s="183"/>
      <c r="I129" s="183"/>
      <c r="J129" s="183"/>
      <c r="K129" s="215">
        <f>+'[2]Payroll Total &amp; CAPEX New Hires'!L16*2</f>
        <v>721252.44323527068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  <c r="FE129" s="183"/>
      <c r="FF129" s="183"/>
      <c r="FG129" s="183"/>
      <c r="FH129" s="183"/>
      <c r="FI129" s="183"/>
      <c r="FJ129" s="183"/>
      <c r="FK129" s="183"/>
      <c r="FL129" s="183"/>
      <c r="FM129" s="183"/>
      <c r="FN129" s="183"/>
      <c r="FO129" s="183"/>
      <c r="FP129" s="183"/>
      <c r="FQ129" s="183"/>
      <c r="FR129" s="183"/>
      <c r="FS129" s="183"/>
      <c r="FT129" s="183"/>
      <c r="FU129" s="183"/>
      <c r="FV129" s="183"/>
      <c r="FW129" s="183"/>
      <c r="FX129" s="183"/>
      <c r="FY129" s="183"/>
    </row>
    <row r="130" spans="1:181" ht="11.25" customHeight="1">
      <c r="A130" s="199" t="s">
        <v>608</v>
      </c>
      <c r="B130" s="183"/>
      <c r="C130" s="183"/>
      <c r="D130" s="183"/>
      <c r="E130" s="183"/>
      <c r="F130" s="183"/>
      <c r="G130" s="183"/>
      <c r="H130" s="183"/>
      <c r="I130" s="183"/>
      <c r="J130" s="183"/>
      <c r="K130" s="215">
        <f>'[2]Assumptions &amp; Variables'!C101*'[2]Assumptions &amp; Variables'!C28</f>
        <v>302542.41239999997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  <c r="FE130" s="183"/>
      <c r="FF130" s="183"/>
      <c r="FG130" s="183"/>
      <c r="FH130" s="183"/>
      <c r="FI130" s="183"/>
      <c r="FJ130" s="183"/>
      <c r="FK130" s="183"/>
      <c r="FL130" s="183"/>
      <c r="FM130" s="183"/>
      <c r="FN130" s="183"/>
      <c r="FO130" s="183"/>
      <c r="FP130" s="183"/>
      <c r="FQ130" s="183"/>
      <c r="FR130" s="183"/>
      <c r="FS130" s="183"/>
      <c r="FT130" s="183"/>
      <c r="FU130" s="183"/>
      <c r="FV130" s="183"/>
      <c r="FW130" s="183"/>
      <c r="FX130" s="183"/>
      <c r="FY130" s="183"/>
    </row>
    <row r="131" spans="1:181" ht="11.25" customHeight="1">
      <c r="A131" s="199" t="s">
        <v>609</v>
      </c>
      <c r="B131" s="183"/>
      <c r="C131" s="183"/>
      <c r="D131" s="183"/>
      <c r="E131" s="183"/>
      <c r="F131" s="183"/>
      <c r="G131" s="183"/>
      <c r="H131" s="183"/>
      <c r="I131" s="183"/>
      <c r="J131" s="183"/>
      <c r="K131" s="261">
        <v>905830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</row>
    <row r="132" spans="1:181" ht="11.25" customHeight="1">
      <c r="A132" s="199"/>
      <c r="B132" s="183"/>
      <c r="C132" s="183"/>
      <c r="D132" s="183"/>
      <c r="E132" s="183"/>
      <c r="F132" s="183"/>
      <c r="G132" s="183"/>
      <c r="H132" s="183"/>
      <c r="I132" s="183"/>
      <c r="J132" s="183"/>
      <c r="K132" s="224">
        <f>SUM(K126:K131)</f>
        <v>3399777.8406819617</v>
      </c>
      <c r="L132" s="266">
        <f>+K132/$K$104</f>
        <v>7.2330575578635328E-2</v>
      </c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</row>
    <row r="133" spans="1:181" ht="11.25" customHeight="1">
      <c r="A133" s="200" t="s">
        <v>610</v>
      </c>
      <c r="B133" s="196"/>
      <c r="C133" s="196"/>
      <c r="D133" s="196"/>
      <c r="E133" s="196"/>
      <c r="F133" s="196"/>
      <c r="G133" s="196"/>
      <c r="H133" s="196"/>
      <c r="I133" s="196"/>
      <c r="J133" s="196"/>
      <c r="K133" s="224"/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6"/>
      <c r="AS133" s="196"/>
      <c r="AT133" s="196"/>
      <c r="AU133" s="196"/>
      <c r="AV133" s="196"/>
      <c r="AW133" s="196"/>
      <c r="AX133" s="196"/>
      <c r="AY133" s="196"/>
      <c r="AZ133" s="196"/>
      <c r="BA133" s="196"/>
      <c r="BB133" s="196"/>
      <c r="BC133" s="196"/>
      <c r="BD133" s="196"/>
      <c r="BE133" s="196"/>
      <c r="BF133" s="196"/>
      <c r="BG133" s="196"/>
      <c r="BH133" s="196"/>
      <c r="BI133" s="196"/>
      <c r="BJ133" s="196"/>
      <c r="BK133" s="196"/>
      <c r="BL133" s="196"/>
      <c r="BM133" s="196"/>
      <c r="BN133" s="196"/>
      <c r="BO133" s="196"/>
      <c r="BP133" s="196"/>
      <c r="BQ133" s="196"/>
      <c r="BR133" s="196"/>
      <c r="BS133" s="196"/>
      <c r="BT133" s="196"/>
      <c r="BU133" s="196"/>
      <c r="BV133" s="196"/>
      <c r="BW133" s="196"/>
      <c r="BX133" s="196"/>
      <c r="BY133" s="196"/>
      <c r="BZ133" s="196"/>
      <c r="CA133" s="196"/>
      <c r="CB133" s="196"/>
      <c r="CC133" s="196"/>
      <c r="CD133" s="196"/>
      <c r="CE133" s="196"/>
      <c r="CF133" s="196"/>
      <c r="CG133" s="196"/>
      <c r="CH133" s="196"/>
      <c r="CI133" s="196"/>
      <c r="CJ133" s="196"/>
      <c r="CK133" s="196"/>
      <c r="CL133" s="196"/>
      <c r="CM133" s="196"/>
      <c r="CN133" s="196"/>
      <c r="CO133" s="196"/>
      <c r="CP133" s="196"/>
      <c r="CQ133" s="196"/>
      <c r="CR133" s="196"/>
      <c r="CS133" s="196"/>
      <c r="CT133" s="196"/>
      <c r="CU133" s="196"/>
      <c r="CV133" s="196"/>
      <c r="CW133" s="196"/>
      <c r="CX133" s="196"/>
      <c r="CY133" s="196"/>
      <c r="CZ133" s="196"/>
      <c r="DA133" s="196"/>
      <c r="DB133" s="196"/>
      <c r="DC133" s="196"/>
      <c r="DD133" s="196"/>
      <c r="DE133" s="196"/>
      <c r="DF133" s="196"/>
      <c r="DG133" s="196"/>
      <c r="DH133" s="196"/>
      <c r="DI133" s="196"/>
      <c r="DJ133" s="196"/>
      <c r="DK133" s="196"/>
      <c r="DL133" s="196"/>
      <c r="DM133" s="196"/>
      <c r="DN133" s="196"/>
      <c r="DO133" s="196"/>
      <c r="DP133" s="196"/>
      <c r="DQ133" s="196"/>
      <c r="DR133" s="196"/>
      <c r="DS133" s="196"/>
      <c r="DT133" s="196"/>
      <c r="DU133" s="196"/>
      <c r="DV133" s="196"/>
      <c r="DW133" s="196"/>
      <c r="DX133" s="196"/>
      <c r="DY133" s="196"/>
      <c r="DZ133" s="196"/>
      <c r="EA133" s="196"/>
      <c r="EB133" s="196"/>
      <c r="EC133" s="196"/>
      <c r="ED133" s="196"/>
      <c r="EE133" s="196"/>
      <c r="EF133" s="196"/>
      <c r="EG133" s="196"/>
      <c r="EH133" s="196"/>
      <c r="EI133" s="196"/>
      <c r="EJ133" s="196"/>
      <c r="EK133" s="196"/>
      <c r="EL133" s="196"/>
      <c r="EM133" s="196"/>
      <c r="EN133" s="196"/>
      <c r="EO133" s="196"/>
      <c r="EP133" s="196"/>
      <c r="EQ133" s="196"/>
      <c r="ER133" s="196"/>
      <c r="ES133" s="196"/>
      <c r="ET133" s="196"/>
      <c r="EU133" s="196"/>
      <c r="EV133" s="196"/>
      <c r="EW133" s="196"/>
      <c r="EX133" s="196"/>
      <c r="EY133" s="196"/>
      <c r="EZ133" s="196"/>
      <c r="FA133" s="196"/>
      <c r="FB133" s="196"/>
      <c r="FC133" s="196"/>
      <c r="FD133" s="196"/>
      <c r="FE133" s="196"/>
      <c r="FF133" s="196"/>
      <c r="FG133" s="196"/>
      <c r="FH133" s="196"/>
      <c r="FI133" s="196"/>
      <c r="FJ133" s="196"/>
      <c r="FK133" s="196"/>
      <c r="FL133" s="196"/>
      <c r="FM133" s="196"/>
      <c r="FN133" s="196"/>
      <c r="FO133" s="196"/>
      <c r="FP133" s="196"/>
      <c r="FQ133" s="196"/>
      <c r="FR133" s="196"/>
      <c r="FS133" s="196"/>
      <c r="FT133" s="196"/>
      <c r="FU133" s="196"/>
      <c r="FV133" s="196"/>
      <c r="FW133" s="196"/>
      <c r="FX133" s="196"/>
      <c r="FY133" s="196"/>
    </row>
    <row r="134" spans="1:181" ht="11.25" customHeight="1">
      <c r="A134" s="199" t="s">
        <v>611</v>
      </c>
      <c r="B134" s="183"/>
      <c r="C134" s="183"/>
      <c r="D134" s="183"/>
      <c r="E134" s="183"/>
      <c r="F134" s="183"/>
      <c r="G134" s="183"/>
      <c r="H134" s="183"/>
      <c r="I134" s="183"/>
      <c r="J134" s="183"/>
      <c r="K134" s="215">
        <f>+K94</f>
        <v>8610371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  <c r="FE134" s="183"/>
      <c r="FF134" s="183"/>
      <c r="FG134" s="183"/>
      <c r="FH134" s="183"/>
      <c r="FI134" s="183"/>
      <c r="FJ134" s="183"/>
      <c r="FK134" s="183"/>
      <c r="FL134" s="183"/>
      <c r="FM134" s="183"/>
      <c r="FN134" s="183"/>
      <c r="FO134" s="183"/>
      <c r="FP134" s="183"/>
      <c r="FQ134" s="183"/>
      <c r="FR134" s="183"/>
      <c r="FS134" s="183"/>
      <c r="FT134" s="183"/>
      <c r="FU134" s="183"/>
      <c r="FV134" s="183"/>
      <c r="FW134" s="183"/>
      <c r="FX134" s="183"/>
      <c r="FY134" s="183"/>
    </row>
    <row r="135" spans="1:181" ht="11.25" customHeight="1">
      <c r="A135" s="199" t="s">
        <v>612</v>
      </c>
      <c r="B135" s="183"/>
      <c r="C135" s="183"/>
      <c r="D135" s="183"/>
      <c r="E135" s="183"/>
      <c r="F135" s="183"/>
      <c r="G135" s="183"/>
      <c r="H135" s="183"/>
      <c r="I135" s="183"/>
      <c r="J135" s="183"/>
      <c r="K135" s="215">
        <f>+'[2]Payroll Total &amp; CAPEX New Hires'!L10*2</f>
        <v>1033043.6012493115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  <c r="FE135" s="183"/>
      <c r="FF135" s="183"/>
      <c r="FG135" s="183"/>
      <c r="FH135" s="183"/>
      <c r="FI135" s="183"/>
      <c r="FJ135" s="183"/>
      <c r="FK135" s="183"/>
      <c r="FL135" s="183"/>
      <c r="FM135" s="183"/>
      <c r="FN135" s="183"/>
      <c r="FO135" s="183"/>
      <c r="FP135" s="183"/>
      <c r="FQ135" s="183"/>
      <c r="FR135" s="183"/>
      <c r="FS135" s="183"/>
      <c r="FT135" s="183"/>
      <c r="FU135" s="183"/>
      <c r="FV135" s="183"/>
      <c r="FW135" s="183"/>
      <c r="FX135" s="183"/>
      <c r="FY135" s="183"/>
    </row>
    <row r="136" spans="1:181" ht="11.25" customHeight="1">
      <c r="A136" s="199" t="s">
        <v>613</v>
      </c>
      <c r="B136" s="183"/>
      <c r="C136" s="183"/>
      <c r="D136" s="183"/>
      <c r="E136" s="183"/>
      <c r="F136" s="183"/>
      <c r="G136" s="183"/>
      <c r="H136" s="183"/>
      <c r="I136" s="183"/>
      <c r="J136" s="183"/>
      <c r="K136" s="215">
        <f>+K101</f>
        <v>1185040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  <c r="FE136" s="183"/>
      <c r="FF136" s="183"/>
      <c r="FG136" s="183"/>
      <c r="FH136" s="183"/>
      <c r="FI136" s="183"/>
      <c r="FJ136" s="183"/>
      <c r="FK136" s="183"/>
      <c r="FL136" s="183"/>
      <c r="FM136" s="183"/>
      <c r="FN136" s="183"/>
      <c r="FO136" s="183"/>
      <c r="FP136" s="183"/>
      <c r="FQ136" s="183"/>
      <c r="FR136" s="183"/>
      <c r="FS136" s="183"/>
      <c r="FT136" s="183"/>
      <c r="FU136" s="183"/>
      <c r="FV136" s="183"/>
      <c r="FW136" s="183"/>
      <c r="FX136" s="183"/>
      <c r="FY136" s="183"/>
    </row>
    <row r="137" spans="1:181" ht="9.75" hidden="1" customHeight="1">
      <c r="A137" s="199" t="s">
        <v>614</v>
      </c>
      <c r="B137" s="183"/>
      <c r="C137" s="183"/>
      <c r="D137" s="183"/>
      <c r="E137" s="183"/>
      <c r="F137" s="183"/>
      <c r="G137" s="183"/>
      <c r="H137" s="183"/>
      <c r="I137" s="183"/>
      <c r="J137" s="183"/>
      <c r="K137" s="215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  <c r="FE137" s="183"/>
      <c r="FF137" s="183"/>
      <c r="FG137" s="183"/>
      <c r="FH137" s="183"/>
      <c r="FI137" s="183"/>
      <c r="FJ137" s="183"/>
      <c r="FK137" s="183"/>
      <c r="FL137" s="183"/>
      <c r="FM137" s="183"/>
      <c r="FN137" s="183"/>
      <c r="FO137" s="183"/>
      <c r="FP137" s="183"/>
      <c r="FQ137" s="183"/>
      <c r="FR137" s="183"/>
      <c r="FS137" s="183"/>
      <c r="FT137" s="183"/>
      <c r="FU137" s="183"/>
      <c r="FV137" s="183"/>
      <c r="FW137" s="183"/>
      <c r="FX137" s="183"/>
      <c r="FY137" s="183"/>
    </row>
    <row r="138" spans="1:181" ht="9.75" hidden="1" customHeight="1">
      <c r="A138" s="199" t="s">
        <v>615</v>
      </c>
      <c r="B138" s="183"/>
      <c r="C138" s="183"/>
      <c r="D138" s="183"/>
      <c r="E138" s="183"/>
      <c r="F138" s="183"/>
      <c r="G138" s="183"/>
      <c r="H138" s="183"/>
      <c r="I138" s="183"/>
      <c r="J138" s="183"/>
      <c r="K138" s="215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  <c r="FE138" s="183"/>
      <c r="FF138" s="183"/>
      <c r="FG138" s="183"/>
      <c r="FH138" s="183"/>
      <c r="FI138" s="183"/>
      <c r="FJ138" s="183"/>
      <c r="FK138" s="183"/>
      <c r="FL138" s="183"/>
      <c r="FM138" s="183"/>
      <c r="FN138" s="183"/>
      <c r="FO138" s="183"/>
      <c r="FP138" s="183"/>
      <c r="FQ138" s="183"/>
      <c r="FR138" s="183"/>
      <c r="FS138" s="183"/>
      <c r="FT138" s="183"/>
      <c r="FU138" s="183"/>
      <c r="FV138" s="183"/>
      <c r="FW138" s="183"/>
      <c r="FX138" s="183"/>
      <c r="FY138" s="183"/>
    </row>
    <row r="139" spans="1:181" ht="9.75" customHeight="1">
      <c r="A139" s="199" t="s">
        <v>616</v>
      </c>
      <c r="B139" s="183"/>
      <c r="C139" s="183"/>
      <c r="D139" s="183"/>
      <c r="E139" s="183"/>
      <c r="F139" s="183"/>
      <c r="G139" s="183"/>
      <c r="H139" s="183"/>
      <c r="I139" s="183"/>
      <c r="J139" s="183"/>
      <c r="K139" s="215">
        <f>+'[2]Payroll Total &amp; CAPEX New Hires'!L15*2</f>
        <v>1295365.0513737365</v>
      </c>
      <c r="L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  <c r="FE139" s="183"/>
      <c r="FF139" s="183"/>
      <c r="FG139" s="183"/>
      <c r="FH139" s="183"/>
      <c r="FI139" s="183"/>
      <c r="FJ139" s="183"/>
      <c r="FK139" s="183"/>
      <c r="FL139" s="183"/>
      <c r="FM139" s="183"/>
      <c r="FN139" s="183"/>
      <c r="FO139" s="183"/>
      <c r="FP139" s="183"/>
      <c r="FQ139" s="183"/>
      <c r="FR139" s="183"/>
      <c r="FS139" s="183"/>
      <c r="FT139" s="183"/>
      <c r="FU139" s="183"/>
      <c r="FV139" s="183"/>
      <c r="FW139" s="183"/>
      <c r="FX139" s="183"/>
      <c r="FY139" s="183"/>
    </row>
    <row r="140" spans="1:181" ht="11.25" customHeight="1">
      <c r="A140" s="199" t="s">
        <v>617</v>
      </c>
      <c r="B140" s="183"/>
      <c r="C140" s="183"/>
      <c r="D140" s="183"/>
      <c r="E140" s="183"/>
      <c r="F140" s="183"/>
      <c r="G140" s="183"/>
      <c r="H140" s="183"/>
      <c r="I140" s="183"/>
      <c r="J140" s="183"/>
      <c r="K140" s="261">
        <f>+K93</f>
        <v>7107462</v>
      </c>
      <c r="L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  <c r="FE140" s="183"/>
      <c r="FF140" s="183"/>
      <c r="FG140" s="183"/>
      <c r="FH140" s="183"/>
      <c r="FI140" s="183"/>
      <c r="FJ140" s="183"/>
      <c r="FK140" s="183"/>
      <c r="FL140" s="183"/>
      <c r="FM140" s="183"/>
      <c r="FN140" s="183"/>
      <c r="FO140" s="183"/>
      <c r="FP140" s="183"/>
      <c r="FQ140" s="183"/>
      <c r="FR140" s="183"/>
      <c r="FS140" s="183"/>
      <c r="FT140" s="183"/>
      <c r="FU140" s="183"/>
      <c r="FV140" s="183"/>
      <c r="FW140" s="183"/>
      <c r="FX140" s="183"/>
      <c r="FY140" s="183"/>
    </row>
    <row r="141" spans="1:181" ht="11.25" customHeight="1">
      <c r="A141" s="199"/>
      <c r="B141" s="183"/>
      <c r="C141" s="183"/>
      <c r="D141" s="183"/>
      <c r="E141" s="183"/>
      <c r="F141" s="183"/>
      <c r="G141" s="183"/>
      <c r="H141" s="183"/>
      <c r="I141" s="183"/>
      <c r="J141" s="183"/>
      <c r="K141" s="224">
        <f>SUM(K134:K140)</f>
        <v>19231281.65262305</v>
      </c>
      <c r="L141" s="266">
        <f>+K141/$K$104</f>
        <v>0.40914722556402439</v>
      </c>
      <c r="N141" s="239" t="str">
        <f>+A108</f>
        <v>Clinical Trials</v>
      </c>
      <c r="O141" s="215">
        <f>+K124</f>
        <v>9056356.5173838288</v>
      </c>
      <c r="P141" s="266">
        <f t="shared" ref="P141:P146" si="26">+O141/$O$146</f>
        <v>0.19267478978482863</v>
      </c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  <c r="FE141" s="183"/>
      <c r="FF141" s="183"/>
      <c r="FG141" s="183"/>
      <c r="FH141" s="183"/>
      <c r="FI141" s="183"/>
      <c r="FJ141" s="183"/>
      <c r="FK141" s="183"/>
      <c r="FL141" s="183"/>
      <c r="FM141" s="183"/>
      <c r="FN141" s="183"/>
      <c r="FO141" s="183"/>
      <c r="FP141" s="183"/>
      <c r="FQ141" s="183"/>
      <c r="FR141" s="183"/>
      <c r="FS141" s="183"/>
      <c r="FT141" s="183"/>
      <c r="FU141" s="183"/>
      <c r="FV141" s="183"/>
      <c r="FW141" s="183"/>
      <c r="FX141" s="183"/>
      <c r="FY141" s="183"/>
    </row>
    <row r="142" spans="1:181" ht="11.25" customHeight="1">
      <c r="A142" s="199"/>
      <c r="B142" s="183"/>
      <c r="C142" s="183"/>
      <c r="D142" s="183"/>
      <c r="E142" s="183"/>
      <c r="F142" s="183"/>
      <c r="G142" s="183"/>
      <c r="H142" s="183"/>
      <c r="I142" s="183"/>
      <c r="J142" s="183"/>
      <c r="K142" s="215"/>
      <c r="L142" s="183"/>
      <c r="M142" s="183"/>
      <c r="N142" s="239" t="str">
        <f>+A125</f>
        <v>Research &amp; Development</v>
      </c>
      <c r="O142" s="215">
        <f>+K132</f>
        <v>3399777.8406819617</v>
      </c>
      <c r="P142" s="266">
        <f t="shared" si="26"/>
        <v>7.233057571343765E-2</v>
      </c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  <c r="FE142" s="183"/>
      <c r="FF142" s="183"/>
      <c r="FG142" s="183"/>
      <c r="FH142" s="183"/>
      <c r="FI142" s="183"/>
      <c r="FJ142" s="183"/>
      <c r="FK142" s="183"/>
      <c r="FL142" s="183"/>
      <c r="FM142" s="183"/>
      <c r="FN142" s="183"/>
      <c r="FO142" s="183"/>
      <c r="FP142" s="183"/>
      <c r="FQ142" s="183"/>
      <c r="FR142" s="183"/>
      <c r="FS142" s="183"/>
      <c r="FT142" s="183"/>
      <c r="FU142" s="183"/>
      <c r="FV142" s="183"/>
      <c r="FW142" s="183"/>
      <c r="FX142" s="183"/>
      <c r="FY142" s="183"/>
    </row>
    <row r="143" spans="1:181" ht="11.25" customHeight="1">
      <c r="A143" s="200" t="s">
        <v>618</v>
      </c>
      <c r="B143" s="196"/>
      <c r="C143" s="196"/>
      <c r="D143" s="196"/>
      <c r="E143" s="196"/>
      <c r="F143" s="196"/>
      <c r="G143" s="196"/>
      <c r="H143" s="196"/>
      <c r="I143" s="196"/>
      <c r="J143" s="196"/>
      <c r="K143" s="224"/>
      <c r="L143" s="196"/>
      <c r="M143" s="196"/>
      <c r="N143" s="239" t="str">
        <f>+A133</f>
        <v>Marketing &amp; Commercialisation Support</v>
      </c>
      <c r="O143" s="215">
        <f>+K141</f>
        <v>19231281.65262305</v>
      </c>
      <c r="P143" s="266">
        <f t="shared" si="26"/>
        <v>0.40914722632655115</v>
      </c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196"/>
      <c r="AN143" s="196"/>
      <c r="AO143" s="196"/>
      <c r="AP143" s="196"/>
      <c r="AQ143" s="196"/>
      <c r="AR143" s="196"/>
      <c r="AS143" s="196"/>
      <c r="AT143" s="196"/>
      <c r="AU143" s="196"/>
      <c r="AV143" s="196"/>
      <c r="AW143" s="196"/>
      <c r="AX143" s="196"/>
      <c r="AY143" s="196"/>
      <c r="AZ143" s="196"/>
      <c r="BA143" s="196"/>
      <c r="BB143" s="196"/>
      <c r="BC143" s="196"/>
      <c r="BD143" s="196"/>
      <c r="BE143" s="196"/>
      <c r="BF143" s="196"/>
      <c r="BG143" s="196"/>
      <c r="BH143" s="196"/>
      <c r="BI143" s="196"/>
      <c r="BJ143" s="196"/>
      <c r="BK143" s="196"/>
      <c r="BL143" s="196"/>
      <c r="BM143" s="196"/>
      <c r="BN143" s="196"/>
      <c r="BO143" s="196"/>
      <c r="BP143" s="196"/>
      <c r="BQ143" s="196"/>
      <c r="BR143" s="196"/>
      <c r="BS143" s="196"/>
      <c r="BT143" s="196"/>
      <c r="BU143" s="196"/>
      <c r="BV143" s="196"/>
      <c r="BW143" s="196"/>
      <c r="BX143" s="196"/>
      <c r="BY143" s="196"/>
      <c r="BZ143" s="196"/>
      <c r="CA143" s="196"/>
      <c r="CB143" s="196"/>
      <c r="CC143" s="196"/>
      <c r="CD143" s="196"/>
      <c r="CE143" s="196"/>
      <c r="CF143" s="196"/>
      <c r="CG143" s="196"/>
      <c r="CH143" s="196"/>
      <c r="CI143" s="196"/>
      <c r="CJ143" s="196"/>
      <c r="CK143" s="196"/>
      <c r="CL143" s="196"/>
      <c r="CM143" s="196"/>
      <c r="CN143" s="196"/>
      <c r="CO143" s="196"/>
      <c r="CP143" s="196"/>
      <c r="CQ143" s="196"/>
      <c r="CR143" s="196"/>
      <c r="CS143" s="196"/>
      <c r="CT143" s="196"/>
      <c r="CU143" s="196"/>
      <c r="CV143" s="196"/>
      <c r="CW143" s="196"/>
      <c r="CX143" s="196"/>
      <c r="CY143" s="196"/>
      <c r="CZ143" s="196"/>
      <c r="DA143" s="196"/>
      <c r="DB143" s="196"/>
      <c r="DC143" s="196"/>
      <c r="DD143" s="196"/>
      <c r="DE143" s="196"/>
      <c r="DF143" s="196"/>
      <c r="DG143" s="196"/>
      <c r="DH143" s="196"/>
      <c r="DI143" s="196"/>
      <c r="DJ143" s="196"/>
      <c r="DK143" s="196"/>
      <c r="DL143" s="196"/>
      <c r="DM143" s="196"/>
      <c r="DN143" s="196"/>
      <c r="DO143" s="196"/>
      <c r="DP143" s="196"/>
      <c r="DQ143" s="196"/>
      <c r="DR143" s="196"/>
      <c r="DS143" s="196"/>
      <c r="DT143" s="196"/>
      <c r="DU143" s="196"/>
      <c r="DV143" s="196"/>
      <c r="DW143" s="196"/>
      <c r="DX143" s="196"/>
      <c r="DY143" s="196"/>
      <c r="DZ143" s="196"/>
      <c r="EA143" s="196"/>
      <c r="EB143" s="196"/>
      <c r="EC143" s="196"/>
      <c r="ED143" s="196"/>
      <c r="EE143" s="196"/>
      <c r="EF143" s="196"/>
      <c r="EG143" s="196"/>
      <c r="EH143" s="196"/>
      <c r="EI143" s="196"/>
      <c r="EJ143" s="196"/>
      <c r="EK143" s="196"/>
      <c r="EL143" s="196"/>
      <c r="EM143" s="196"/>
      <c r="EN143" s="196"/>
      <c r="EO143" s="196"/>
      <c r="EP143" s="196"/>
      <c r="EQ143" s="196"/>
      <c r="ER143" s="196"/>
      <c r="ES143" s="196"/>
      <c r="ET143" s="196"/>
      <c r="EU143" s="196"/>
      <c r="EV143" s="196"/>
      <c r="EW143" s="196"/>
      <c r="EX143" s="196"/>
      <c r="EY143" s="196"/>
      <c r="EZ143" s="196"/>
      <c r="FA143" s="196"/>
      <c r="FB143" s="196"/>
      <c r="FC143" s="196"/>
      <c r="FD143" s="196"/>
      <c r="FE143" s="196"/>
      <c r="FF143" s="196"/>
      <c r="FG143" s="196"/>
      <c r="FH143" s="196"/>
      <c r="FI143" s="196"/>
      <c r="FJ143" s="196"/>
      <c r="FK143" s="196"/>
      <c r="FL143" s="196"/>
      <c r="FM143" s="196"/>
      <c r="FN143" s="196"/>
      <c r="FO143" s="196"/>
      <c r="FP143" s="196"/>
      <c r="FQ143" s="196"/>
      <c r="FR143" s="196"/>
      <c r="FS143" s="196"/>
      <c r="FT143" s="196"/>
      <c r="FU143" s="196"/>
      <c r="FV143" s="196"/>
      <c r="FW143" s="196"/>
      <c r="FX143" s="196"/>
      <c r="FY143" s="196"/>
    </row>
    <row r="144" spans="1:181" ht="11.25" customHeight="1">
      <c r="A144" s="199" t="str">
        <f>+A99</f>
        <v>Legal Fees</v>
      </c>
      <c r="B144" s="183"/>
      <c r="C144" s="183"/>
      <c r="D144" s="183"/>
      <c r="E144" s="183"/>
      <c r="F144" s="183"/>
      <c r="G144" s="183"/>
      <c r="H144" s="183"/>
      <c r="I144" s="183"/>
      <c r="J144" s="183"/>
      <c r="K144" s="215">
        <f>+K99</f>
        <v>964156</v>
      </c>
      <c r="L144" s="183"/>
      <c r="M144" s="183"/>
      <c r="N144" s="239" t="str">
        <f>+A143</f>
        <v>Legal Compliance &amp; Patents</v>
      </c>
      <c r="O144" s="215">
        <f>+K148</f>
        <v>4896413.9387148377</v>
      </c>
      <c r="P144" s="266">
        <f t="shared" si="26"/>
        <v>0.10417164171159606</v>
      </c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  <c r="FE144" s="183"/>
      <c r="FF144" s="183"/>
      <c r="FG144" s="183"/>
      <c r="FH144" s="183"/>
      <c r="FI144" s="183"/>
      <c r="FJ144" s="183"/>
      <c r="FK144" s="183"/>
      <c r="FL144" s="183"/>
      <c r="FM144" s="183"/>
      <c r="FN144" s="183"/>
      <c r="FO144" s="183"/>
      <c r="FP144" s="183"/>
      <c r="FQ144" s="183"/>
      <c r="FR144" s="183"/>
      <c r="FS144" s="183"/>
      <c r="FT144" s="183"/>
      <c r="FU144" s="183"/>
      <c r="FV144" s="183"/>
      <c r="FW144" s="183"/>
      <c r="FX144" s="183"/>
      <c r="FY144" s="183"/>
    </row>
    <row r="145" spans="1:181" ht="11.25" customHeight="1">
      <c r="A145" s="199" t="str">
        <f>+A102</f>
        <v>Patents</v>
      </c>
      <c r="B145" s="183"/>
      <c r="C145" s="183"/>
      <c r="D145" s="183"/>
      <c r="E145" s="183"/>
      <c r="F145" s="183"/>
      <c r="G145" s="183"/>
      <c r="H145" s="183"/>
      <c r="I145" s="183"/>
      <c r="J145" s="183"/>
      <c r="K145" s="215">
        <f>+K102</f>
        <v>1140130</v>
      </c>
      <c r="L145" s="183"/>
      <c r="M145" s="183"/>
      <c r="N145" s="239" t="str">
        <f>+A150</f>
        <v>General &amp; Administrative</v>
      </c>
      <c r="O145" s="215">
        <f>+K156</f>
        <v>10419498.962996323</v>
      </c>
      <c r="P145" s="266">
        <f t="shared" si="26"/>
        <v>0.22167576646358642</v>
      </c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</row>
    <row r="146" spans="1:181" ht="11.25" customHeight="1">
      <c r="A146" s="199" t="s">
        <v>619</v>
      </c>
      <c r="B146" s="183"/>
      <c r="C146" s="183"/>
      <c r="D146" s="183"/>
      <c r="E146" s="183"/>
      <c r="F146" s="183"/>
      <c r="G146" s="183"/>
      <c r="H146" s="183"/>
      <c r="I146" s="183"/>
      <c r="J146" s="183"/>
      <c r="K146" s="215">
        <f>+'[2]Payroll Total &amp; CAPEX New Hires'!L14*2</f>
        <v>59102.938714838339</v>
      </c>
      <c r="L146" s="183"/>
      <c r="M146" s="183"/>
      <c r="N146" s="183"/>
      <c r="O146" s="224">
        <f>SUM(O141:O145)</f>
        <v>47003328.912400007</v>
      </c>
      <c r="P146" s="266">
        <f t="shared" si="26"/>
        <v>1</v>
      </c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</row>
    <row r="147" spans="1:181" ht="11.25" customHeight="1">
      <c r="A147" s="199" t="s">
        <v>620</v>
      </c>
      <c r="B147" s="183"/>
      <c r="C147" s="183"/>
      <c r="D147" s="183"/>
      <c r="E147" s="183"/>
      <c r="F147" s="183"/>
      <c r="G147" s="183"/>
      <c r="H147" s="183"/>
      <c r="I147" s="183"/>
      <c r="J147" s="183"/>
      <c r="K147" s="261">
        <f>5466050/2</f>
        <v>2733025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  <c r="FE147" s="183"/>
      <c r="FF147" s="183"/>
      <c r="FG147" s="183"/>
      <c r="FH147" s="183"/>
      <c r="FI147" s="183"/>
      <c r="FJ147" s="183"/>
      <c r="FK147" s="183"/>
      <c r="FL147" s="183"/>
      <c r="FM147" s="183"/>
      <c r="FN147" s="183"/>
      <c r="FO147" s="183"/>
      <c r="FP147" s="183"/>
      <c r="FQ147" s="183"/>
      <c r="FR147" s="183"/>
      <c r="FS147" s="183"/>
      <c r="FT147" s="183"/>
      <c r="FU147" s="183"/>
      <c r="FV147" s="183"/>
      <c r="FW147" s="183"/>
      <c r="FX147" s="183"/>
      <c r="FY147" s="183"/>
    </row>
    <row r="148" spans="1:181" ht="11.25" customHeight="1">
      <c r="A148" s="199"/>
      <c r="B148" s="183"/>
      <c r="C148" s="183"/>
      <c r="D148" s="183"/>
      <c r="E148" s="183"/>
      <c r="F148" s="183"/>
      <c r="G148" s="183"/>
      <c r="H148" s="183"/>
      <c r="I148" s="183"/>
      <c r="J148" s="183"/>
      <c r="K148" s="224">
        <f>SUM(K144:K147)</f>
        <v>4896413.9387148377</v>
      </c>
      <c r="L148" s="266">
        <f>+K148/$K$104</f>
        <v>0.10417164151745162</v>
      </c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  <c r="FE148" s="183"/>
      <c r="FF148" s="183"/>
      <c r="FG148" s="183"/>
      <c r="FH148" s="183"/>
      <c r="FI148" s="183"/>
      <c r="FJ148" s="183"/>
      <c r="FK148" s="183"/>
      <c r="FL148" s="183"/>
      <c r="FM148" s="183"/>
      <c r="FN148" s="183"/>
      <c r="FO148" s="183"/>
      <c r="FP148" s="183"/>
      <c r="FQ148" s="183"/>
      <c r="FR148" s="183"/>
      <c r="FS148" s="183"/>
      <c r="FT148" s="183"/>
      <c r="FU148" s="183"/>
      <c r="FV148" s="183"/>
      <c r="FW148" s="183"/>
      <c r="FX148" s="183"/>
      <c r="FY148" s="183"/>
    </row>
    <row r="149" spans="1:181" ht="11.25" customHeight="1">
      <c r="A149" s="199"/>
      <c r="B149" s="183"/>
      <c r="C149" s="183"/>
      <c r="D149" s="183"/>
      <c r="E149" s="183"/>
      <c r="F149" s="183"/>
      <c r="G149" s="183"/>
      <c r="H149" s="183"/>
      <c r="I149" s="183"/>
      <c r="J149" s="183"/>
      <c r="K149" s="215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  <c r="FE149" s="183"/>
      <c r="FF149" s="183"/>
      <c r="FG149" s="183"/>
      <c r="FH149" s="183"/>
      <c r="FI149" s="183"/>
      <c r="FJ149" s="183"/>
      <c r="FK149" s="183"/>
      <c r="FL149" s="183"/>
      <c r="FM149" s="183"/>
      <c r="FN149" s="183"/>
      <c r="FO149" s="183"/>
      <c r="FP149" s="183"/>
      <c r="FQ149" s="183"/>
      <c r="FR149" s="183"/>
      <c r="FS149" s="183"/>
      <c r="FT149" s="183"/>
      <c r="FU149" s="183"/>
      <c r="FV149" s="183"/>
      <c r="FW149" s="183"/>
      <c r="FX149" s="183"/>
      <c r="FY149" s="183"/>
    </row>
    <row r="150" spans="1:181" ht="11.25" customHeight="1">
      <c r="A150" s="200" t="s">
        <v>621</v>
      </c>
      <c r="B150" s="183"/>
      <c r="C150" s="183"/>
      <c r="D150" s="183"/>
      <c r="E150" s="183"/>
      <c r="F150" s="183"/>
      <c r="G150" s="183"/>
      <c r="H150" s="183"/>
      <c r="I150" s="183"/>
      <c r="J150" s="183"/>
      <c r="K150" s="215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</row>
    <row r="151" spans="1:181" ht="11.25" customHeight="1">
      <c r="A151" s="199" t="str">
        <f t="shared" ref="A151:A152" si="27">+A96</f>
        <v>Administration</v>
      </c>
      <c r="B151" s="183"/>
      <c r="C151" s="183"/>
      <c r="D151" s="183"/>
      <c r="E151" s="183"/>
      <c r="F151" s="183"/>
      <c r="G151" s="183"/>
      <c r="H151" s="183"/>
      <c r="I151" s="183"/>
      <c r="J151" s="183"/>
      <c r="K151" s="215">
        <f t="shared" ref="K151:K152" si="28">+K96</f>
        <v>963185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  <c r="FE151" s="183"/>
      <c r="FF151" s="183"/>
      <c r="FG151" s="183"/>
      <c r="FH151" s="183"/>
      <c r="FI151" s="183"/>
      <c r="FJ151" s="183"/>
      <c r="FK151" s="183"/>
      <c r="FL151" s="183"/>
      <c r="FM151" s="183"/>
      <c r="FN151" s="183"/>
      <c r="FO151" s="183"/>
      <c r="FP151" s="183"/>
      <c r="FQ151" s="183"/>
      <c r="FR151" s="183"/>
      <c r="FS151" s="183"/>
      <c r="FT151" s="183"/>
      <c r="FU151" s="183"/>
      <c r="FV151" s="183"/>
      <c r="FW151" s="183"/>
      <c r="FX151" s="183"/>
      <c r="FY151" s="183"/>
    </row>
    <row r="152" spans="1:181" ht="11.25" customHeight="1">
      <c r="A152" s="199" t="str">
        <f t="shared" si="27"/>
        <v>Recruitment Costs</v>
      </c>
      <c r="B152" s="183"/>
      <c r="C152" s="183"/>
      <c r="D152" s="183"/>
      <c r="E152" s="183"/>
      <c r="F152" s="183"/>
      <c r="G152" s="183"/>
      <c r="H152" s="183"/>
      <c r="I152" s="183"/>
      <c r="J152" s="183"/>
      <c r="K152" s="215">
        <f t="shared" si="28"/>
        <v>583690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  <c r="FE152" s="183"/>
      <c r="FF152" s="183"/>
      <c r="FG152" s="183"/>
      <c r="FH152" s="183"/>
      <c r="FI152" s="183"/>
      <c r="FJ152" s="183"/>
      <c r="FK152" s="183"/>
      <c r="FL152" s="183"/>
      <c r="FM152" s="183"/>
      <c r="FN152" s="183"/>
      <c r="FO152" s="183"/>
      <c r="FP152" s="183"/>
      <c r="FQ152" s="183"/>
      <c r="FR152" s="183"/>
      <c r="FS152" s="183"/>
      <c r="FT152" s="183"/>
      <c r="FU152" s="183"/>
      <c r="FV152" s="183"/>
      <c r="FW152" s="183"/>
      <c r="FX152" s="183"/>
      <c r="FY152" s="183"/>
    </row>
    <row r="153" spans="1:181" ht="11.25" customHeight="1">
      <c r="A153" s="199" t="str">
        <f>+A100</f>
        <v>Rent</v>
      </c>
      <c r="B153" s="183"/>
      <c r="C153" s="183"/>
      <c r="D153" s="183"/>
      <c r="E153" s="183"/>
      <c r="F153" s="183"/>
      <c r="G153" s="183"/>
      <c r="H153" s="183"/>
      <c r="I153" s="183"/>
      <c r="J153" s="183"/>
      <c r="K153" s="215">
        <f>+K100</f>
        <v>781815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  <c r="FE153" s="183"/>
      <c r="FF153" s="183"/>
      <c r="FG153" s="183"/>
      <c r="FH153" s="183"/>
      <c r="FI153" s="183"/>
      <c r="FJ153" s="183"/>
      <c r="FK153" s="183"/>
      <c r="FL153" s="183"/>
      <c r="FM153" s="183"/>
      <c r="FN153" s="183"/>
      <c r="FO153" s="183"/>
      <c r="FP153" s="183"/>
      <c r="FQ153" s="183"/>
      <c r="FR153" s="183"/>
      <c r="FS153" s="183"/>
      <c r="FT153" s="183"/>
      <c r="FU153" s="183"/>
      <c r="FV153" s="183"/>
      <c r="FW153" s="183"/>
      <c r="FX153" s="183"/>
      <c r="FY153" s="183"/>
    </row>
    <row r="154" spans="1:181" ht="11.25" customHeight="1">
      <c r="A154" s="199" t="s">
        <v>622</v>
      </c>
      <c r="B154" s="183"/>
      <c r="C154" s="183"/>
      <c r="D154" s="183"/>
      <c r="E154" s="183"/>
      <c r="F154" s="183"/>
      <c r="G154" s="183"/>
      <c r="H154" s="183"/>
      <c r="I154" s="183"/>
      <c r="J154" s="183"/>
      <c r="K154" s="215">
        <f>+K95-K121-K127-K128-K129-K135-K139-K146</f>
        <v>5357783.9629963236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  <c r="FE154" s="183"/>
      <c r="FF154" s="183"/>
      <c r="FG154" s="183"/>
      <c r="FH154" s="183"/>
      <c r="FI154" s="183"/>
      <c r="FJ154" s="183"/>
      <c r="FK154" s="183"/>
      <c r="FL154" s="183"/>
      <c r="FM154" s="183"/>
      <c r="FN154" s="183"/>
      <c r="FO154" s="183"/>
      <c r="FP154" s="183"/>
      <c r="FQ154" s="183"/>
      <c r="FR154" s="183"/>
      <c r="FS154" s="183"/>
      <c r="FT154" s="183"/>
      <c r="FU154" s="183"/>
      <c r="FV154" s="183"/>
      <c r="FW154" s="183"/>
      <c r="FX154" s="183"/>
      <c r="FY154" s="183"/>
    </row>
    <row r="155" spans="1:181" ht="11.25" customHeight="1">
      <c r="A155" s="187" t="s">
        <v>623</v>
      </c>
      <c r="K155" s="261">
        <f>5466050/2</f>
        <v>2733025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  <c r="FE155" s="183"/>
      <c r="FF155" s="183"/>
      <c r="FG155" s="183"/>
      <c r="FH155" s="183"/>
      <c r="FI155" s="183"/>
      <c r="FJ155" s="183"/>
      <c r="FK155" s="183"/>
      <c r="FL155" s="183"/>
      <c r="FM155" s="183"/>
      <c r="FN155" s="183"/>
      <c r="FO155" s="183"/>
      <c r="FP155" s="183"/>
      <c r="FQ155" s="183"/>
      <c r="FR155" s="183"/>
      <c r="FS155" s="183"/>
      <c r="FT155" s="183"/>
      <c r="FU155" s="183"/>
      <c r="FV155" s="183"/>
      <c r="FW155" s="183"/>
      <c r="FX155" s="183"/>
      <c r="FY155" s="183"/>
    </row>
    <row r="156" spans="1:181" ht="11.25" customHeight="1">
      <c r="A156" s="199"/>
      <c r="B156" s="183"/>
      <c r="C156" s="183"/>
      <c r="D156" s="183"/>
      <c r="E156" s="183"/>
      <c r="F156" s="183"/>
      <c r="G156" s="183"/>
      <c r="H156" s="183"/>
      <c r="I156" s="183"/>
      <c r="J156" s="183"/>
      <c r="K156" s="224">
        <f>SUM(K151:K155)</f>
        <v>10419498.962996323</v>
      </c>
      <c r="L156" s="266">
        <f>+K156/$K$104</f>
        <v>0.22167576605044981</v>
      </c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  <c r="FE156" s="183"/>
      <c r="FF156" s="183"/>
      <c r="FG156" s="183"/>
      <c r="FH156" s="183"/>
      <c r="FI156" s="183"/>
      <c r="FJ156" s="183"/>
      <c r="FK156" s="183"/>
      <c r="FL156" s="183"/>
      <c r="FM156" s="183"/>
      <c r="FN156" s="183"/>
      <c r="FO156" s="183"/>
      <c r="FP156" s="183"/>
      <c r="FQ156" s="183"/>
      <c r="FR156" s="183"/>
      <c r="FS156" s="183"/>
      <c r="FT156" s="183"/>
      <c r="FU156" s="183"/>
      <c r="FV156" s="183"/>
      <c r="FW156" s="183"/>
      <c r="FX156" s="183"/>
      <c r="FY156" s="183"/>
    </row>
    <row r="157" spans="1:181" ht="11.25" customHeight="1">
      <c r="A157" s="199"/>
      <c r="B157" s="183"/>
      <c r="C157" s="183"/>
      <c r="D157" s="183"/>
      <c r="E157" s="183"/>
      <c r="F157" s="183"/>
      <c r="G157" s="183"/>
      <c r="H157" s="183"/>
      <c r="I157" s="183"/>
      <c r="J157" s="183"/>
      <c r="K157" s="215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  <c r="FE157" s="183"/>
      <c r="FF157" s="183"/>
      <c r="FG157" s="183"/>
      <c r="FH157" s="183"/>
      <c r="FI157" s="183"/>
      <c r="FJ157" s="183"/>
      <c r="FK157" s="183"/>
      <c r="FL157" s="183"/>
      <c r="FM157" s="183"/>
      <c r="FN157" s="183"/>
      <c r="FO157" s="183"/>
      <c r="FP157" s="183"/>
      <c r="FQ157" s="183"/>
      <c r="FR157" s="183"/>
      <c r="FS157" s="183"/>
      <c r="FT157" s="183"/>
      <c r="FU157" s="183"/>
      <c r="FV157" s="183"/>
      <c r="FW157" s="183"/>
      <c r="FX157" s="183"/>
      <c r="FY157" s="183"/>
    </row>
    <row r="158" spans="1:181" ht="11.25" customHeight="1">
      <c r="A158" s="200" t="str">
        <f>+A89</f>
        <v>Use of Proceeds (3 Years)</v>
      </c>
      <c r="B158" s="183"/>
      <c r="C158" s="183"/>
      <c r="D158" s="183"/>
      <c r="E158" s="183"/>
      <c r="F158" s="183"/>
      <c r="G158" s="183"/>
      <c r="H158" s="183"/>
      <c r="I158" s="183"/>
      <c r="J158" s="183"/>
      <c r="K158" s="224">
        <f>+K156+K148+K141+K132+K124</f>
        <v>47003328.9124</v>
      </c>
      <c r="L158" s="266">
        <f>+K158/$K$104</f>
        <v>0.99999999813630225</v>
      </c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  <c r="FE158" s="183"/>
      <c r="FF158" s="183"/>
      <c r="FG158" s="183"/>
      <c r="FH158" s="183"/>
      <c r="FI158" s="183"/>
      <c r="FJ158" s="183"/>
      <c r="FK158" s="183"/>
      <c r="FL158" s="183"/>
      <c r="FM158" s="183"/>
      <c r="FN158" s="183"/>
      <c r="FO158" s="183"/>
      <c r="FP158" s="183"/>
      <c r="FQ158" s="183"/>
      <c r="FR158" s="183"/>
      <c r="FS158" s="183"/>
      <c r="FT158" s="183"/>
      <c r="FU158" s="183"/>
      <c r="FV158" s="183"/>
      <c r="FW158" s="183"/>
      <c r="FX158" s="183"/>
      <c r="FY158" s="183"/>
    </row>
    <row r="159" spans="1:181" ht="11.25" customHeight="1">
      <c r="A159" s="183"/>
      <c r="B159" s="183"/>
      <c r="C159" s="183"/>
      <c r="D159" s="183"/>
      <c r="E159" s="183"/>
      <c r="F159" s="183"/>
      <c r="G159" s="183"/>
      <c r="H159" s="183"/>
      <c r="I159" s="183"/>
      <c r="J159" s="183"/>
      <c r="K159" s="215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  <c r="FE159" s="183"/>
      <c r="FF159" s="183"/>
      <c r="FG159" s="183"/>
      <c r="FH159" s="183"/>
      <c r="FI159" s="183"/>
      <c r="FJ159" s="183"/>
      <c r="FK159" s="183"/>
      <c r="FL159" s="183"/>
      <c r="FM159" s="183"/>
      <c r="FN159" s="183"/>
      <c r="FO159" s="183"/>
      <c r="FP159" s="183"/>
      <c r="FQ159" s="183"/>
      <c r="FR159" s="183"/>
      <c r="FS159" s="183"/>
      <c r="FT159" s="183"/>
      <c r="FU159" s="183"/>
      <c r="FV159" s="183"/>
      <c r="FW159" s="183"/>
      <c r="FX159" s="183"/>
      <c r="FY159" s="183"/>
    </row>
    <row r="160" spans="1:181" ht="11.25" customHeight="1">
      <c r="A160" s="183"/>
      <c r="B160" s="183"/>
      <c r="C160" s="183"/>
      <c r="D160" s="183"/>
      <c r="E160" s="183"/>
      <c r="F160" s="183"/>
      <c r="G160" s="183"/>
      <c r="H160" s="183"/>
      <c r="I160" s="183"/>
      <c r="J160" s="183"/>
      <c r="K160" s="267">
        <f>+K104-K158</f>
        <v>8.7600000202655792E-2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  <c r="FE160" s="183"/>
      <c r="FF160" s="183"/>
      <c r="FG160" s="183"/>
      <c r="FH160" s="183"/>
      <c r="FI160" s="183"/>
      <c r="FJ160" s="183"/>
      <c r="FK160" s="183"/>
      <c r="FL160" s="183"/>
      <c r="FM160" s="183"/>
      <c r="FN160" s="183"/>
      <c r="FO160" s="183"/>
      <c r="FP160" s="183"/>
      <c r="FQ160" s="183"/>
      <c r="FR160" s="183"/>
      <c r="FS160" s="183"/>
      <c r="FT160" s="183"/>
      <c r="FU160" s="183"/>
      <c r="FV160" s="183"/>
      <c r="FW160" s="183"/>
      <c r="FX160" s="183"/>
      <c r="FY160" s="183"/>
    </row>
    <row r="161" spans="1:181" ht="11.25" customHeight="1">
      <c r="A161" s="183"/>
      <c r="B161" s="183"/>
      <c r="C161" s="183"/>
      <c r="D161" s="183"/>
      <c r="E161" s="183"/>
      <c r="F161" s="183"/>
      <c r="G161" s="183"/>
      <c r="H161" s="183"/>
      <c r="I161" s="183"/>
      <c r="J161" s="183"/>
      <c r="K161" s="215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</row>
    <row r="162" spans="1:181" ht="11.25" customHeight="1">
      <c r="A162" s="183"/>
      <c r="B162" s="183"/>
      <c r="C162" s="183"/>
      <c r="D162" s="183"/>
      <c r="E162" s="183"/>
      <c r="F162" s="183"/>
      <c r="G162" s="183"/>
      <c r="H162" s="183"/>
      <c r="I162" s="183"/>
      <c r="J162" s="183"/>
      <c r="K162" s="215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</row>
    <row r="163" spans="1:181" ht="11.25" customHeight="1">
      <c r="A163" s="183"/>
      <c r="B163" s="183"/>
      <c r="C163" s="183"/>
      <c r="D163" s="183"/>
      <c r="E163" s="183"/>
      <c r="F163" s="183"/>
      <c r="G163" s="183"/>
      <c r="H163" s="183"/>
      <c r="I163" s="183"/>
      <c r="J163" s="183"/>
      <c r="K163" s="215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  <c r="FE163" s="183"/>
      <c r="FF163" s="183"/>
      <c r="FG163" s="183"/>
      <c r="FH163" s="183"/>
      <c r="FI163" s="183"/>
      <c r="FJ163" s="183"/>
      <c r="FK163" s="183"/>
      <c r="FL163" s="183"/>
      <c r="FM163" s="183"/>
      <c r="FN163" s="183"/>
      <c r="FO163" s="183"/>
      <c r="FP163" s="183"/>
      <c r="FQ163" s="183"/>
      <c r="FR163" s="183"/>
      <c r="FS163" s="183"/>
      <c r="FT163" s="183"/>
      <c r="FU163" s="183"/>
      <c r="FV163" s="183"/>
      <c r="FW163" s="183"/>
      <c r="FX163" s="183"/>
      <c r="FY163" s="183"/>
    </row>
    <row r="164" spans="1:181" ht="11.25" customHeight="1">
      <c r="A164" s="183"/>
      <c r="B164" s="183"/>
      <c r="C164" s="183"/>
      <c r="D164" s="183"/>
      <c r="E164" s="183"/>
      <c r="F164" s="183"/>
      <c r="G164" s="183"/>
      <c r="H164" s="183"/>
      <c r="I164" s="183"/>
      <c r="J164" s="183"/>
      <c r="K164" s="215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3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3"/>
      <c r="FV164" s="183"/>
      <c r="FW164" s="183"/>
      <c r="FX164" s="183"/>
      <c r="FY164" s="183"/>
    </row>
    <row r="165" spans="1:181" ht="11.25" customHeight="1">
      <c r="A165" s="183"/>
      <c r="B165" s="183"/>
      <c r="C165" s="183"/>
      <c r="D165" s="183"/>
      <c r="E165" s="183"/>
      <c r="F165" s="183"/>
      <c r="G165" s="183"/>
      <c r="H165" s="183"/>
      <c r="I165" s="183"/>
      <c r="J165" s="183"/>
      <c r="K165" s="215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  <c r="FE165" s="183"/>
      <c r="FF165" s="183"/>
      <c r="FG165" s="183"/>
      <c r="FH165" s="183"/>
      <c r="FI165" s="183"/>
      <c r="FJ165" s="183"/>
      <c r="FK165" s="183"/>
      <c r="FL165" s="183"/>
      <c r="FM165" s="183"/>
      <c r="FN165" s="183"/>
      <c r="FO165" s="183"/>
      <c r="FP165" s="183"/>
      <c r="FQ165" s="183"/>
      <c r="FR165" s="183"/>
      <c r="FS165" s="183"/>
      <c r="FT165" s="183"/>
      <c r="FU165" s="183"/>
      <c r="FV165" s="183"/>
      <c r="FW165" s="183"/>
      <c r="FX165" s="183"/>
      <c r="FY165" s="183"/>
    </row>
    <row r="166" spans="1:181" ht="11.25" customHeight="1">
      <c r="A166" s="183"/>
      <c r="B166" s="183"/>
      <c r="C166" s="183"/>
      <c r="D166" s="183"/>
      <c r="E166" s="183"/>
      <c r="F166" s="183"/>
      <c r="G166" s="183"/>
      <c r="H166" s="183"/>
      <c r="I166" s="183"/>
      <c r="J166" s="183"/>
      <c r="K166" s="267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  <c r="FE166" s="183"/>
      <c r="FF166" s="183"/>
      <c r="FG166" s="183"/>
      <c r="FH166" s="183"/>
      <c r="FI166" s="183"/>
      <c r="FJ166" s="183"/>
      <c r="FK166" s="183"/>
      <c r="FL166" s="183"/>
      <c r="FM166" s="183"/>
      <c r="FN166" s="183"/>
      <c r="FO166" s="183"/>
      <c r="FP166" s="183"/>
      <c r="FQ166" s="183"/>
      <c r="FR166" s="183"/>
      <c r="FS166" s="183"/>
      <c r="FT166" s="183"/>
      <c r="FU166" s="183"/>
      <c r="FV166" s="183"/>
      <c r="FW166" s="183"/>
      <c r="FX166" s="183"/>
      <c r="FY166" s="183"/>
    </row>
    <row r="167" spans="1:181" ht="11.25" customHeight="1">
      <c r="A167" s="183"/>
      <c r="B167" s="183"/>
      <c r="C167" s="183"/>
      <c r="D167" s="183"/>
      <c r="E167" s="183"/>
      <c r="F167" s="183"/>
      <c r="G167" s="183"/>
      <c r="H167" s="183"/>
      <c r="I167" s="183"/>
      <c r="J167" s="183"/>
      <c r="K167" s="267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  <c r="FE167" s="183"/>
      <c r="FF167" s="183"/>
      <c r="FG167" s="183"/>
      <c r="FH167" s="183"/>
      <c r="FI167" s="183"/>
      <c r="FJ167" s="183"/>
      <c r="FK167" s="183"/>
      <c r="FL167" s="183"/>
      <c r="FM167" s="183"/>
      <c r="FN167" s="183"/>
      <c r="FO167" s="183"/>
      <c r="FP167" s="183"/>
      <c r="FQ167" s="183"/>
      <c r="FR167" s="183"/>
      <c r="FS167" s="183"/>
      <c r="FT167" s="183"/>
      <c r="FU167" s="183"/>
      <c r="FV167" s="183"/>
      <c r="FW167" s="183"/>
      <c r="FX167" s="183"/>
      <c r="FY167" s="183"/>
    </row>
    <row r="168" spans="1:181" ht="11.25" customHeight="1">
      <c r="A168" s="183"/>
      <c r="B168" s="183"/>
      <c r="C168" s="183"/>
      <c r="D168" s="183"/>
      <c r="E168" s="183"/>
      <c r="F168" s="183"/>
      <c r="G168" s="183"/>
      <c r="H168" s="183"/>
      <c r="I168" s="183"/>
      <c r="J168" s="183"/>
      <c r="K168" s="267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  <c r="FE168" s="183"/>
      <c r="FF168" s="183"/>
      <c r="FG168" s="183"/>
      <c r="FH168" s="183"/>
      <c r="FI168" s="183"/>
      <c r="FJ168" s="183"/>
      <c r="FK168" s="183"/>
      <c r="FL168" s="183"/>
      <c r="FM168" s="183"/>
      <c r="FN168" s="183"/>
      <c r="FO168" s="183"/>
      <c r="FP168" s="183"/>
      <c r="FQ168" s="183"/>
      <c r="FR168" s="183"/>
      <c r="FS168" s="183"/>
      <c r="FT168" s="183"/>
      <c r="FU168" s="183"/>
      <c r="FV168" s="183"/>
      <c r="FW168" s="183"/>
      <c r="FX168" s="183"/>
      <c r="FY168" s="183"/>
    </row>
    <row r="169" spans="1:181" ht="11.25" customHeight="1">
      <c r="A169" s="183"/>
      <c r="B169" s="183"/>
      <c r="C169" s="183"/>
      <c r="D169" s="183"/>
      <c r="E169" s="183"/>
      <c r="F169" s="183"/>
      <c r="G169" s="183"/>
      <c r="H169" s="183"/>
      <c r="I169" s="183"/>
      <c r="J169" s="183"/>
      <c r="K169" s="267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  <c r="FE169" s="183"/>
      <c r="FF169" s="183"/>
      <c r="FG169" s="183"/>
      <c r="FH169" s="183"/>
      <c r="FI169" s="183"/>
      <c r="FJ169" s="183"/>
      <c r="FK169" s="183"/>
      <c r="FL169" s="183"/>
      <c r="FM169" s="183"/>
      <c r="FN169" s="183"/>
      <c r="FO169" s="183"/>
      <c r="FP169" s="183"/>
      <c r="FQ169" s="183"/>
      <c r="FR169" s="183"/>
      <c r="FS169" s="183"/>
      <c r="FT169" s="183"/>
      <c r="FU169" s="183"/>
      <c r="FV169" s="183"/>
      <c r="FW169" s="183"/>
      <c r="FX169" s="183"/>
      <c r="FY169" s="183"/>
    </row>
    <row r="170" spans="1:181" ht="11.25" customHeight="1">
      <c r="A170" s="183"/>
      <c r="B170" s="183"/>
      <c r="C170" s="183"/>
      <c r="D170" s="183"/>
      <c r="E170" s="183"/>
      <c r="F170" s="183"/>
      <c r="G170" s="183"/>
      <c r="H170" s="183"/>
      <c r="I170" s="183"/>
      <c r="J170" s="183"/>
      <c r="K170" s="267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  <c r="FE170" s="183"/>
      <c r="FF170" s="183"/>
      <c r="FG170" s="183"/>
      <c r="FH170" s="183"/>
      <c r="FI170" s="183"/>
      <c r="FJ170" s="183"/>
      <c r="FK170" s="183"/>
      <c r="FL170" s="183"/>
      <c r="FM170" s="183"/>
      <c r="FN170" s="183"/>
      <c r="FO170" s="183"/>
      <c r="FP170" s="183"/>
      <c r="FQ170" s="183"/>
      <c r="FR170" s="183"/>
      <c r="FS170" s="183"/>
      <c r="FT170" s="183"/>
      <c r="FU170" s="183"/>
      <c r="FV170" s="183"/>
      <c r="FW170" s="183"/>
      <c r="FX170" s="183"/>
      <c r="FY170" s="183"/>
    </row>
    <row r="171" spans="1:181" ht="11.25" customHeight="1">
      <c r="A171" s="183"/>
      <c r="B171" s="183"/>
      <c r="C171" s="183"/>
      <c r="D171" s="183"/>
      <c r="E171" s="183"/>
      <c r="F171" s="183"/>
      <c r="G171" s="183"/>
      <c r="H171" s="183"/>
      <c r="I171" s="183"/>
      <c r="J171" s="183"/>
      <c r="K171" s="267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  <c r="FE171" s="183"/>
      <c r="FF171" s="183"/>
      <c r="FG171" s="183"/>
      <c r="FH171" s="183"/>
      <c r="FI171" s="183"/>
      <c r="FJ171" s="183"/>
      <c r="FK171" s="183"/>
      <c r="FL171" s="183"/>
      <c r="FM171" s="183"/>
      <c r="FN171" s="183"/>
      <c r="FO171" s="183"/>
      <c r="FP171" s="183"/>
      <c r="FQ171" s="183"/>
      <c r="FR171" s="183"/>
      <c r="FS171" s="183"/>
      <c r="FT171" s="183"/>
      <c r="FU171" s="183"/>
      <c r="FV171" s="183"/>
      <c r="FW171" s="183"/>
      <c r="FX171" s="183"/>
      <c r="FY171" s="183"/>
    </row>
    <row r="172" spans="1:181" ht="11.25" customHeight="1">
      <c r="A172" s="183"/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  <c r="FE172" s="183"/>
      <c r="FF172" s="183"/>
      <c r="FG172" s="183"/>
      <c r="FH172" s="183"/>
      <c r="FI172" s="183"/>
      <c r="FJ172" s="183"/>
      <c r="FK172" s="183"/>
      <c r="FL172" s="183"/>
      <c r="FM172" s="183"/>
      <c r="FN172" s="183"/>
      <c r="FO172" s="183"/>
      <c r="FP172" s="183"/>
      <c r="FQ172" s="183"/>
      <c r="FR172" s="183"/>
      <c r="FS172" s="183"/>
      <c r="FT172" s="183"/>
      <c r="FU172" s="183"/>
      <c r="FV172" s="183"/>
      <c r="FW172" s="183"/>
      <c r="FX172" s="183"/>
      <c r="FY172" s="183"/>
    </row>
    <row r="173" spans="1:181" ht="11.25" customHeight="1">
      <c r="A173" s="183"/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3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3"/>
      <c r="FV173" s="183"/>
      <c r="FW173" s="183"/>
      <c r="FX173" s="183"/>
      <c r="FY173" s="183"/>
    </row>
    <row r="174" spans="1:181" ht="11.25" customHeight="1">
      <c r="A174" s="183"/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</row>
    <row r="175" spans="1:181" ht="11.25" customHeight="1">
      <c r="A175" s="183"/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</row>
    <row r="176" spans="1:181" ht="11.25" customHeight="1">
      <c r="A176" s="183"/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</row>
    <row r="177" spans="1:181" ht="11.25" customHeight="1">
      <c r="A177" s="183"/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  <c r="FE177" s="183"/>
      <c r="FF177" s="183"/>
      <c r="FG177" s="183"/>
      <c r="FH177" s="183"/>
      <c r="FI177" s="183"/>
      <c r="FJ177" s="183"/>
      <c r="FK177" s="183"/>
      <c r="FL177" s="183"/>
      <c r="FM177" s="183"/>
      <c r="FN177" s="183"/>
      <c r="FO177" s="183"/>
      <c r="FP177" s="183"/>
      <c r="FQ177" s="183"/>
      <c r="FR177" s="183"/>
      <c r="FS177" s="183"/>
      <c r="FT177" s="183"/>
      <c r="FU177" s="183"/>
      <c r="FV177" s="183"/>
      <c r="FW177" s="183"/>
      <c r="FX177" s="183"/>
      <c r="FY177" s="183"/>
    </row>
    <row r="178" spans="1:181" ht="11.2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  <c r="FE178" s="183"/>
      <c r="FF178" s="183"/>
      <c r="FG178" s="183"/>
      <c r="FH178" s="183"/>
      <c r="FI178" s="183"/>
      <c r="FJ178" s="183"/>
      <c r="FK178" s="183"/>
      <c r="FL178" s="183"/>
      <c r="FM178" s="183"/>
      <c r="FN178" s="183"/>
      <c r="FO178" s="183"/>
      <c r="FP178" s="183"/>
      <c r="FQ178" s="183"/>
      <c r="FR178" s="183"/>
      <c r="FS178" s="183"/>
      <c r="FT178" s="183"/>
      <c r="FU178" s="183"/>
      <c r="FV178" s="183"/>
      <c r="FW178" s="183"/>
      <c r="FX178" s="183"/>
      <c r="FY178" s="183"/>
    </row>
    <row r="179" spans="1:181" ht="11.2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  <c r="FE179" s="183"/>
      <c r="FF179" s="183"/>
      <c r="FG179" s="183"/>
      <c r="FH179" s="183"/>
      <c r="FI179" s="183"/>
      <c r="FJ179" s="183"/>
      <c r="FK179" s="183"/>
      <c r="FL179" s="183"/>
      <c r="FM179" s="183"/>
      <c r="FN179" s="183"/>
      <c r="FO179" s="183"/>
      <c r="FP179" s="183"/>
      <c r="FQ179" s="183"/>
      <c r="FR179" s="183"/>
      <c r="FS179" s="183"/>
      <c r="FT179" s="183"/>
      <c r="FU179" s="183"/>
      <c r="FV179" s="183"/>
      <c r="FW179" s="183"/>
      <c r="FX179" s="183"/>
      <c r="FY179" s="183"/>
    </row>
    <row r="180" spans="1:181" ht="11.2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  <c r="FE180" s="183"/>
      <c r="FF180" s="183"/>
      <c r="FG180" s="183"/>
      <c r="FH180" s="183"/>
      <c r="FI180" s="183"/>
      <c r="FJ180" s="183"/>
      <c r="FK180" s="183"/>
      <c r="FL180" s="183"/>
      <c r="FM180" s="183"/>
      <c r="FN180" s="183"/>
      <c r="FO180" s="183"/>
      <c r="FP180" s="183"/>
      <c r="FQ180" s="183"/>
      <c r="FR180" s="183"/>
      <c r="FS180" s="183"/>
      <c r="FT180" s="183"/>
      <c r="FU180" s="183"/>
      <c r="FV180" s="183"/>
      <c r="FW180" s="183"/>
      <c r="FX180" s="183"/>
      <c r="FY180" s="183"/>
    </row>
    <row r="181" spans="1:181" ht="11.2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  <c r="FE181" s="183"/>
      <c r="FF181" s="183"/>
      <c r="FG181" s="183"/>
      <c r="FH181" s="183"/>
      <c r="FI181" s="183"/>
      <c r="FJ181" s="183"/>
      <c r="FK181" s="183"/>
      <c r="FL181" s="183"/>
      <c r="FM181" s="183"/>
      <c r="FN181" s="183"/>
      <c r="FO181" s="183"/>
      <c r="FP181" s="183"/>
      <c r="FQ181" s="183"/>
      <c r="FR181" s="183"/>
      <c r="FS181" s="183"/>
      <c r="FT181" s="183"/>
      <c r="FU181" s="183"/>
      <c r="FV181" s="183"/>
      <c r="FW181" s="183"/>
      <c r="FX181" s="183"/>
      <c r="FY181" s="183"/>
    </row>
    <row r="182" spans="1:181" ht="11.2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  <c r="FE182" s="183"/>
      <c r="FF182" s="183"/>
      <c r="FG182" s="183"/>
      <c r="FH182" s="183"/>
      <c r="FI182" s="183"/>
      <c r="FJ182" s="183"/>
      <c r="FK182" s="183"/>
      <c r="FL182" s="183"/>
      <c r="FM182" s="183"/>
      <c r="FN182" s="183"/>
      <c r="FO182" s="183"/>
      <c r="FP182" s="183"/>
      <c r="FQ182" s="183"/>
      <c r="FR182" s="183"/>
      <c r="FS182" s="183"/>
      <c r="FT182" s="183"/>
      <c r="FU182" s="183"/>
      <c r="FV182" s="183"/>
      <c r="FW182" s="183"/>
      <c r="FX182" s="183"/>
      <c r="FY182" s="183"/>
    </row>
    <row r="183" spans="1:181" ht="11.2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  <c r="FE183" s="183"/>
      <c r="FF183" s="183"/>
      <c r="FG183" s="183"/>
      <c r="FH183" s="183"/>
      <c r="FI183" s="183"/>
      <c r="FJ183" s="183"/>
      <c r="FK183" s="183"/>
      <c r="FL183" s="183"/>
      <c r="FM183" s="183"/>
      <c r="FN183" s="183"/>
      <c r="FO183" s="183"/>
      <c r="FP183" s="183"/>
      <c r="FQ183" s="183"/>
      <c r="FR183" s="183"/>
      <c r="FS183" s="183"/>
      <c r="FT183" s="183"/>
      <c r="FU183" s="183"/>
      <c r="FV183" s="183"/>
      <c r="FW183" s="183"/>
      <c r="FX183" s="183"/>
      <c r="FY183" s="183"/>
    </row>
    <row r="184" spans="1:181" ht="11.2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  <c r="FE184" s="183"/>
      <c r="FF184" s="183"/>
      <c r="FG184" s="183"/>
      <c r="FH184" s="183"/>
      <c r="FI184" s="183"/>
      <c r="FJ184" s="183"/>
      <c r="FK184" s="183"/>
      <c r="FL184" s="183"/>
      <c r="FM184" s="183"/>
      <c r="FN184" s="183"/>
      <c r="FO184" s="183"/>
      <c r="FP184" s="183"/>
      <c r="FQ184" s="183"/>
      <c r="FR184" s="183"/>
      <c r="FS184" s="183"/>
      <c r="FT184" s="183"/>
      <c r="FU184" s="183"/>
      <c r="FV184" s="183"/>
      <c r="FW184" s="183"/>
      <c r="FX184" s="183"/>
      <c r="FY184" s="183"/>
    </row>
    <row r="185" spans="1:181" ht="11.2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  <c r="FE185" s="183"/>
      <c r="FF185" s="183"/>
      <c r="FG185" s="183"/>
      <c r="FH185" s="183"/>
      <c r="FI185" s="183"/>
      <c r="FJ185" s="183"/>
      <c r="FK185" s="183"/>
      <c r="FL185" s="183"/>
      <c r="FM185" s="183"/>
      <c r="FN185" s="183"/>
      <c r="FO185" s="183"/>
      <c r="FP185" s="183"/>
      <c r="FQ185" s="183"/>
      <c r="FR185" s="183"/>
      <c r="FS185" s="183"/>
      <c r="FT185" s="183"/>
      <c r="FU185" s="183"/>
      <c r="FV185" s="183"/>
      <c r="FW185" s="183"/>
      <c r="FX185" s="183"/>
      <c r="FY185" s="183"/>
    </row>
    <row r="186" spans="1:181" ht="11.2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  <c r="FE186" s="183"/>
      <c r="FF186" s="183"/>
      <c r="FG186" s="183"/>
      <c r="FH186" s="183"/>
      <c r="FI186" s="183"/>
      <c r="FJ186" s="183"/>
      <c r="FK186" s="183"/>
      <c r="FL186" s="183"/>
      <c r="FM186" s="183"/>
      <c r="FN186" s="183"/>
      <c r="FO186" s="183"/>
      <c r="FP186" s="183"/>
      <c r="FQ186" s="183"/>
      <c r="FR186" s="183"/>
      <c r="FS186" s="183"/>
      <c r="FT186" s="183"/>
      <c r="FU186" s="183"/>
      <c r="FV186" s="183"/>
      <c r="FW186" s="183"/>
      <c r="FX186" s="183"/>
      <c r="FY186" s="183"/>
    </row>
    <row r="187" spans="1:181" ht="11.2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  <c r="FE187" s="183"/>
      <c r="FF187" s="183"/>
      <c r="FG187" s="183"/>
      <c r="FH187" s="183"/>
      <c r="FI187" s="183"/>
      <c r="FJ187" s="183"/>
      <c r="FK187" s="183"/>
      <c r="FL187" s="183"/>
      <c r="FM187" s="183"/>
      <c r="FN187" s="183"/>
      <c r="FO187" s="183"/>
      <c r="FP187" s="183"/>
      <c r="FQ187" s="183"/>
      <c r="FR187" s="183"/>
      <c r="FS187" s="183"/>
      <c r="FT187" s="183"/>
      <c r="FU187" s="183"/>
      <c r="FV187" s="183"/>
      <c r="FW187" s="183"/>
      <c r="FX187" s="183"/>
      <c r="FY187" s="183"/>
    </row>
    <row r="188" spans="1:181" ht="11.2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3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3"/>
      <c r="FV188" s="183"/>
      <c r="FW188" s="183"/>
      <c r="FX188" s="183"/>
      <c r="FY188" s="183"/>
    </row>
    <row r="189" spans="1:181" ht="11.2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  <c r="FE189" s="183"/>
      <c r="FF189" s="183"/>
      <c r="FG189" s="183"/>
      <c r="FH189" s="183"/>
      <c r="FI189" s="183"/>
      <c r="FJ189" s="183"/>
      <c r="FK189" s="183"/>
      <c r="FL189" s="183"/>
      <c r="FM189" s="183"/>
      <c r="FN189" s="183"/>
      <c r="FO189" s="183"/>
      <c r="FP189" s="183"/>
      <c r="FQ189" s="183"/>
      <c r="FR189" s="183"/>
      <c r="FS189" s="183"/>
      <c r="FT189" s="183"/>
      <c r="FU189" s="183"/>
      <c r="FV189" s="183"/>
      <c r="FW189" s="183"/>
      <c r="FX189" s="183"/>
      <c r="FY189" s="183"/>
    </row>
    <row r="190" spans="1:181" ht="11.2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  <c r="FE190" s="183"/>
      <c r="FF190" s="183"/>
      <c r="FG190" s="183"/>
      <c r="FH190" s="183"/>
      <c r="FI190" s="183"/>
      <c r="FJ190" s="183"/>
      <c r="FK190" s="183"/>
      <c r="FL190" s="183"/>
      <c r="FM190" s="183"/>
      <c r="FN190" s="183"/>
      <c r="FO190" s="183"/>
      <c r="FP190" s="183"/>
      <c r="FQ190" s="183"/>
      <c r="FR190" s="183"/>
      <c r="FS190" s="183"/>
      <c r="FT190" s="183"/>
      <c r="FU190" s="183"/>
      <c r="FV190" s="183"/>
      <c r="FW190" s="183"/>
      <c r="FX190" s="183"/>
      <c r="FY190" s="183"/>
    </row>
    <row r="191" spans="1:181" ht="11.2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  <c r="FE191" s="183"/>
      <c r="FF191" s="183"/>
      <c r="FG191" s="183"/>
      <c r="FH191" s="183"/>
      <c r="FI191" s="183"/>
      <c r="FJ191" s="183"/>
      <c r="FK191" s="183"/>
      <c r="FL191" s="183"/>
      <c r="FM191" s="183"/>
      <c r="FN191" s="183"/>
      <c r="FO191" s="183"/>
      <c r="FP191" s="183"/>
      <c r="FQ191" s="183"/>
      <c r="FR191" s="183"/>
      <c r="FS191" s="183"/>
      <c r="FT191" s="183"/>
      <c r="FU191" s="183"/>
      <c r="FV191" s="183"/>
      <c r="FW191" s="183"/>
      <c r="FX191" s="183"/>
      <c r="FY191" s="183"/>
    </row>
    <row r="192" spans="1:181" ht="11.2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  <c r="FE192" s="183"/>
      <c r="FF192" s="183"/>
      <c r="FG192" s="183"/>
      <c r="FH192" s="183"/>
      <c r="FI192" s="183"/>
      <c r="FJ192" s="183"/>
      <c r="FK192" s="183"/>
      <c r="FL192" s="183"/>
      <c r="FM192" s="183"/>
      <c r="FN192" s="183"/>
      <c r="FO192" s="183"/>
      <c r="FP192" s="183"/>
      <c r="FQ192" s="183"/>
      <c r="FR192" s="183"/>
      <c r="FS192" s="183"/>
      <c r="FT192" s="183"/>
      <c r="FU192" s="183"/>
      <c r="FV192" s="183"/>
      <c r="FW192" s="183"/>
      <c r="FX192" s="183"/>
      <c r="FY192" s="183"/>
    </row>
    <row r="193" spans="1:181" ht="11.2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</row>
    <row r="194" spans="1:181" ht="11.2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</row>
    <row r="195" spans="1:181" ht="11.2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</row>
    <row r="196" spans="1:181" ht="11.2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</row>
    <row r="197" spans="1:181" ht="11.2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  <c r="FE197" s="183"/>
      <c r="FF197" s="183"/>
      <c r="FG197" s="183"/>
      <c r="FH197" s="183"/>
      <c r="FI197" s="183"/>
      <c r="FJ197" s="183"/>
      <c r="FK197" s="183"/>
      <c r="FL197" s="183"/>
      <c r="FM197" s="183"/>
      <c r="FN197" s="183"/>
      <c r="FO197" s="183"/>
      <c r="FP197" s="183"/>
      <c r="FQ197" s="183"/>
      <c r="FR197" s="183"/>
      <c r="FS197" s="183"/>
      <c r="FT197" s="183"/>
      <c r="FU197" s="183"/>
      <c r="FV197" s="183"/>
      <c r="FW197" s="183"/>
      <c r="FX197" s="183"/>
      <c r="FY197" s="183"/>
    </row>
    <row r="198" spans="1:181" ht="11.2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  <c r="FE198" s="183"/>
      <c r="FF198" s="183"/>
      <c r="FG198" s="183"/>
      <c r="FH198" s="183"/>
      <c r="FI198" s="183"/>
      <c r="FJ198" s="183"/>
      <c r="FK198" s="183"/>
      <c r="FL198" s="183"/>
      <c r="FM198" s="183"/>
      <c r="FN198" s="183"/>
      <c r="FO198" s="183"/>
      <c r="FP198" s="183"/>
      <c r="FQ198" s="183"/>
      <c r="FR198" s="183"/>
      <c r="FS198" s="183"/>
      <c r="FT198" s="183"/>
      <c r="FU198" s="183"/>
      <c r="FV198" s="183"/>
      <c r="FW198" s="183"/>
      <c r="FX198" s="183"/>
      <c r="FY198" s="183"/>
    </row>
    <row r="199" spans="1:181" ht="11.2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  <c r="FE199" s="183"/>
      <c r="FF199" s="183"/>
      <c r="FG199" s="183"/>
      <c r="FH199" s="183"/>
      <c r="FI199" s="183"/>
      <c r="FJ199" s="183"/>
      <c r="FK199" s="183"/>
      <c r="FL199" s="183"/>
      <c r="FM199" s="183"/>
      <c r="FN199" s="183"/>
      <c r="FO199" s="183"/>
      <c r="FP199" s="183"/>
      <c r="FQ199" s="183"/>
      <c r="FR199" s="183"/>
      <c r="FS199" s="183"/>
      <c r="FT199" s="183"/>
      <c r="FU199" s="183"/>
      <c r="FV199" s="183"/>
      <c r="FW199" s="183"/>
      <c r="FX199" s="183"/>
      <c r="FY199" s="183"/>
    </row>
    <row r="200" spans="1:181" ht="11.2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  <c r="FE200" s="183"/>
      <c r="FF200" s="183"/>
      <c r="FG200" s="183"/>
      <c r="FH200" s="183"/>
      <c r="FI200" s="183"/>
      <c r="FJ200" s="183"/>
      <c r="FK200" s="183"/>
      <c r="FL200" s="183"/>
      <c r="FM200" s="183"/>
      <c r="FN200" s="183"/>
      <c r="FO200" s="183"/>
      <c r="FP200" s="183"/>
      <c r="FQ200" s="183"/>
      <c r="FR200" s="183"/>
      <c r="FS200" s="183"/>
      <c r="FT200" s="183"/>
      <c r="FU200" s="183"/>
      <c r="FV200" s="183"/>
      <c r="FW200" s="183"/>
      <c r="FX200" s="183"/>
      <c r="FY200" s="183"/>
    </row>
    <row r="201" spans="1:181" ht="11.2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  <c r="FE201" s="183"/>
      <c r="FF201" s="183"/>
      <c r="FG201" s="183"/>
      <c r="FH201" s="183"/>
      <c r="FI201" s="183"/>
      <c r="FJ201" s="183"/>
      <c r="FK201" s="183"/>
      <c r="FL201" s="183"/>
      <c r="FM201" s="183"/>
      <c r="FN201" s="183"/>
      <c r="FO201" s="183"/>
      <c r="FP201" s="183"/>
      <c r="FQ201" s="183"/>
      <c r="FR201" s="183"/>
      <c r="FS201" s="183"/>
      <c r="FT201" s="183"/>
      <c r="FU201" s="183"/>
      <c r="FV201" s="183"/>
      <c r="FW201" s="183"/>
      <c r="FX201" s="183"/>
      <c r="FY201" s="183"/>
    </row>
    <row r="202" spans="1:181" ht="11.2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  <c r="FE202" s="183"/>
      <c r="FF202" s="183"/>
      <c r="FG202" s="183"/>
      <c r="FH202" s="183"/>
      <c r="FI202" s="183"/>
      <c r="FJ202" s="183"/>
      <c r="FK202" s="183"/>
      <c r="FL202" s="183"/>
      <c r="FM202" s="183"/>
      <c r="FN202" s="183"/>
      <c r="FO202" s="183"/>
      <c r="FP202" s="183"/>
      <c r="FQ202" s="183"/>
      <c r="FR202" s="183"/>
      <c r="FS202" s="183"/>
      <c r="FT202" s="183"/>
      <c r="FU202" s="183"/>
      <c r="FV202" s="183"/>
      <c r="FW202" s="183"/>
      <c r="FX202" s="183"/>
      <c r="FY202" s="183"/>
    </row>
    <row r="203" spans="1:181" ht="11.2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  <c r="FE203" s="183"/>
      <c r="FF203" s="183"/>
      <c r="FG203" s="183"/>
      <c r="FH203" s="183"/>
      <c r="FI203" s="183"/>
      <c r="FJ203" s="183"/>
      <c r="FK203" s="183"/>
      <c r="FL203" s="183"/>
      <c r="FM203" s="183"/>
      <c r="FN203" s="183"/>
      <c r="FO203" s="183"/>
      <c r="FP203" s="183"/>
      <c r="FQ203" s="183"/>
      <c r="FR203" s="183"/>
      <c r="FS203" s="183"/>
      <c r="FT203" s="183"/>
      <c r="FU203" s="183"/>
      <c r="FV203" s="183"/>
      <c r="FW203" s="183"/>
      <c r="FX203" s="183"/>
      <c r="FY203" s="183"/>
    </row>
    <row r="204" spans="1:181" ht="11.2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</row>
    <row r="205" spans="1:181" ht="11.2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</row>
    <row r="206" spans="1:181" ht="11.2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  <c r="FE206" s="183"/>
      <c r="FF206" s="183"/>
      <c r="FG206" s="183"/>
      <c r="FH206" s="183"/>
      <c r="FI206" s="183"/>
      <c r="FJ206" s="183"/>
      <c r="FK206" s="183"/>
      <c r="FL206" s="183"/>
      <c r="FM206" s="183"/>
      <c r="FN206" s="183"/>
      <c r="FO206" s="183"/>
      <c r="FP206" s="183"/>
      <c r="FQ206" s="183"/>
      <c r="FR206" s="183"/>
      <c r="FS206" s="183"/>
      <c r="FT206" s="183"/>
      <c r="FU206" s="183"/>
      <c r="FV206" s="183"/>
      <c r="FW206" s="183"/>
      <c r="FX206" s="183"/>
      <c r="FY206" s="183"/>
    </row>
    <row r="207" spans="1:181" ht="11.2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  <c r="FE207" s="183"/>
      <c r="FF207" s="183"/>
      <c r="FG207" s="183"/>
      <c r="FH207" s="183"/>
      <c r="FI207" s="183"/>
      <c r="FJ207" s="183"/>
      <c r="FK207" s="183"/>
      <c r="FL207" s="183"/>
      <c r="FM207" s="183"/>
      <c r="FN207" s="183"/>
      <c r="FO207" s="183"/>
      <c r="FP207" s="183"/>
      <c r="FQ207" s="183"/>
      <c r="FR207" s="183"/>
      <c r="FS207" s="183"/>
      <c r="FT207" s="183"/>
      <c r="FU207" s="183"/>
      <c r="FV207" s="183"/>
      <c r="FW207" s="183"/>
      <c r="FX207" s="183"/>
      <c r="FY207" s="183"/>
    </row>
    <row r="208" spans="1:181" ht="11.2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  <c r="FE208" s="183"/>
      <c r="FF208" s="183"/>
      <c r="FG208" s="183"/>
      <c r="FH208" s="183"/>
      <c r="FI208" s="183"/>
      <c r="FJ208" s="183"/>
      <c r="FK208" s="183"/>
      <c r="FL208" s="183"/>
      <c r="FM208" s="183"/>
      <c r="FN208" s="183"/>
      <c r="FO208" s="183"/>
      <c r="FP208" s="183"/>
      <c r="FQ208" s="183"/>
      <c r="FR208" s="183"/>
      <c r="FS208" s="183"/>
      <c r="FT208" s="183"/>
      <c r="FU208" s="183"/>
      <c r="FV208" s="183"/>
      <c r="FW208" s="183"/>
      <c r="FX208" s="183"/>
      <c r="FY208" s="183"/>
    </row>
    <row r="209" spans="1:181" ht="11.2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  <c r="FE209" s="183"/>
      <c r="FF209" s="183"/>
      <c r="FG209" s="183"/>
      <c r="FH209" s="183"/>
      <c r="FI209" s="183"/>
      <c r="FJ209" s="183"/>
      <c r="FK209" s="183"/>
      <c r="FL209" s="183"/>
      <c r="FM209" s="183"/>
      <c r="FN209" s="183"/>
      <c r="FO209" s="183"/>
      <c r="FP209" s="183"/>
      <c r="FQ209" s="183"/>
      <c r="FR209" s="183"/>
      <c r="FS209" s="183"/>
      <c r="FT209" s="183"/>
      <c r="FU209" s="183"/>
      <c r="FV209" s="183"/>
      <c r="FW209" s="183"/>
      <c r="FX209" s="183"/>
      <c r="FY209" s="183"/>
    </row>
    <row r="210" spans="1:181" ht="11.2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  <c r="FE210" s="183"/>
      <c r="FF210" s="183"/>
      <c r="FG210" s="183"/>
      <c r="FH210" s="183"/>
      <c r="FI210" s="183"/>
      <c r="FJ210" s="183"/>
      <c r="FK210" s="183"/>
      <c r="FL210" s="183"/>
      <c r="FM210" s="183"/>
      <c r="FN210" s="183"/>
      <c r="FO210" s="183"/>
      <c r="FP210" s="183"/>
      <c r="FQ210" s="183"/>
      <c r="FR210" s="183"/>
      <c r="FS210" s="183"/>
      <c r="FT210" s="183"/>
      <c r="FU210" s="183"/>
      <c r="FV210" s="183"/>
      <c r="FW210" s="183"/>
      <c r="FX210" s="183"/>
      <c r="FY210" s="183"/>
    </row>
    <row r="211" spans="1:181" ht="11.2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  <c r="FE211" s="183"/>
      <c r="FF211" s="183"/>
      <c r="FG211" s="183"/>
      <c r="FH211" s="183"/>
      <c r="FI211" s="183"/>
      <c r="FJ211" s="183"/>
      <c r="FK211" s="183"/>
      <c r="FL211" s="183"/>
      <c r="FM211" s="183"/>
      <c r="FN211" s="183"/>
      <c r="FO211" s="183"/>
      <c r="FP211" s="183"/>
      <c r="FQ211" s="183"/>
      <c r="FR211" s="183"/>
      <c r="FS211" s="183"/>
      <c r="FT211" s="183"/>
      <c r="FU211" s="183"/>
      <c r="FV211" s="183"/>
      <c r="FW211" s="183"/>
      <c r="FX211" s="183"/>
      <c r="FY211" s="183"/>
    </row>
    <row r="212" spans="1:181" ht="11.2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  <c r="FE212" s="183"/>
      <c r="FF212" s="183"/>
      <c r="FG212" s="183"/>
      <c r="FH212" s="183"/>
      <c r="FI212" s="183"/>
      <c r="FJ212" s="183"/>
      <c r="FK212" s="183"/>
      <c r="FL212" s="183"/>
      <c r="FM212" s="183"/>
      <c r="FN212" s="183"/>
      <c r="FO212" s="183"/>
      <c r="FP212" s="183"/>
      <c r="FQ212" s="183"/>
      <c r="FR212" s="183"/>
      <c r="FS212" s="183"/>
      <c r="FT212" s="183"/>
      <c r="FU212" s="183"/>
      <c r="FV212" s="183"/>
      <c r="FW212" s="183"/>
      <c r="FX212" s="183"/>
      <c r="FY212" s="183"/>
    </row>
    <row r="213" spans="1:181" ht="11.2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  <c r="FE213" s="183"/>
      <c r="FF213" s="183"/>
      <c r="FG213" s="183"/>
      <c r="FH213" s="183"/>
      <c r="FI213" s="183"/>
      <c r="FJ213" s="183"/>
      <c r="FK213" s="183"/>
      <c r="FL213" s="183"/>
      <c r="FM213" s="183"/>
      <c r="FN213" s="183"/>
      <c r="FO213" s="183"/>
      <c r="FP213" s="183"/>
      <c r="FQ213" s="183"/>
      <c r="FR213" s="183"/>
      <c r="FS213" s="183"/>
      <c r="FT213" s="183"/>
      <c r="FU213" s="183"/>
      <c r="FV213" s="183"/>
      <c r="FW213" s="183"/>
      <c r="FX213" s="183"/>
      <c r="FY213" s="183"/>
    </row>
    <row r="214" spans="1:181" ht="11.2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  <c r="FE214" s="183"/>
      <c r="FF214" s="183"/>
      <c r="FG214" s="183"/>
      <c r="FH214" s="183"/>
      <c r="FI214" s="183"/>
      <c r="FJ214" s="183"/>
      <c r="FK214" s="183"/>
      <c r="FL214" s="183"/>
      <c r="FM214" s="183"/>
      <c r="FN214" s="183"/>
      <c r="FO214" s="183"/>
      <c r="FP214" s="183"/>
      <c r="FQ214" s="183"/>
      <c r="FR214" s="183"/>
      <c r="FS214" s="183"/>
      <c r="FT214" s="183"/>
      <c r="FU214" s="183"/>
      <c r="FV214" s="183"/>
      <c r="FW214" s="183"/>
      <c r="FX214" s="183"/>
      <c r="FY214" s="183"/>
    </row>
    <row r="215" spans="1:181" ht="11.2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  <c r="FE215" s="183"/>
      <c r="FF215" s="183"/>
      <c r="FG215" s="183"/>
      <c r="FH215" s="183"/>
      <c r="FI215" s="183"/>
      <c r="FJ215" s="183"/>
      <c r="FK215" s="183"/>
      <c r="FL215" s="183"/>
      <c r="FM215" s="183"/>
      <c r="FN215" s="183"/>
      <c r="FO215" s="183"/>
      <c r="FP215" s="183"/>
      <c r="FQ215" s="183"/>
      <c r="FR215" s="183"/>
      <c r="FS215" s="183"/>
      <c r="FT215" s="183"/>
      <c r="FU215" s="183"/>
      <c r="FV215" s="183"/>
      <c r="FW215" s="183"/>
      <c r="FX215" s="183"/>
      <c r="FY215" s="183"/>
    </row>
    <row r="216" spans="1:181" ht="11.2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  <c r="FE216" s="183"/>
      <c r="FF216" s="183"/>
      <c r="FG216" s="183"/>
      <c r="FH216" s="183"/>
      <c r="FI216" s="183"/>
      <c r="FJ216" s="183"/>
      <c r="FK216" s="183"/>
      <c r="FL216" s="183"/>
      <c r="FM216" s="183"/>
      <c r="FN216" s="183"/>
      <c r="FO216" s="183"/>
      <c r="FP216" s="183"/>
      <c r="FQ216" s="183"/>
      <c r="FR216" s="183"/>
      <c r="FS216" s="183"/>
      <c r="FT216" s="183"/>
      <c r="FU216" s="183"/>
      <c r="FV216" s="183"/>
      <c r="FW216" s="183"/>
      <c r="FX216" s="183"/>
      <c r="FY216" s="183"/>
    </row>
    <row r="217" spans="1:181" ht="11.2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</row>
    <row r="218" spans="1:181" ht="11.2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</row>
    <row r="219" spans="1:181" ht="11.2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  <c r="FE219" s="183"/>
      <c r="FF219" s="183"/>
      <c r="FG219" s="183"/>
      <c r="FH219" s="183"/>
      <c r="FI219" s="183"/>
      <c r="FJ219" s="183"/>
      <c r="FK219" s="183"/>
      <c r="FL219" s="183"/>
      <c r="FM219" s="183"/>
      <c r="FN219" s="183"/>
      <c r="FO219" s="183"/>
      <c r="FP219" s="183"/>
      <c r="FQ219" s="183"/>
      <c r="FR219" s="183"/>
      <c r="FS219" s="183"/>
      <c r="FT219" s="183"/>
      <c r="FU219" s="183"/>
      <c r="FV219" s="183"/>
      <c r="FW219" s="183"/>
      <c r="FX219" s="183"/>
      <c r="FY219" s="183"/>
    </row>
    <row r="220" spans="1:181" ht="11.2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  <c r="FE220" s="183"/>
      <c r="FF220" s="183"/>
      <c r="FG220" s="183"/>
      <c r="FH220" s="183"/>
      <c r="FI220" s="183"/>
      <c r="FJ220" s="183"/>
      <c r="FK220" s="183"/>
      <c r="FL220" s="183"/>
      <c r="FM220" s="183"/>
      <c r="FN220" s="183"/>
      <c r="FO220" s="183"/>
      <c r="FP220" s="183"/>
      <c r="FQ220" s="183"/>
      <c r="FR220" s="183"/>
      <c r="FS220" s="183"/>
      <c r="FT220" s="183"/>
      <c r="FU220" s="183"/>
      <c r="FV220" s="183"/>
      <c r="FW220" s="183"/>
      <c r="FX220" s="183"/>
      <c r="FY220" s="183"/>
    </row>
    <row r="221" spans="1:181" ht="11.2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  <c r="FE221" s="183"/>
      <c r="FF221" s="183"/>
      <c r="FG221" s="183"/>
      <c r="FH221" s="183"/>
      <c r="FI221" s="183"/>
      <c r="FJ221" s="183"/>
      <c r="FK221" s="183"/>
      <c r="FL221" s="183"/>
      <c r="FM221" s="183"/>
      <c r="FN221" s="183"/>
      <c r="FO221" s="183"/>
      <c r="FP221" s="183"/>
      <c r="FQ221" s="183"/>
      <c r="FR221" s="183"/>
      <c r="FS221" s="183"/>
      <c r="FT221" s="183"/>
      <c r="FU221" s="183"/>
      <c r="FV221" s="183"/>
      <c r="FW221" s="183"/>
      <c r="FX221" s="183"/>
      <c r="FY221" s="183"/>
    </row>
    <row r="222" spans="1:181" ht="11.2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183"/>
      <c r="FW222" s="183"/>
      <c r="FX222" s="183"/>
      <c r="FY222" s="183"/>
    </row>
    <row r="223" spans="1:181" ht="11.2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  <c r="FE223" s="183"/>
      <c r="FF223" s="183"/>
      <c r="FG223" s="183"/>
      <c r="FH223" s="183"/>
      <c r="FI223" s="183"/>
      <c r="FJ223" s="183"/>
      <c r="FK223" s="183"/>
      <c r="FL223" s="183"/>
      <c r="FM223" s="183"/>
      <c r="FN223" s="183"/>
      <c r="FO223" s="183"/>
      <c r="FP223" s="183"/>
      <c r="FQ223" s="183"/>
      <c r="FR223" s="183"/>
      <c r="FS223" s="183"/>
      <c r="FT223" s="183"/>
      <c r="FU223" s="183"/>
      <c r="FV223" s="183"/>
      <c r="FW223" s="183"/>
      <c r="FX223" s="183"/>
      <c r="FY223" s="183"/>
    </row>
    <row r="224" spans="1:181" ht="11.2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  <c r="FE224" s="183"/>
      <c r="FF224" s="183"/>
      <c r="FG224" s="183"/>
      <c r="FH224" s="183"/>
      <c r="FI224" s="183"/>
      <c r="FJ224" s="183"/>
      <c r="FK224" s="183"/>
      <c r="FL224" s="183"/>
      <c r="FM224" s="183"/>
      <c r="FN224" s="183"/>
      <c r="FO224" s="183"/>
      <c r="FP224" s="183"/>
      <c r="FQ224" s="183"/>
      <c r="FR224" s="183"/>
      <c r="FS224" s="183"/>
      <c r="FT224" s="183"/>
      <c r="FU224" s="183"/>
      <c r="FV224" s="183"/>
      <c r="FW224" s="183"/>
      <c r="FX224" s="183"/>
      <c r="FY224" s="183"/>
    </row>
    <row r="225" spans="1:181" ht="11.2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  <c r="FE225" s="183"/>
      <c r="FF225" s="183"/>
      <c r="FG225" s="183"/>
      <c r="FH225" s="183"/>
      <c r="FI225" s="183"/>
      <c r="FJ225" s="183"/>
      <c r="FK225" s="183"/>
      <c r="FL225" s="183"/>
      <c r="FM225" s="183"/>
      <c r="FN225" s="183"/>
      <c r="FO225" s="183"/>
      <c r="FP225" s="183"/>
      <c r="FQ225" s="183"/>
      <c r="FR225" s="183"/>
      <c r="FS225" s="183"/>
      <c r="FT225" s="183"/>
      <c r="FU225" s="183"/>
      <c r="FV225" s="183"/>
      <c r="FW225" s="183"/>
      <c r="FX225" s="183"/>
      <c r="FY225" s="183"/>
    </row>
    <row r="226" spans="1:181" ht="11.2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  <c r="FE226" s="183"/>
      <c r="FF226" s="183"/>
      <c r="FG226" s="183"/>
      <c r="FH226" s="183"/>
      <c r="FI226" s="183"/>
      <c r="FJ226" s="183"/>
      <c r="FK226" s="183"/>
      <c r="FL226" s="183"/>
      <c r="FM226" s="183"/>
      <c r="FN226" s="183"/>
      <c r="FO226" s="183"/>
      <c r="FP226" s="183"/>
      <c r="FQ226" s="183"/>
      <c r="FR226" s="183"/>
      <c r="FS226" s="183"/>
      <c r="FT226" s="183"/>
      <c r="FU226" s="183"/>
      <c r="FV226" s="183"/>
      <c r="FW226" s="183"/>
      <c r="FX226" s="183"/>
      <c r="FY226" s="183"/>
    </row>
    <row r="227" spans="1:181" ht="11.2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  <c r="FE227" s="183"/>
      <c r="FF227" s="183"/>
      <c r="FG227" s="183"/>
      <c r="FH227" s="183"/>
      <c r="FI227" s="183"/>
      <c r="FJ227" s="183"/>
      <c r="FK227" s="183"/>
      <c r="FL227" s="183"/>
      <c r="FM227" s="183"/>
      <c r="FN227" s="183"/>
      <c r="FO227" s="183"/>
      <c r="FP227" s="183"/>
      <c r="FQ227" s="183"/>
      <c r="FR227" s="183"/>
      <c r="FS227" s="183"/>
      <c r="FT227" s="183"/>
      <c r="FU227" s="183"/>
      <c r="FV227" s="183"/>
      <c r="FW227" s="183"/>
      <c r="FX227" s="183"/>
      <c r="FY227" s="183"/>
    </row>
    <row r="228" spans="1:181" ht="11.2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  <c r="FE228" s="183"/>
      <c r="FF228" s="183"/>
      <c r="FG228" s="183"/>
      <c r="FH228" s="183"/>
      <c r="FI228" s="183"/>
      <c r="FJ228" s="183"/>
      <c r="FK228" s="183"/>
      <c r="FL228" s="183"/>
      <c r="FM228" s="183"/>
      <c r="FN228" s="183"/>
      <c r="FO228" s="183"/>
      <c r="FP228" s="183"/>
      <c r="FQ228" s="183"/>
      <c r="FR228" s="183"/>
      <c r="FS228" s="183"/>
      <c r="FT228" s="183"/>
      <c r="FU228" s="183"/>
      <c r="FV228" s="183"/>
      <c r="FW228" s="183"/>
      <c r="FX228" s="183"/>
      <c r="FY228" s="183"/>
    </row>
    <row r="229" spans="1:181" ht="11.2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  <c r="FE229" s="183"/>
      <c r="FF229" s="183"/>
      <c r="FG229" s="183"/>
      <c r="FH229" s="183"/>
      <c r="FI229" s="183"/>
      <c r="FJ229" s="183"/>
      <c r="FK229" s="183"/>
      <c r="FL229" s="183"/>
      <c r="FM229" s="183"/>
      <c r="FN229" s="183"/>
      <c r="FO229" s="183"/>
      <c r="FP229" s="183"/>
      <c r="FQ229" s="183"/>
      <c r="FR229" s="183"/>
      <c r="FS229" s="183"/>
      <c r="FT229" s="183"/>
      <c r="FU229" s="183"/>
      <c r="FV229" s="183"/>
      <c r="FW229" s="183"/>
      <c r="FX229" s="183"/>
      <c r="FY229" s="183"/>
    </row>
    <row r="230" spans="1:181" ht="11.2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  <c r="FE230" s="183"/>
      <c r="FF230" s="183"/>
      <c r="FG230" s="183"/>
      <c r="FH230" s="183"/>
      <c r="FI230" s="183"/>
      <c r="FJ230" s="183"/>
      <c r="FK230" s="183"/>
      <c r="FL230" s="183"/>
      <c r="FM230" s="183"/>
      <c r="FN230" s="183"/>
      <c r="FO230" s="183"/>
      <c r="FP230" s="183"/>
      <c r="FQ230" s="183"/>
      <c r="FR230" s="183"/>
      <c r="FS230" s="183"/>
      <c r="FT230" s="183"/>
      <c r="FU230" s="183"/>
      <c r="FV230" s="183"/>
      <c r="FW230" s="183"/>
      <c r="FX230" s="183"/>
      <c r="FY230" s="183"/>
    </row>
    <row r="231" spans="1:181" ht="11.2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  <c r="FE231" s="183"/>
      <c r="FF231" s="183"/>
      <c r="FG231" s="183"/>
      <c r="FH231" s="183"/>
      <c r="FI231" s="183"/>
      <c r="FJ231" s="183"/>
      <c r="FK231" s="183"/>
      <c r="FL231" s="183"/>
      <c r="FM231" s="183"/>
      <c r="FN231" s="183"/>
      <c r="FO231" s="183"/>
      <c r="FP231" s="183"/>
      <c r="FQ231" s="183"/>
      <c r="FR231" s="183"/>
      <c r="FS231" s="183"/>
      <c r="FT231" s="183"/>
      <c r="FU231" s="183"/>
      <c r="FV231" s="183"/>
      <c r="FW231" s="183"/>
      <c r="FX231" s="183"/>
      <c r="FY231" s="183"/>
    </row>
    <row r="232" spans="1:181" ht="11.2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183"/>
      <c r="FW232" s="183"/>
      <c r="FX232" s="183"/>
      <c r="FY232" s="183"/>
    </row>
    <row r="233" spans="1:181" ht="11.2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  <c r="FE233" s="183"/>
      <c r="FF233" s="183"/>
      <c r="FG233" s="183"/>
      <c r="FH233" s="183"/>
      <c r="FI233" s="183"/>
      <c r="FJ233" s="183"/>
      <c r="FK233" s="183"/>
      <c r="FL233" s="183"/>
      <c r="FM233" s="183"/>
      <c r="FN233" s="183"/>
      <c r="FO233" s="183"/>
      <c r="FP233" s="183"/>
      <c r="FQ233" s="183"/>
      <c r="FR233" s="183"/>
      <c r="FS233" s="183"/>
      <c r="FT233" s="183"/>
      <c r="FU233" s="183"/>
      <c r="FV233" s="183"/>
      <c r="FW233" s="183"/>
      <c r="FX233" s="183"/>
      <c r="FY233" s="183"/>
    </row>
    <row r="234" spans="1:181" ht="11.2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  <c r="FE234" s="183"/>
      <c r="FF234" s="183"/>
      <c r="FG234" s="183"/>
      <c r="FH234" s="183"/>
      <c r="FI234" s="183"/>
      <c r="FJ234" s="183"/>
      <c r="FK234" s="183"/>
      <c r="FL234" s="183"/>
      <c r="FM234" s="183"/>
      <c r="FN234" s="183"/>
      <c r="FO234" s="183"/>
      <c r="FP234" s="183"/>
      <c r="FQ234" s="183"/>
      <c r="FR234" s="183"/>
      <c r="FS234" s="183"/>
      <c r="FT234" s="183"/>
      <c r="FU234" s="183"/>
      <c r="FV234" s="183"/>
      <c r="FW234" s="183"/>
      <c r="FX234" s="183"/>
      <c r="FY234" s="183"/>
    </row>
    <row r="235" spans="1:181" ht="11.2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  <c r="FE235" s="183"/>
      <c r="FF235" s="183"/>
      <c r="FG235" s="183"/>
      <c r="FH235" s="183"/>
      <c r="FI235" s="183"/>
      <c r="FJ235" s="183"/>
      <c r="FK235" s="183"/>
      <c r="FL235" s="183"/>
      <c r="FM235" s="183"/>
      <c r="FN235" s="183"/>
      <c r="FO235" s="183"/>
      <c r="FP235" s="183"/>
      <c r="FQ235" s="183"/>
      <c r="FR235" s="183"/>
      <c r="FS235" s="183"/>
      <c r="FT235" s="183"/>
      <c r="FU235" s="183"/>
      <c r="FV235" s="183"/>
      <c r="FW235" s="183"/>
      <c r="FX235" s="183"/>
      <c r="FY235" s="183"/>
    </row>
    <row r="236" spans="1:181" ht="11.2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</row>
    <row r="237" spans="1:181" ht="11.2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  <c r="FE237" s="183"/>
      <c r="FF237" s="183"/>
      <c r="FG237" s="183"/>
      <c r="FH237" s="183"/>
      <c r="FI237" s="183"/>
      <c r="FJ237" s="183"/>
      <c r="FK237" s="183"/>
      <c r="FL237" s="183"/>
      <c r="FM237" s="183"/>
      <c r="FN237" s="183"/>
      <c r="FO237" s="183"/>
      <c r="FP237" s="183"/>
      <c r="FQ237" s="183"/>
      <c r="FR237" s="183"/>
      <c r="FS237" s="183"/>
      <c r="FT237" s="183"/>
      <c r="FU237" s="183"/>
      <c r="FV237" s="183"/>
      <c r="FW237" s="183"/>
      <c r="FX237" s="183"/>
      <c r="FY237" s="183"/>
    </row>
    <row r="238" spans="1:181" ht="11.2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  <c r="FE238" s="183"/>
      <c r="FF238" s="183"/>
      <c r="FG238" s="183"/>
      <c r="FH238" s="183"/>
      <c r="FI238" s="183"/>
      <c r="FJ238" s="183"/>
      <c r="FK238" s="183"/>
      <c r="FL238" s="183"/>
      <c r="FM238" s="183"/>
      <c r="FN238" s="183"/>
      <c r="FO238" s="183"/>
      <c r="FP238" s="183"/>
      <c r="FQ238" s="183"/>
      <c r="FR238" s="183"/>
      <c r="FS238" s="183"/>
      <c r="FT238" s="183"/>
      <c r="FU238" s="183"/>
      <c r="FV238" s="183"/>
      <c r="FW238" s="183"/>
      <c r="FX238" s="183"/>
      <c r="FY238" s="183"/>
    </row>
    <row r="239" spans="1:181" ht="11.2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  <c r="FE239" s="183"/>
      <c r="FF239" s="183"/>
      <c r="FG239" s="183"/>
      <c r="FH239" s="183"/>
      <c r="FI239" s="183"/>
      <c r="FJ239" s="183"/>
      <c r="FK239" s="183"/>
      <c r="FL239" s="183"/>
      <c r="FM239" s="183"/>
      <c r="FN239" s="183"/>
      <c r="FO239" s="183"/>
      <c r="FP239" s="183"/>
      <c r="FQ239" s="183"/>
      <c r="FR239" s="183"/>
      <c r="FS239" s="183"/>
      <c r="FT239" s="183"/>
      <c r="FU239" s="183"/>
      <c r="FV239" s="183"/>
      <c r="FW239" s="183"/>
      <c r="FX239" s="183"/>
      <c r="FY239" s="183"/>
    </row>
    <row r="240" spans="1:181" ht="11.2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  <c r="FE240" s="183"/>
      <c r="FF240" s="183"/>
      <c r="FG240" s="183"/>
      <c r="FH240" s="183"/>
      <c r="FI240" s="183"/>
      <c r="FJ240" s="183"/>
      <c r="FK240" s="183"/>
      <c r="FL240" s="183"/>
      <c r="FM240" s="183"/>
      <c r="FN240" s="183"/>
      <c r="FO240" s="183"/>
      <c r="FP240" s="183"/>
      <c r="FQ240" s="183"/>
      <c r="FR240" s="183"/>
      <c r="FS240" s="183"/>
      <c r="FT240" s="183"/>
      <c r="FU240" s="183"/>
      <c r="FV240" s="183"/>
      <c r="FW240" s="183"/>
      <c r="FX240" s="183"/>
      <c r="FY240" s="183"/>
    </row>
    <row r="241" spans="1:181" ht="11.2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  <c r="FE241" s="183"/>
      <c r="FF241" s="183"/>
      <c r="FG241" s="183"/>
      <c r="FH241" s="183"/>
      <c r="FI241" s="183"/>
      <c r="FJ241" s="183"/>
      <c r="FK241" s="183"/>
      <c r="FL241" s="183"/>
      <c r="FM241" s="183"/>
      <c r="FN241" s="183"/>
      <c r="FO241" s="183"/>
      <c r="FP241" s="183"/>
      <c r="FQ241" s="183"/>
      <c r="FR241" s="183"/>
      <c r="FS241" s="183"/>
      <c r="FT241" s="183"/>
      <c r="FU241" s="183"/>
      <c r="FV241" s="183"/>
      <c r="FW241" s="183"/>
      <c r="FX241" s="183"/>
      <c r="FY241" s="183"/>
    </row>
    <row r="242" spans="1:181" ht="11.2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  <c r="FE242" s="183"/>
      <c r="FF242" s="183"/>
      <c r="FG242" s="183"/>
      <c r="FH242" s="183"/>
      <c r="FI242" s="183"/>
      <c r="FJ242" s="183"/>
      <c r="FK242" s="183"/>
      <c r="FL242" s="183"/>
      <c r="FM242" s="183"/>
      <c r="FN242" s="183"/>
      <c r="FO242" s="183"/>
      <c r="FP242" s="183"/>
      <c r="FQ242" s="183"/>
      <c r="FR242" s="183"/>
      <c r="FS242" s="183"/>
      <c r="FT242" s="183"/>
      <c r="FU242" s="183"/>
      <c r="FV242" s="183"/>
      <c r="FW242" s="183"/>
      <c r="FX242" s="183"/>
      <c r="FY242" s="183"/>
    </row>
    <row r="243" spans="1:181" ht="11.2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  <c r="FE243" s="183"/>
      <c r="FF243" s="183"/>
      <c r="FG243" s="183"/>
      <c r="FH243" s="183"/>
      <c r="FI243" s="183"/>
      <c r="FJ243" s="183"/>
      <c r="FK243" s="183"/>
      <c r="FL243" s="183"/>
      <c r="FM243" s="183"/>
      <c r="FN243" s="183"/>
      <c r="FO243" s="183"/>
      <c r="FP243" s="183"/>
      <c r="FQ243" s="183"/>
      <c r="FR243" s="183"/>
      <c r="FS243" s="183"/>
      <c r="FT243" s="183"/>
      <c r="FU243" s="183"/>
      <c r="FV243" s="183"/>
      <c r="FW243" s="183"/>
      <c r="FX243" s="183"/>
      <c r="FY243" s="183"/>
    </row>
    <row r="244" spans="1:181" ht="11.2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  <c r="FE244" s="183"/>
      <c r="FF244" s="183"/>
      <c r="FG244" s="183"/>
      <c r="FH244" s="183"/>
      <c r="FI244" s="183"/>
      <c r="FJ244" s="183"/>
      <c r="FK244" s="183"/>
      <c r="FL244" s="183"/>
      <c r="FM244" s="183"/>
      <c r="FN244" s="183"/>
      <c r="FO244" s="183"/>
      <c r="FP244" s="183"/>
      <c r="FQ244" s="183"/>
      <c r="FR244" s="183"/>
      <c r="FS244" s="183"/>
      <c r="FT244" s="183"/>
      <c r="FU244" s="183"/>
      <c r="FV244" s="183"/>
      <c r="FW244" s="183"/>
      <c r="FX244" s="183"/>
      <c r="FY244" s="183"/>
    </row>
    <row r="245" spans="1:181" ht="11.2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  <c r="FE245" s="183"/>
      <c r="FF245" s="183"/>
      <c r="FG245" s="183"/>
      <c r="FH245" s="183"/>
      <c r="FI245" s="183"/>
      <c r="FJ245" s="183"/>
      <c r="FK245" s="183"/>
      <c r="FL245" s="183"/>
      <c r="FM245" s="183"/>
      <c r="FN245" s="183"/>
      <c r="FO245" s="183"/>
      <c r="FP245" s="183"/>
      <c r="FQ245" s="183"/>
      <c r="FR245" s="183"/>
      <c r="FS245" s="183"/>
      <c r="FT245" s="183"/>
      <c r="FU245" s="183"/>
      <c r="FV245" s="183"/>
      <c r="FW245" s="183"/>
      <c r="FX245" s="183"/>
      <c r="FY245" s="183"/>
    </row>
    <row r="246" spans="1:181" ht="11.2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  <c r="FE246" s="183"/>
      <c r="FF246" s="183"/>
      <c r="FG246" s="183"/>
      <c r="FH246" s="183"/>
      <c r="FI246" s="183"/>
      <c r="FJ246" s="183"/>
      <c r="FK246" s="183"/>
      <c r="FL246" s="183"/>
      <c r="FM246" s="183"/>
      <c r="FN246" s="183"/>
      <c r="FO246" s="183"/>
      <c r="FP246" s="183"/>
      <c r="FQ246" s="183"/>
      <c r="FR246" s="183"/>
      <c r="FS246" s="183"/>
      <c r="FT246" s="183"/>
      <c r="FU246" s="183"/>
      <c r="FV246" s="183"/>
      <c r="FW246" s="183"/>
      <c r="FX246" s="183"/>
      <c r="FY246" s="183"/>
    </row>
    <row r="247" spans="1:181" ht="11.2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</row>
    <row r="248" spans="1:181" ht="11.2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</row>
    <row r="249" spans="1:181" ht="11.2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  <c r="FE249" s="183"/>
      <c r="FF249" s="183"/>
      <c r="FG249" s="183"/>
      <c r="FH249" s="183"/>
      <c r="FI249" s="183"/>
      <c r="FJ249" s="183"/>
      <c r="FK249" s="183"/>
      <c r="FL249" s="183"/>
      <c r="FM249" s="183"/>
      <c r="FN249" s="183"/>
      <c r="FO249" s="183"/>
      <c r="FP249" s="183"/>
      <c r="FQ249" s="183"/>
      <c r="FR249" s="183"/>
      <c r="FS249" s="183"/>
      <c r="FT249" s="183"/>
      <c r="FU249" s="183"/>
      <c r="FV249" s="183"/>
      <c r="FW249" s="183"/>
      <c r="FX249" s="183"/>
      <c r="FY249" s="183"/>
    </row>
    <row r="250" spans="1:181" ht="11.2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  <c r="FE250" s="183"/>
      <c r="FF250" s="183"/>
      <c r="FG250" s="183"/>
      <c r="FH250" s="183"/>
      <c r="FI250" s="183"/>
      <c r="FJ250" s="183"/>
      <c r="FK250" s="183"/>
      <c r="FL250" s="183"/>
      <c r="FM250" s="183"/>
      <c r="FN250" s="183"/>
      <c r="FO250" s="183"/>
      <c r="FP250" s="183"/>
      <c r="FQ250" s="183"/>
      <c r="FR250" s="183"/>
      <c r="FS250" s="183"/>
      <c r="FT250" s="183"/>
      <c r="FU250" s="183"/>
      <c r="FV250" s="183"/>
      <c r="FW250" s="183"/>
      <c r="FX250" s="183"/>
      <c r="FY250" s="183"/>
    </row>
    <row r="251" spans="1:181" ht="11.2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  <c r="FE251" s="183"/>
      <c r="FF251" s="183"/>
      <c r="FG251" s="183"/>
      <c r="FH251" s="183"/>
      <c r="FI251" s="183"/>
      <c r="FJ251" s="183"/>
      <c r="FK251" s="183"/>
      <c r="FL251" s="183"/>
      <c r="FM251" s="183"/>
      <c r="FN251" s="183"/>
      <c r="FO251" s="183"/>
      <c r="FP251" s="183"/>
      <c r="FQ251" s="183"/>
      <c r="FR251" s="183"/>
      <c r="FS251" s="183"/>
      <c r="FT251" s="183"/>
      <c r="FU251" s="183"/>
      <c r="FV251" s="183"/>
      <c r="FW251" s="183"/>
      <c r="FX251" s="183"/>
      <c r="FY251" s="183"/>
    </row>
    <row r="252" spans="1:181" ht="11.2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  <c r="FE252" s="183"/>
      <c r="FF252" s="183"/>
      <c r="FG252" s="183"/>
      <c r="FH252" s="183"/>
      <c r="FI252" s="183"/>
      <c r="FJ252" s="183"/>
      <c r="FK252" s="183"/>
      <c r="FL252" s="183"/>
      <c r="FM252" s="183"/>
      <c r="FN252" s="183"/>
      <c r="FO252" s="183"/>
      <c r="FP252" s="183"/>
      <c r="FQ252" s="183"/>
      <c r="FR252" s="183"/>
      <c r="FS252" s="183"/>
      <c r="FT252" s="183"/>
      <c r="FU252" s="183"/>
      <c r="FV252" s="183"/>
      <c r="FW252" s="183"/>
      <c r="FX252" s="183"/>
      <c r="FY252" s="183"/>
    </row>
    <row r="253" spans="1:181" ht="11.2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  <c r="FE253" s="183"/>
      <c r="FF253" s="183"/>
      <c r="FG253" s="183"/>
      <c r="FH253" s="183"/>
      <c r="FI253" s="183"/>
      <c r="FJ253" s="183"/>
      <c r="FK253" s="183"/>
      <c r="FL253" s="183"/>
      <c r="FM253" s="183"/>
      <c r="FN253" s="183"/>
      <c r="FO253" s="183"/>
      <c r="FP253" s="183"/>
      <c r="FQ253" s="183"/>
      <c r="FR253" s="183"/>
      <c r="FS253" s="183"/>
      <c r="FT253" s="183"/>
      <c r="FU253" s="183"/>
      <c r="FV253" s="183"/>
      <c r="FW253" s="183"/>
      <c r="FX253" s="183"/>
      <c r="FY253" s="183"/>
    </row>
    <row r="254" spans="1:181" ht="11.2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  <c r="FE254" s="183"/>
      <c r="FF254" s="183"/>
      <c r="FG254" s="183"/>
      <c r="FH254" s="183"/>
      <c r="FI254" s="183"/>
      <c r="FJ254" s="183"/>
      <c r="FK254" s="183"/>
      <c r="FL254" s="183"/>
      <c r="FM254" s="183"/>
      <c r="FN254" s="183"/>
      <c r="FO254" s="183"/>
      <c r="FP254" s="183"/>
      <c r="FQ254" s="183"/>
      <c r="FR254" s="183"/>
      <c r="FS254" s="183"/>
      <c r="FT254" s="183"/>
      <c r="FU254" s="183"/>
      <c r="FV254" s="183"/>
      <c r="FW254" s="183"/>
      <c r="FX254" s="183"/>
      <c r="FY254" s="183"/>
    </row>
    <row r="255" spans="1:181" ht="11.2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  <c r="FE255" s="183"/>
      <c r="FF255" s="183"/>
      <c r="FG255" s="183"/>
      <c r="FH255" s="183"/>
      <c r="FI255" s="183"/>
      <c r="FJ255" s="183"/>
      <c r="FK255" s="183"/>
      <c r="FL255" s="183"/>
      <c r="FM255" s="183"/>
      <c r="FN255" s="183"/>
      <c r="FO255" s="183"/>
      <c r="FP255" s="183"/>
      <c r="FQ255" s="183"/>
      <c r="FR255" s="183"/>
      <c r="FS255" s="183"/>
      <c r="FT255" s="183"/>
      <c r="FU255" s="183"/>
      <c r="FV255" s="183"/>
      <c r="FW255" s="183"/>
      <c r="FX255" s="183"/>
      <c r="FY255" s="183"/>
    </row>
    <row r="256" spans="1:181" ht="11.2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  <c r="FE256" s="183"/>
      <c r="FF256" s="183"/>
      <c r="FG256" s="183"/>
      <c r="FH256" s="183"/>
      <c r="FI256" s="183"/>
      <c r="FJ256" s="183"/>
      <c r="FK256" s="183"/>
      <c r="FL256" s="183"/>
      <c r="FM256" s="183"/>
      <c r="FN256" s="183"/>
      <c r="FO256" s="183"/>
      <c r="FP256" s="183"/>
      <c r="FQ256" s="183"/>
      <c r="FR256" s="183"/>
      <c r="FS256" s="183"/>
      <c r="FT256" s="183"/>
      <c r="FU256" s="183"/>
      <c r="FV256" s="183"/>
      <c r="FW256" s="183"/>
      <c r="FX256" s="183"/>
      <c r="FY256" s="183"/>
    </row>
    <row r="257" spans="1:181" ht="11.2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  <c r="FE257" s="183"/>
      <c r="FF257" s="183"/>
      <c r="FG257" s="183"/>
      <c r="FH257" s="183"/>
      <c r="FI257" s="183"/>
      <c r="FJ257" s="183"/>
      <c r="FK257" s="183"/>
      <c r="FL257" s="183"/>
      <c r="FM257" s="183"/>
      <c r="FN257" s="183"/>
      <c r="FO257" s="183"/>
      <c r="FP257" s="183"/>
      <c r="FQ257" s="183"/>
      <c r="FR257" s="183"/>
      <c r="FS257" s="183"/>
      <c r="FT257" s="183"/>
      <c r="FU257" s="183"/>
      <c r="FV257" s="183"/>
      <c r="FW257" s="183"/>
      <c r="FX257" s="183"/>
      <c r="FY257" s="183"/>
    </row>
    <row r="258" spans="1:181" ht="11.2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  <c r="FE258" s="183"/>
      <c r="FF258" s="183"/>
      <c r="FG258" s="183"/>
      <c r="FH258" s="183"/>
      <c r="FI258" s="183"/>
      <c r="FJ258" s="183"/>
      <c r="FK258" s="183"/>
      <c r="FL258" s="183"/>
      <c r="FM258" s="183"/>
      <c r="FN258" s="183"/>
      <c r="FO258" s="183"/>
      <c r="FP258" s="183"/>
      <c r="FQ258" s="183"/>
      <c r="FR258" s="183"/>
      <c r="FS258" s="183"/>
      <c r="FT258" s="183"/>
      <c r="FU258" s="183"/>
      <c r="FV258" s="183"/>
      <c r="FW258" s="183"/>
      <c r="FX258" s="183"/>
      <c r="FY258" s="183"/>
    </row>
    <row r="259" spans="1:181" ht="11.2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  <c r="FE259" s="183"/>
      <c r="FF259" s="183"/>
      <c r="FG259" s="183"/>
      <c r="FH259" s="183"/>
      <c r="FI259" s="183"/>
      <c r="FJ259" s="183"/>
      <c r="FK259" s="183"/>
      <c r="FL259" s="183"/>
      <c r="FM259" s="183"/>
      <c r="FN259" s="183"/>
      <c r="FO259" s="183"/>
      <c r="FP259" s="183"/>
      <c r="FQ259" s="183"/>
      <c r="FR259" s="183"/>
      <c r="FS259" s="183"/>
      <c r="FT259" s="183"/>
      <c r="FU259" s="183"/>
      <c r="FV259" s="183"/>
      <c r="FW259" s="183"/>
      <c r="FX259" s="183"/>
      <c r="FY259" s="183"/>
    </row>
    <row r="260" spans="1:181" ht="11.2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</row>
    <row r="261" spans="1:181" ht="11.2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</row>
    <row r="262" spans="1:181" ht="11.2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  <c r="FE262" s="183"/>
      <c r="FF262" s="183"/>
      <c r="FG262" s="183"/>
      <c r="FH262" s="183"/>
      <c r="FI262" s="183"/>
      <c r="FJ262" s="183"/>
      <c r="FK262" s="183"/>
      <c r="FL262" s="183"/>
      <c r="FM262" s="183"/>
      <c r="FN262" s="183"/>
      <c r="FO262" s="183"/>
      <c r="FP262" s="183"/>
      <c r="FQ262" s="183"/>
      <c r="FR262" s="183"/>
      <c r="FS262" s="183"/>
      <c r="FT262" s="183"/>
      <c r="FU262" s="183"/>
      <c r="FV262" s="183"/>
      <c r="FW262" s="183"/>
      <c r="FX262" s="183"/>
      <c r="FY262" s="183"/>
    </row>
    <row r="263" spans="1:181" ht="11.2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  <c r="FE263" s="183"/>
      <c r="FF263" s="183"/>
      <c r="FG263" s="183"/>
      <c r="FH263" s="183"/>
      <c r="FI263" s="183"/>
      <c r="FJ263" s="183"/>
      <c r="FK263" s="183"/>
      <c r="FL263" s="183"/>
      <c r="FM263" s="183"/>
      <c r="FN263" s="183"/>
      <c r="FO263" s="183"/>
      <c r="FP263" s="183"/>
      <c r="FQ263" s="183"/>
      <c r="FR263" s="183"/>
      <c r="FS263" s="183"/>
      <c r="FT263" s="183"/>
      <c r="FU263" s="183"/>
      <c r="FV263" s="183"/>
      <c r="FW263" s="183"/>
      <c r="FX263" s="183"/>
      <c r="FY263" s="183"/>
    </row>
    <row r="264" spans="1:181" ht="11.2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  <c r="FE264" s="183"/>
      <c r="FF264" s="183"/>
      <c r="FG264" s="183"/>
      <c r="FH264" s="183"/>
      <c r="FI264" s="183"/>
      <c r="FJ264" s="183"/>
      <c r="FK264" s="183"/>
      <c r="FL264" s="183"/>
      <c r="FM264" s="183"/>
      <c r="FN264" s="183"/>
      <c r="FO264" s="183"/>
      <c r="FP264" s="183"/>
      <c r="FQ264" s="183"/>
      <c r="FR264" s="183"/>
      <c r="FS264" s="183"/>
      <c r="FT264" s="183"/>
      <c r="FU264" s="183"/>
      <c r="FV264" s="183"/>
      <c r="FW264" s="183"/>
      <c r="FX264" s="183"/>
      <c r="FY264" s="183"/>
    </row>
    <row r="265" spans="1:181" ht="11.2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  <c r="FE265" s="183"/>
      <c r="FF265" s="183"/>
      <c r="FG265" s="183"/>
      <c r="FH265" s="183"/>
      <c r="FI265" s="183"/>
      <c r="FJ265" s="183"/>
      <c r="FK265" s="183"/>
      <c r="FL265" s="183"/>
      <c r="FM265" s="183"/>
      <c r="FN265" s="183"/>
      <c r="FO265" s="183"/>
      <c r="FP265" s="183"/>
      <c r="FQ265" s="183"/>
      <c r="FR265" s="183"/>
      <c r="FS265" s="183"/>
      <c r="FT265" s="183"/>
      <c r="FU265" s="183"/>
      <c r="FV265" s="183"/>
      <c r="FW265" s="183"/>
      <c r="FX265" s="183"/>
      <c r="FY265" s="183"/>
    </row>
    <row r="266" spans="1:181" ht="11.2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  <c r="FE266" s="183"/>
      <c r="FF266" s="183"/>
      <c r="FG266" s="183"/>
      <c r="FH266" s="183"/>
      <c r="FI266" s="183"/>
      <c r="FJ266" s="183"/>
      <c r="FK266" s="183"/>
      <c r="FL266" s="183"/>
      <c r="FM266" s="183"/>
      <c r="FN266" s="183"/>
      <c r="FO266" s="183"/>
      <c r="FP266" s="183"/>
      <c r="FQ266" s="183"/>
      <c r="FR266" s="183"/>
      <c r="FS266" s="183"/>
      <c r="FT266" s="183"/>
      <c r="FU266" s="183"/>
      <c r="FV266" s="183"/>
      <c r="FW266" s="183"/>
      <c r="FX266" s="183"/>
      <c r="FY266" s="183"/>
    </row>
    <row r="267" spans="1:181" ht="11.2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  <c r="FE267" s="183"/>
      <c r="FF267" s="183"/>
      <c r="FG267" s="183"/>
      <c r="FH267" s="183"/>
      <c r="FI267" s="183"/>
      <c r="FJ267" s="183"/>
      <c r="FK267" s="183"/>
      <c r="FL267" s="183"/>
      <c r="FM267" s="183"/>
      <c r="FN267" s="183"/>
      <c r="FO267" s="183"/>
      <c r="FP267" s="183"/>
      <c r="FQ267" s="183"/>
      <c r="FR267" s="183"/>
      <c r="FS267" s="183"/>
      <c r="FT267" s="183"/>
      <c r="FU267" s="183"/>
      <c r="FV267" s="183"/>
      <c r="FW267" s="183"/>
      <c r="FX267" s="183"/>
      <c r="FY267" s="183"/>
    </row>
    <row r="268" spans="1:181" ht="11.2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  <c r="FE268" s="183"/>
      <c r="FF268" s="183"/>
      <c r="FG268" s="183"/>
      <c r="FH268" s="183"/>
      <c r="FI268" s="183"/>
      <c r="FJ268" s="183"/>
      <c r="FK268" s="183"/>
      <c r="FL268" s="183"/>
      <c r="FM268" s="183"/>
      <c r="FN268" s="183"/>
      <c r="FO268" s="183"/>
      <c r="FP268" s="183"/>
      <c r="FQ268" s="183"/>
      <c r="FR268" s="183"/>
      <c r="FS268" s="183"/>
      <c r="FT268" s="183"/>
      <c r="FU268" s="183"/>
      <c r="FV268" s="183"/>
      <c r="FW268" s="183"/>
      <c r="FX268" s="183"/>
      <c r="FY268" s="183"/>
    </row>
    <row r="269" spans="1:181" ht="11.2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  <c r="FE269" s="183"/>
      <c r="FF269" s="183"/>
      <c r="FG269" s="183"/>
      <c r="FH269" s="183"/>
      <c r="FI269" s="183"/>
      <c r="FJ269" s="183"/>
      <c r="FK269" s="183"/>
      <c r="FL269" s="183"/>
      <c r="FM269" s="183"/>
      <c r="FN269" s="183"/>
      <c r="FO269" s="183"/>
      <c r="FP269" s="183"/>
      <c r="FQ269" s="183"/>
      <c r="FR269" s="183"/>
      <c r="FS269" s="183"/>
      <c r="FT269" s="183"/>
      <c r="FU269" s="183"/>
      <c r="FV269" s="183"/>
      <c r="FW269" s="183"/>
      <c r="FX269" s="183"/>
      <c r="FY269" s="183"/>
    </row>
    <row r="270" spans="1:181" ht="11.2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  <c r="FE270" s="183"/>
      <c r="FF270" s="183"/>
      <c r="FG270" s="183"/>
      <c r="FH270" s="183"/>
      <c r="FI270" s="183"/>
      <c r="FJ270" s="183"/>
      <c r="FK270" s="183"/>
      <c r="FL270" s="183"/>
      <c r="FM270" s="183"/>
      <c r="FN270" s="183"/>
      <c r="FO270" s="183"/>
      <c r="FP270" s="183"/>
      <c r="FQ270" s="183"/>
      <c r="FR270" s="183"/>
      <c r="FS270" s="183"/>
      <c r="FT270" s="183"/>
      <c r="FU270" s="183"/>
      <c r="FV270" s="183"/>
      <c r="FW270" s="183"/>
      <c r="FX270" s="183"/>
      <c r="FY270" s="183"/>
    </row>
    <row r="271" spans="1:181" ht="11.2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  <c r="FE271" s="183"/>
      <c r="FF271" s="183"/>
      <c r="FG271" s="183"/>
      <c r="FH271" s="183"/>
      <c r="FI271" s="183"/>
      <c r="FJ271" s="183"/>
      <c r="FK271" s="183"/>
      <c r="FL271" s="183"/>
      <c r="FM271" s="183"/>
      <c r="FN271" s="183"/>
      <c r="FO271" s="183"/>
      <c r="FP271" s="183"/>
      <c r="FQ271" s="183"/>
      <c r="FR271" s="183"/>
      <c r="FS271" s="183"/>
      <c r="FT271" s="183"/>
      <c r="FU271" s="183"/>
      <c r="FV271" s="183"/>
      <c r="FW271" s="183"/>
      <c r="FX271" s="183"/>
      <c r="FY271" s="183"/>
    </row>
    <row r="272" spans="1:181" ht="11.2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  <c r="FE272" s="183"/>
      <c r="FF272" s="183"/>
      <c r="FG272" s="183"/>
      <c r="FH272" s="183"/>
      <c r="FI272" s="183"/>
      <c r="FJ272" s="183"/>
      <c r="FK272" s="183"/>
      <c r="FL272" s="183"/>
      <c r="FM272" s="183"/>
      <c r="FN272" s="183"/>
      <c r="FO272" s="183"/>
      <c r="FP272" s="183"/>
      <c r="FQ272" s="183"/>
      <c r="FR272" s="183"/>
      <c r="FS272" s="183"/>
      <c r="FT272" s="183"/>
      <c r="FU272" s="183"/>
      <c r="FV272" s="183"/>
      <c r="FW272" s="183"/>
      <c r="FX272" s="183"/>
      <c r="FY272" s="183"/>
    </row>
    <row r="273" spans="1:181" ht="11.2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  <c r="FE273" s="183"/>
      <c r="FF273" s="183"/>
      <c r="FG273" s="183"/>
      <c r="FH273" s="183"/>
      <c r="FI273" s="183"/>
      <c r="FJ273" s="183"/>
      <c r="FK273" s="183"/>
      <c r="FL273" s="183"/>
      <c r="FM273" s="183"/>
      <c r="FN273" s="183"/>
      <c r="FO273" s="183"/>
      <c r="FP273" s="183"/>
      <c r="FQ273" s="183"/>
      <c r="FR273" s="183"/>
      <c r="FS273" s="183"/>
      <c r="FT273" s="183"/>
      <c r="FU273" s="183"/>
      <c r="FV273" s="183"/>
      <c r="FW273" s="183"/>
      <c r="FX273" s="183"/>
      <c r="FY273" s="183"/>
    </row>
    <row r="274" spans="1:181" ht="11.2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  <c r="FE274" s="183"/>
      <c r="FF274" s="183"/>
      <c r="FG274" s="183"/>
      <c r="FH274" s="183"/>
      <c r="FI274" s="183"/>
      <c r="FJ274" s="183"/>
      <c r="FK274" s="183"/>
      <c r="FL274" s="183"/>
      <c r="FM274" s="183"/>
      <c r="FN274" s="183"/>
      <c r="FO274" s="183"/>
      <c r="FP274" s="183"/>
      <c r="FQ274" s="183"/>
      <c r="FR274" s="183"/>
      <c r="FS274" s="183"/>
      <c r="FT274" s="183"/>
      <c r="FU274" s="183"/>
      <c r="FV274" s="183"/>
      <c r="FW274" s="183"/>
      <c r="FX274" s="183"/>
      <c r="FY274" s="183"/>
    </row>
    <row r="275" spans="1:181" ht="11.2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  <c r="FE275" s="183"/>
      <c r="FF275" s="183"/>
      <c r="FG275" s="183"/>
      <c r="FH275" s="183"/>
      <c r="FI275" s="183"/>
      <c r="FJ275" s="183"/>
      <c r="FK275" s="183"/>
      <c r="FL275" s="183"/>
      <c r="FM275" s="183"/>
      <c r="FN275" s="183"/>
      <c r="FO275" s="183"/>
      <c r="FP275" s="183"/>
      <c r="FQ275" s="183"/>
      <c r="FR275" s="183"/>
      <c r="FS275" s="183"/>
      <c r="FT275" s="183"/>
      <c r="FU275" s="183"/>
      <c r="FV275" s="183"/>
      <c r="FW275" s="183"/>
      <c r="FX275" s="183"/>
      <c r="FY275" s="183"/>
    </row>
    <row r="276" spans="1:181" ht="11.2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  <c r="FE276" s="183"/>
      <c r="FF276" s="183"/>
      <c r="FG276" s="183"/>
      <c r="FH276" s="183"/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183"/>
      <c r="FW276" s="183"/>
      <c r="FX276" s="183"/>
      <c r="FY276" s="183"/>
    </row>
    <row r="277" spans="1:181" ht="11.2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  <c r="FE277" s="183"/>
      <c r="FF277" s="183"/>
      <c r="FG277" s="183"/>
      <c r="FH277" s="183"/>
      <c r="FI277" s="183"/>
      <c r="FJ277" s="183"/>
      <c r="FK277" s="183"/>
      <c r="FL277" s="183"/>
      <c r="FM277" s="183"/>
      <c r="FN277" s="183"/>
      <c r="FO277" s="183"/>
      <c r="FP277" s="183"/>
      <c r="FQ277" s="183"/>
      <c r="FR277" s="183"/>
      <c r="FS277" s="183"/>
      <c r="FT277" s="183"/>
      <c r="FU277" s="183"/>
      <c r="FV277" s="183"/>
      <c r="FW277" s="183"/>
      <c r="FX277" s="183"/>
      <c r="FY277" s="183"/>
    </row>
    <row r="278" spans="1:181" ht="11.2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  <c r="FE278" s="183"/>
      <c r="FF278" s="183"/>
      <c r="FG278" s="183"/>
      <c r="FH278" s="183"/>
      <c r="FI278" s="183"/>
      <c r="FJ278" s="183"/>
      <c r="FK278" s="183"/>
      <c r="FL278" s="183"/>
      <c r="FM278" s="183"/>
      <c r="FN278" s="183"/>
      <c r="FO278" s="183"/>
      <c r="FP278" s="183"/>
      <c r="FQ278" s="183"/>
      <c r="FR278" s="183"/>
      <c r="FS278" s="183"/>
      <c r="FT278" s="183"/>
      <c r="FU278" s="183"/>
      <c r="FV278" s="183"/>
      <c r="FW278" s="183"/>
      <c r="FX278" s="183"/>
      <c r="FY278" s="183"/>
    </row>
    <row r="279" spans="1:181" ht="11.2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</row>
    <row r="280" spans="1:181" ht="11.2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  <c r="FE280" s="183"/>
      <c r="FF280" s="183"/>
      <c r="FG280" s="183"/>
      <c r="FH280" s="183"/>
      <c r="FI280" s="183"/>
      <c r="FJ280" s="183"/>
      <c r="FK280" s="183"/>
      <c r="FL280" s="183"/>
      <c r="FM280" s="183"/>
      <c r="FN280" s="183"/>
      <c r="FO280" s="183"/>
      <c r="FP280" s="183"/>
      <c r="FQ280" s="183"/>
      <c r="FR280" s="183"/>
      <c r="FS280" s="183"/>
      <c r="FT280" s="183"/>
      <c r="FU280" s="183"/>
      <c r="FV280" s="183"/>
      <c r="FW280" s="183"/>
      <c r="FX280" s="183"/>
      <c r="FY280" s="183"/>
    </row>
    <row r="281" spans="1:181" ht="11.2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  <c r="FE281" s="183"/>
      <c r="FF281" s="183"/>
      <c r="FG281" s="183"/>
      <c r="FH281" s="183"/>
      <c r="FI281" s="183"/>
      <c r="FJ281" s="183"/>
      <c r="FK281" s="183"/>
      <c r="FL281" s="183"/>
      <c r="FM281" s="183"/>
      <c r="FN281" s="183"/>
      <c r="FO281" s="183"/>
      <c r="FP281" s="183"/>
      <c r="FQ281" s="183"/>
      <c r="FR281" s="183"/>
      <c r="FS281" s="183"/>
      <c r="FT281" s="183"/>
      <c r="FU281" s="183"/>
      <c r="FV281" s="183"/>
      <c r="FW281" s="183"/>
      <c r="FX281" s="183"/>
      <c r="FY281" s="183"/>
    </row>
    <row r="282" spans="1:181" ht="11.2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  <c r="FE282" s="183"/>
      <c r="FF282" s="183"/>
      <c r="FG282" s="183"/>
      <c r="FH282" s="183"/>
      <c r="FI282" s="183"/>
      <c r="FJ282" s="183"/>
      <c r="FK282" s="183"/>
      <c r="FL282" s="183"/>
      <c r="FM282" s="183"/>
      <c r="FN282" s="183"/>
      <c r="FO282" s="183"/>
      <c r="FP282" s="183"/>
      <c r="FQ282" s="183"/>
      <c r="FR282" s="183"/>
      <c r="FS282" s="183"/>
      <c r="FT282" s="183"/>
      <c r="FU282" s="183"/>
      <c r="FV282" s="183"/>
      <c r="FW282" s="183"/>
      <c r="FX282" s="183"/>
      <c r="FY282" s="183"/>
    </row>
    <row r="283" spans="1:181" ht="11.2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  <c r="FE283" s="183"/>
      <c r="FF283" s="183"/>
      <c r="FG283" s="183"/>
      <c r="FH283" s="183"/>
      <c r="FI283" s="183"/>
      <c r="FJ283" s="183"/>
      <c r="FK283" s="183"/>
      <c r="FL283" s="183"/>
      <c r="FM283" s="183"/>
      <c r="FN283" s="183"/>
      <c r="FO283" s="183"/>
      <c r="FP283" s="183"/>
      <c r="FQ283" s="183"/>
      <c r="FR283" s="183"/>
      <c r="FS283" s="183"/>
      <c r="FT283" s="183"/>
      <c r="FU283" s="183"/>
      <c r="FV283" s="183"/>
      <c r="FW283" s="183"/>
      <c r="FX283" s="183"/>
      <c r="FY283" s="183"/>
    </row>
    <row r="284" spans="1:181" ht="11.2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  <c r="FE284" s="183"/>
      <c r="FF284" s="183"/>
      <c r="FG284" s="183"/>
      <c r="FH284" s="183"/>
      <c r="FI284" s="183"/>
      <c r="FJ284" s="183"/>
      <c r="FK284" s="183"/>
      <c r="FL284" s="183"/>
      <c r="FM284" s="183"/>
      <c r="FN284" s="183"/>
      <c r="FO284" s="183"/>
      <c r="FP284" s="183"/>
      <c r="FQ284" s="183"/>
      <c r="FR284" s="183"/>
      <c r="FS284" s="183"/>
      <c r="FT284" s="183"/>
      <c r="FU284" s="183"/>
      <c r="FV284" s="183"/>
      <c r="FW284" s="183"/>
      <c r="FX284" s="183"/>
      <c r="FY284" s="183"/>
    </row>
    <row r="285" spans="1:181" ht="11.2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  <c r="FE285" s="183"/>
      <c r="FF285" s="183"/>
      <c r="FG285" s="183"/>
      <c r="FH285" s="183"/>
      <c r="FI285" s="183"/>
      <c r="FJ285" s="183"/>
      <c r="FK285" s="183"/>
      <c r="FL285" s="183"/>
      <c r="FM285" s="183"/>
      <c r="FN285" s="183"/>
      <c r="FO285" s="183"/>
      <c r="FP285" s="183"/>
      <c r="FQ285" s="183"/>
      <c r="FR285" s="183"/>
      <c r="FS285" s="183"/>
      <c r="FT285" s="183"/>
      <c r="FU285" s="183"/>
      <c r="FV285" s="183"/>
      <c r="FW285" s="183"/>
      <c r="FX285" s="183"/>
      <c r="FY285" s="183"/>
    </row>
    <row r="286" spans="1:181" ht="11.2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  <c r="FE286" s="183"/>
      <c r="FF286" s="183"/>
      <c r="FG286" s="183"/>
      <c r="FH286" s="183"/>
      <c r="FI286" s="183"/>
      <c r="FJ286" s="183"/>
      <c r="FK286" s="183"/>
      <c r="FL286" s="183"/>
      <c r="FM286" s="183"/>
      <c r="FN286" s="183"/>
      <c r="FO286" s="183"/>
      <c r="FP286" s="183"/>
      <c r="FQ286" s="183"/>
      <c r="FR286" s="183"/>
      <c r="FS286" s="183"/>
      <c r="FT286" s="183"/>
      <c r="FU286" s="183"/>
      <c r="FV286" s="183"/>
      <c r="FW286" s="183"/>
      <c r="FX286" s="183"/>
      <c r="FY286" s="183"/>
    </row>
    <row r="287" spans="1:181" ht="11.2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  <c r="FE287" s="183"/>
      <c r="FF287" s="183"/>
      <c r="FG287" s="183"/>
      <c r="FH287" s="183"/>
      <c r="FI287" s="183"/>
      <c r="FJ287" s="183"/>
      <c r="FK287" s="183"/>
      <c r="FL287" s="183"/>
      <c r="FM287" s="183"/>
      <c r="FN287" s="183"/>
      <c r="FO287" s="183"/>
      <c r="FP287" s="183"/>
      <c r="FQ287" s="183"/>
      <c r="FR287" s="183"/>
      <c r="FS287" s="183"/>
      <c r="FT287" s="183"/>
      <c r="FU287" s="183"/>
      <c r="FV287" s="183"/>
      <c r="FW287" s="183"/>
      <c r="FX287" s="183"/>
      <c r="FY287" s="183"/>
    </row>
    <row r="288" spans="1:181" ht="11.2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  <c r="FE288" s="183"/>
      <c r="FF288" s="183"/>
      <c r="FG288" s="183"/>
      <c r="FH288" s="183"/>
      <c r="FI288" s="183"/>
      <c r="FJ288" s="183"/>
      <c r="FK288" s="183"/>
      <c r="FL288" s="183"/>
      <c r="FM288" s="183"/>
      <c r="FN288" s="183"/>
      <c r="FO288" s="183"/>
      <c r="FP288" s="183"/>
      <c r="FQ288" s="183"/>
      <c r="FR288" s="183"/>
      <c r="FS288" s="183"/>
      <c r="FT288" s="183"/>
      <c r="FU288" s="183"/>
      <c r="FV288" s="183"/>
      <c r="FW288" s="183"/>
      <c r="FX288" s="183"/>
      <c r="FY288" s="183"/>
    </row>
    <row r="289" spans="1:181" ht="11.2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  <c r="FE289" s="183"/>
      <c r="FF289" s="183"/>
      <c r="FG289" s="183"/>
      <c r="FH289" s="183"/>
      <c r="FI289" s="183"/>
      <c r="FJ289" s="183"/>
      <c r="FK289" s="183"/>
      <c r="FL289" s="183"/>
      <c r="FM289" s="183"/>
      <c r="FN289" s="183"/>
      <c r="FO289" s="183"/>
      <c r="FP289" s="183"/>
      <c r="FQ289" s="183"/>
      <c r="FR289" s="183"/>
      <c r="FS289" s="183"/>
      <c r="FT289" s="183"/>
      <c r="FU289" s="183"/>
      <c r="FV289" s="183"/>
      <c r="FW289" s="183"/>
      <c r="FX289" s="183"/>
      <c r="FY289" s="183"/>
    </row>
    <row r="290" spans="1:181" ht="11.2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</row>
    <row r="291" spans="1:181" ht="11.2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</row>
    <row r="292" spans="1:181" ht="11.2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  <c r="FE292" s="183"/>
      <c r="FF292" s="183"/>
      <c r="FG292" s="183"/>
      <c r="FH292" s="183"/>
      <c r="FI292" s="183"/>
      <c r="FJ292" s="183"/>
      <c r="FK292" s="183"/>
      <c r="FL292" s="183"/>
      <c r="FM292" s="183"/>
      <c r="FN292" s="183"/>
      <c r="FO292" s="183"/>
      <c r="FP292" s="183"/>
      <c r="FQ292" s="183"/>
      <c r="FR292" s="183"/>
      <c r="FS292" s="183"/>
      <c r="FT292" s="183"/>
      <c r="FU292" s="183"/>
      <c r="FV292" s="183"/>
      <c r="FW292" s="183"/>
      <c r="FX292" s="183"/>
      <c r="FY292" s="183"/>
    </row>
    <row r="293" spans="1:181" ht="11.2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  <c r="FE293" s="183"/>
      <c r="FF293" s="183"/>
      <c r="FG293" s="183"/>
      <c r="FH293" s="183"/>
      <c r="FI293" s="183"/>
      <c r="FJ293" s="183"/>
      <c r="FK293" s="183"/>
      <c r="FL293" s="183"/>
      <c r="FM293" s="183"/>
      <c r="FN293" s="183"/>
      <c r="FO293" s="183"/>
      <c r="FP293" s="183"/>
      <c r="FQ293" s="183"/>
      <c r="FR293" s="183"/>
      <c r="FS293" s="183"/>
      <c r="FT293" s="183"/>
      <c r="FU293" s="183"/>
      <c r="FV293" s="183"/>
      <c r="FW293" s="183"/>
      <c r="FX293" s="183"/>
      <c r="FY293" s="183"/>
    </row>
    <row r="294" spans="1:181" ht="11.2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  <c r="FE294" s="183"/>
      <c r="FF294" s="183"/>
      <c r="FG294" s="183"/>
      <c r="FH294" s="183"/>
      <c r="FI294" s="183"/>
      <c r="FJ294" s="183"/>
      <c r="FK294" s="183"/>
      <c r="FL294" s="183"/>
      <c r="FM294" s="183"/>
      <c r="FN294" s="183"/>
      <c r="FO294" s="183"/>
      <c r="FP294" s="183"/>
      <c r="FQ294" s="183"/>
      <c r="FR294" s="183"/>
      <c r="FS294" s="183"/>
      <c r="FT294" s="183"/>
      <c r="FU294" s="183"/>
      <c r="FV294" s="183"/>
      <c r="FW294" s="183"/>
      <c r="FX294" s="183"/>
      <c r="FY294" s="183"/>
    </row>
    <row r="295" spans="1:181" ht="11.2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  <c r="FE295" s="183"/>
      <c r="FF295" s="183"/>
      <c r="FG295" s="183"/>
      <c r="FH295" s="183"/>
      <c r="FI295" s="183"/>
      <c r="FJ295" s="183"/>
      <c r="FK295" s="183"/>
      <c r="FL295" s="183"/>
      <c r="FM295" s="183"/>
      <c r="FN295" s="183"/>
      <c r="FO295" s="183"/>
      <c r="FP295" s="183"/>
      <c r="FQ295" s="183"/>
      <c r="FR295" s="183"/>
      <c r="FS295" s="183"/>
      <c r="FT295" s="183"/>
      <c r="FU295" s="183"/>
      <c r="FV295" s="183"/>
      <c r="FW295" s="183"/>
      <c r="FX295" s="183"/>
      <c r="FY295" s="183"/>
    </row>
    <row r="296" spans="1:181" ht="11.2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  <c r="FE296" s="183"/>
      <c r="FF296" s="183"/>
      <c r="FG296" s="183"/>
      <c r="FH296" s="183"/>
      <c r="FI296" s="183"/>
      <c r="FJ296" s="183"/>
      <c r="FK296" s="183"/>
      <c r="FL296" s="183"/>
      <c r="FM296" s="183"/>
      <c r="FN296" s="183"/>
      <c r="FO296" s="183"/>
      <c r="FP296" s="183"/>
      <c r="FQ296" s="183"/>
      <c r="FR296" s="183"/>
      <c r="FS296" s="183"/>
      <c r="FT296" s="183"/>
      <c r="FU296" s="183"/>
      <c r="FV296" s="183"/>
      <c r="FW296" s="183"/>
      <c r="FX296" s="183"/>
      <c r="FY296" s="183"/>
    </row>
    <row r="297" spans="1:181" ht="11.2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  <c r="FE297" s="183"/>
      <c r="FF297" s="183"/>
      <c r="FG297" s="183"/>
      <c r="FH297" s="183"/>
      <c r="FI297" s="183"/>
      <c r="FJ297" s="183"/>
      <c r="FK297" s="183"/>
      <c r="FL297" s="183"/>
      <c r="FM297" s="183"/>
      <c r="FN297" s="183"/>
      <c r="FO297" s="183"/>
      <c r="FP297" s="183"/>
      <c r="FQ297" s="183"/>
      <c r="FR297" s="183"/>
      <c r="FS297" s="183"/>
      <c r="FT297" s="183"/>
      <c r="FU297" s="183"/>
      <c r="FV297" s="183"/>
      <c r="FW297" s="183"/>
      <c r="FX297" s="183"/>
      <c r="FY297" s="183"/>
    </row>
    <row r="298" spans="1:181" ht="11.2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  <c r="FE298" s="183"/>
      <c r="FF298" s="183"/>
      <c r="FG298" s="183"/>
      <c r="FH298" s="183"/>
      <c r="FI298" s="183"/>
      <c r="FJ298" s="183"/>
      <c r="FK298" s="183"/>
      <c r="FL298" s="183"/>
      <c r="FM298" s="183"/>
      <c r="FN298" s="183"/>
      <c r="FO298" s="183"/>
      <c r="FP298" s="183"/>
      <c r="FQ298" s="183"/>
      <c r="FR298" s="183"/>
      <c r="FS298" s="183"/>
      <c r="FT298" s="183"/>
      <c r="FU298" s="183"/>
      <c r="FV298" s="183"/>
      <c r="FW298" s="183"/>
      <c r="FX298" s="183"/>
      <c r="FY298" s="183"/>
    </row>
    <row r="299" spans="1:181" ht="11.2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  <c r="FE299" s="183"/>
      <c r="FF299" s="183"/>
      <c r="FG299" s="183"/>
      <c r="FH299" s="183"/>
      <c r="FI299" s="183"/>
      <c r="FJ299" s="183"/>
      <c r="FK299" s="183"/>
      <c r="FL299" s="183"/>
      <c r="FM299" s="183"/>
      <c r="FN299" s="183"/>
      <c r="FO299" s="183"/>
      <c r="FP299" s="183"/>
      <c r="FQ299" s="183"/>
      <c r="FR299" s="183"/>
      <c r="FS299" s="183"/>
      <c r="FT299" s="183"/>
      <c r="FU299" s="183"/>
      <c r="FV299" s="183"/>
      <c r="FW299" s="183"/>
      <c r="FX299" s="183"/>
      <c r="FY299" s="183"/>
    </row>
    <row r="300" spans="1:181" ht="11.2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  <c r="FE300" s="183"/>
      <c r="FF300" s="183"/>
      <c r="FG300" s="183"/>
      <c r="FH300" s="183"/>
      <c r="FI300" s="183"/>
      <c r="FJ300" s="183"/>
      <c r="FK300" s="183"/>
      <c r="FL300" s="183"/>
      <c r="FM300" s="183"/>
      <c r="FN300" s="183"/>
      <c r="FO300" s="183"/>
      <c r="FP300" s="183"/>
      <c r="FQ300" s="183"/>
      <c r="FR300" s="183"/>
      <c r="FS300" s="183"/>
      <c r="FT300" s="183"/>
      <c r="FU300" s="183"/>
      <c r="FV300" s="183"/>
      <c r="FW300" s="183"/>
      <c r="FX300" s="183"/>
      <c r="FY300" s="183"/>
    </row>
    <row r="301" spans="1:181" ht="11.2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  <c r="FE301" s="183"/>
      <c r="FF301" s="183"/>
      <c r="FG301" s="183"/>
      <c r="FH301" s="183"/>
      <c r="FI301" s="183"/>
      <c r="FJ301" s="183"/>
      <c r="FK301" s="183"/>
      <c r="FL301" s="183"/>
      <c r="FM301" s="183"/>
      <c r="FN301" s="183"/>
      <c r="FO301" s="183"/>
      <c r="FP301" s="183"/>
      <c r="FQ301" s="183"/>
      <c r="FR301" s="183"/>
      <c r="FS301" s="183"/>
      <c r="FT301" s="183"/>
      <c r="FU301" s="183"/>
      <c r="FV301" s="183"/>
      <c r="FW301" s="183"/>
      <c r="FX301" s="183"/>
      <c r="FY301" s="183"/>
    </row>
    <row r="302" spans="1:181" ht="11.2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  <c r="FE302" s="183"/>
      <c r="FF302" s="183"/>
      <c r="FG302" s="183"/>
      <c r="FH302" s="183"/>
      <c r="FI302" s="183"/>
      <c r="FJ302" s="183"/>
      <c r="FK302" s="183"/>
      <c r="FL302" s="183"/>
      <c r="FM302" s="183"/>
      <c r="FN302" s="183"/>
      <c r="FO302" s="183"/>
      <c r="FP302" s="183"/>
      <c r="FQ302" s="183"/>
      <c r="FR302" s="183"/>
      <c r="FS302" s="183"/>
      <c r="FT302" s="183"/>
      <c r="FU302" s="183"/>
      <c r="FV302" s="183"/>
      <c r="FW302" s="183"/>
      <c r="FX302" s="183"/>
      <c r="FY302" s="183"/>
    </row>
    <row r="303" spans="1:181" ht="11.2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</row>
    <row r="304" spans="1:181" ht="11.2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</row>
    <row r="305" spans="1:181" ht="11.2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  <c r="FE305" s="183"/>
      <c r="FF305" s="183"/>
      <c r="FG305" s="183"/>
      <c r="FH305" s="183"/>
      <c r="FI305" s="183"/>
      <c r="FJ305" s="183"/>
      <c r="FK305" s="183"/>
      <c r="FL305" s="183"/>
      <c r="FM305" s="183"/>
      <c r="FN305" s="183"/>
      <c r="FO305" s="183"/>
      <c r="FP305" s="183"/>
      <c r="FQ305" s="183"/>
      <c r="FR305" s="183"/>
      <c r="FS305" s="183"/>
      <c r="FT305" s="183"/>
      <c r="FU305" s="183"/>
      <c r="FV305" s="183"/>
      <c r="FW305" s="183"/>
      <c r="FX305" s="183"/>
      <c r="FY305" s="183"/>
    </row>
    <row r="306" spans="1:181" ht="11.2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  <c r="FE306" s="183"/>
      <c r="FF306" s="183"/>
      <c r="FG306" s="183"/>
      <c r="FH306" s="183"/>
      <c r="FI306" s="183"/>
      <c r="FJ306" s="183"/>
      <c r="FK306" s="183"/>
      <c r="FL306" s="183"/>
      <c r="FM306" s="183"/>
      <c r="FN306" s="183"/>
      <c r="FO306" s="183"/>
      <c r="FP306" s="183"/>
      <c r="FQ306" s="183"/>
      <c r="FR306" s="183"/>
      <c r="FS306" s="183"/>
      <c r="FT306" s="183"/>
      <c r="FU306" s="183"/>
      <c r="FV306" s="183"/>
      <c r="FW306" s="183"/>
      <c r="FX306" s="183"/>
      <c r="FY306" s="183"/>
    </row>
    <row r="307" spans="1:181" ht="11.2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  <c r="FE307" s="183"/>
      <c r="FF307" s="183"/>
      <c r="FG307" s="183"/>
      <c r="FH307" s="183"/>
      <c r="FI307" s="183"/>
      <c r="FJ307" s="183"/>
      <c r="FK307" s="183"/>
      <c r="FL307" s="183"/>
      <c r="FM307" s="183"/>
      <c r="FN307" s="183"/>
      <c r="FO307" s="183"/>
      <c r="FP307" s="183"/>
      <c r="FQ307" s="183"/>
      <c r="FR307" s="183"/>
      <c r="FS307" s="183"/>
      <c r="FT307" s="183"/>
      <c r="FU307" s="183"/>
      <c r="FV307" s="183"/>
      <c r="FW307" s="183"/>
      <c r="FX307" s="183"/>
      <c r="FY307" s="183"/>
    </row>
    <row r="308" spans="1:181" ht="11.2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  <c r="FE308" s="183"/>
      <c r="FF308" s="183"/>
      <c r="FG308" s="183"/>
      <c r="FH308" s="183"/>
      <c r="FI308" s="183"/>
      <c r="FJ308" s="183"/>
      <c r="FK308" s="183"/>
      <c r="FL308" s="183"/>
      <c r="FM308" s="183"/>
      <c r="FN308" s="183"/>
      <c r="FO308" s="183"/>
      <c r="FP308" s="183"/>
      <c r="FQ308" s="183"/>
      <c r="FR308" s="183"/>
      <c r="FS308" s="183"/>
      <c r="FT308" s="183"/>
      <c r="FU308" s="183"/>
      <c r="FV308" s="183"/>
      <c r="FW308" s="183"/>
      <c r="FX308" s="183"/>
      <c r="FY308" s="183"/>
    </row>
    <row r="309" spans="1:181" ht="11.2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  <c r="FE309" s="183"/>
      <c r="FF309" s="183"/>
      <c r="FG309" s="183"/>
      <c r="FH309" s="183"/>
      <c r="FI309" s="183"/>
      <c r="FJ309" s="183"/>
      <c r="FK309" s="183"/>
      <c r="FL309" s="183"/>
      <c r="FM309" s="183"/>
      <c r="FN309" s="183"/>
      <c r="FO309" s="183"/>
      <c r="FP309" s="183"/>
      <c r="FQ309" s="183"/>
      <c r="FR309" s="183"/>
      <c r="FS309" s="183"/>
      <c r="FT309" s="183"/>
      <c r="FU309" s="183"/>
      <c r="FV309" s="183"/>
      <c r="FW309" s="183"/>
      <c r="FX309" s="183"/>
      <c r="FY309" s="183"/>
    </row>
    <row r="310" spans="1:181" ht="11.2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  <c r="FE310" s="183"/>
      <c r="FF310" s="183"/>
      <c r="FG310" s="183"/>
      <c r="FH310" s="183"/>
      <c r="FI310" s="183"/>
      <c r="FJ310" s="183"/>
      <c r="FK310" s="183"/>
      <c r="FL310" s="183"/>
      <c r="FM310" s="183"/>
      <c r="FN310" s="183"/>
      <c r="FO310" s="183"/>
      <c r="FP310" s="183"/>
      <c r="FQ310" s="183"/>
      <c r="FR310" s="183"/>
      <c r="FS310" s="183"/>
      <c r="FT310" s="183"/>
      <c r="FU310" s="183"/>
      <c r="FV310" s="183"/>
      <c r="FW310" s="183"/>
      <c r="FX310" s="183"/>
      <c r="FY310" s="183"/>
    </row>
    <row r="311" spans="1:181" ht="11.2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  <c r="FE311" s="183"/>
      <c r="FF311" s="183"/>
      <c r="FG311" s="183"/>
      <c r="FH311" s="183"/>
      <c r="FI311" s="183"/>
      <c r="FJ311" s="183"/>
      <c r="FK311" s="183"/>
      <c r="FL311" s="183"/>
      <c r="FM311" s="183"/>
      <c r="FN311" s="183"/>
      <c r="FO311" s="183"/>
      <c r="FP311" s="183"/>
      <c r="FQ311" s="183"/>
      <c r="FR311" s="183"/>
      <c r="FS311" s="183"/>
      <c r="FT311" s="183"/>
      <c r="FU311" s="183"/>
      <c r="FV311" s="183"/>
      <c r="FW311" s="183"/>
      <c r="FX311" s="183"/>
      <c r="FY311" s="183"/>
    </row>
    <row r="312" spans="1:181" ht="11.2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  <c r="FE312" s="183"/>
      <c r="FF312" s="183"/>
      <c r="FG312" s="183"/>
      <c r="FH312" s="183"/>
      <c r="FI312" s="183"/>
      <c r="FJ312" s="183"/>
      <c r="FK312" s="183"/>
      <c r="FL312" s="183"/>
      <c r="FM312" s="183"/>
      <c r="FN312" s="183"/>
      <c r="FO312" s="183"/>
      <c r="FP312" s="183"/>
      <c r="FQ312" s="183"/>
      <c r="FR312" s="183"/>
      <c r="FS312" s="183"/>
      <c r="FT312" s="183"/>
      <c r="FU312" s="183"/>
      <c r="FV312" s="183"/>
      <c r="FW312" s="183"/>
      <c r="FX312" s="183"/>
      <c r="FY312" s="183"/>
    </row>
    <row r="313" spans="1:181" ht="11.2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  <c r="FE313" s="183"/>
      <c r="FF313" s="183"/>
      <c r="FG313" s="183"/>
      <c r="FH313" s="183"/>
      <c r="FI313" s="183"/>
      <c r="FJ313" s="183"/>
      <c r="FK313" s="183"/>
      <c r="FL313" s="183"/>
      <c r="FM313" s="183"/>
      <c r="FN313" s="183"/>
      <c r="FO313" s="183"/>
      <c r="FP313" s="183"/>
      <c r="FQ313" s="183"/>
      <c r="FR313" s="183"/>
      <c r="FS313" s="183"/>
      <c r="FT313" s="183"/>
      <c r="FU313" s="183"/>
      <c r="FV313" s="183"/>
      <c r="FW313" s="183"/>
      <c r="FX313" s="183"/>
      <c r="FY313" s="183"/>
    </row>
    <row r="314" spans="1:181" ht="11.2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  <c r="FE314" s="183"/>
      <c r="FF314" s="183"/>
      <c r="FG314" s="183"/>
      <c r="FH314" s="183"/>
      <c r="FI314" s="183"/>
      <c r="FJ314" s="183"/>
      <c r="FK314" s="183"/>
      <c r="FL314" s="183"/>
      <c r="FM314" s="183"/>
      <c r="FN314" s="183"/>
      <c r="FO314" s="183"/>
      <c r="FP314" s="183"/>
      <c r="FQ314" s="183"/>
      <c r="FR314" s="183"/>
      <c r="FS314" s="183"/>
      <c r="FT314" s="183"/>
      <c r="FU314" s="183"/>
      <c r="FV314" s="183"/>
      <c r="FW314" s="183"/>
      <c r="FX314" s="183"/>
      <c r="FY314" s="183"/>
    </row>
    <row r="315" spans="1:181" ht="11.2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  <c r="FE315" s="183"/>
      <c r="FF315" s="183"/>
      <c r="FG315" s="183"/>
      <c r="FH315" s="183"/>
      <c r="FI315" s="183"/>
      <c r="FJ315" s="183"/>
      <c r="FK315" s="183"/>
      <c r="FL315" s="183"/>
      <c r="FM315" s="183"/>
      <c r="FN315" s="183"/>
      <c r="FO315" s="183"/>
      <c r="FP315" s="183"/>
      <c r="FQ315" s="183"/>
      <c r="FR315" s="183"/>
      <c r="FS315" s="183"/>
      <c r="FT315" s="183"/>
      <c r="FU315" s="183"/>
      <c r="FV315" s="183"/>
      <c r="FW315" s="183"/>
      <c r="FX315" s="183"/>
      <c r="FY315" s="183"/>
    </row>
    <row r="316" spans="1:181" ht="11.2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  <c r="FE316" s="183"/>
      <c r="FF316" s="183"/>
      <c r="FG316" s="183"/>
      <c r="FH316" s="183"/>
      <c r="FI316" s="183"/>
      <c r="FJ316" s="183"/>
      <c r="FK316" s="183"/>
      <c r="FL316" s="183"/>
      <c r="FM316" s="183"/>
      <c r="FN316" s="183"/>
      <c r="FO316" s="183"/>
      <c r="FP316" s="183"/>
      <c r="FQ316" s="183"/>
      <c r="FR316" s="183"/>
      <c r="FS316" s="183"/>
      <c r="FT316" s="183"/>
      <c r="FU316" s="183"/>
      <c r="FV316" s="183"/>
      <c r="FW316" s="183"/>
      <c r="FX316" s="183"/>
      <c r="FY316" s="183"/>
    </row>
    <row r="317" spans="1:181" ht="11.2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  <c r="FE317" s="183"/>
      <c r="FF317" s="183"/>
      <c r="FG317" s="183"/>
      <c r="FH317" s="183"/>
      <c r="FI317" s="183"/>
      <c r="FJ317" s="183"/>
      <c r="FK317" s="183"/>
      <c r="FL317" s="183"/>
      <c r="FM317" s="183"/>
      <c r="FN317" s="183"/>
      <c r="FO317" s="183"/>
      <c r="FP317" s="183"/>
      <c r="FQ317" s="183"/>
      <c r="FR317" s="183"/>
      <c r="FS317" s="183"/>
      <c r="FT317" s="183"/>
      <c r="FU317" s="183"/>
      <c r="FV317" s="183"/>
      <c r="FW317" s="183"/>
      <c r="FX317" s="183"/>
      <c r="FY317" s="183"/>
    </row>
    <row r="318" spans="1:181" ht="11.2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  <c r="FE318" s="183"/>
      <c r="FF318" s="183"/>
      <c r="FG318" s="183"/>
      <c r="FH318" s="183"/>
      <c r="FI318" s="183"/>
      <c r="FJ318" s="183"/>
      <c r="FK318" s="183"/>
      <c r="FL318" s="183"/>
      <c r="FM318" s="183"/>
      <c r="FN318" s="183"/>
      <c r="FO318" s="183"/>
      <c r="FP318" s="183"/>
      <c r="FQ318" s="183"/>
      <c r="FR318" s="183"/>
      <c r="FS318" s="183"/>
      <c r="FT318" s="183"/>
      <c r="FU318" s="183"/>
      <c r="FV318" s="183"/>
      <c r="FW318" s="183"/>
      <c r="FX318" s="183"/>
      <c r="FY318" s="183"/>
    </row>
    <row r="319" spans="1:181" ht="11.2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  <c r="FE319" s="183"/>
      <c r="FF319" s="183"/>
      <c r="FG319" s="183"/>
      <c r="FH319" s="183"/>
      <c r="FI319" s="183"/>
      <c r="FJ319" s="183"/>
      <c r="FK319" s="183"/>
      <c r="FL319" s="183"/>
      <c r="FM319" s="183"/>
      <c r="FN319" s="183"/>
      <c r="FO319" s="183"/>
      <c r="FP319" s="183"/>
      <c r="FQ319" s="183"/>
      <c r="FR319" s="183"/>
      <c r="FS319" s="183"/>
      <c r="FT319" s="183"/>
      <c r="FU319" s="183"/>
      <c r="FV319" s="183"/>
      <c r="FW319" s="183"/>
      <c r="FX319" s="183"/>
      <c r="FY319" s="183"/>
    </row>
    <row r="320" spans="1:181" ht="11.2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  <c r="FE320" s="183"/>
      <c r="FF320" s="183"/>
      <c r="FG320" s="183"/>
      <c r="FH320" s="183"/>
      <c r="FI320" s="183"/>
      <c r="FJ320" s="183"/>
      <c r="FK320" s="183"/>
      <c r="FL320" s="183"/>
      <c r="FM320" s="183"/>
      <c r="FN320" s="183"/>
      <c r="FO320" s="183"/>
      <c r="FP320" s="183"/>
      <c r="FQ320" s="183"/>
      <c r="FR320" s="183"/>
      <c r="FS320" s="183"/>
      <c r="FT320" s="183"/>
      <c r="FU320" s="183"/>
      <c r="FV320" s="183"/>
      <c r="FW320" s="183"/>
      <c r="FX320" s="183"/>
      <c r="FY320" s="183"/>
    </row>
    <row r="321" spans="1:181" ht="11.2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  <c r="FE321" s="183"/>
      <c r="FF321" s="183"/>
      <c r="FG321" s="183"/>
      <c r="FH321" s="183"/>
      <c r="FI321" s="183"/>
      <c r="FJ321" s="183"/>
      <c r="FK321" s="183"/>
      <c r="FL321" s="183"/>
      <c r="FM321" s="183"/>
      <c r="FN321" s="183"/>
      <c r="FO321" s="183"/>
      <c r="FP321" s="183"/>
      <c r="FQ321" s="183"/>
      <c r="FR321" s="183"/>
      <c r="FS321" s="183"/>
      <c r="FT321" s="183"/>
      <c r="FU321" s="183"/>
      <c r="FV321" s="183"/>
      <c r="FW321" s="183"/>
      <c r="FX321" s="183"/>
      <c r="FY321" s="183"/>
    </row>
    <row r="322" spans="1:181" ht="11.2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</row>
    <row r="323" spans="1:181" ht="11.2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  <c r="FE323" s="183"/>
      <c r="FF323" s="183"/>
      <c r="FG323" s="183"/>
      <c r="FH323" s="183"/>
      <c r="FI323" s="183"/>
      <c r="FJ323" s="183"/>
      <c r="FK323" s="183"/>
      <c r="FL323" s="183"/>
      <c r="FM323" s="183"/>
      <c r="FN323" s="183"/>
      <c r="FO323" s="183"/>
      <c r="FP323" s="183"/>
      <c r="FQ323" s="183"/>
      <c r="FR323" s="183"/>
      <c r="FS323" s="183"/>
      <c r="FT323" s="183"/>
      <c r="FU323" s="183"/>
      <c r="FV323" s="183"/>
      <c r="FW323" s="183"/>
      <c r="FX323" s="183"/>
      <c r="FY323" s="183"/>
    </row>
    <row r="324" spans="1:181" ht="11.2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  <c r="FE324" s="183"/>
      <c r="FF324" s="183"/>
      <c r="FG324" s="183"/>
      <c r="FH324" s="183"/>
      <c r="FI324" s="183"/>
      <c r="FJ324" s="183"/>
      <c r="FK324" s="183"/>
      <c r="FL324" s="183"/>
      <c r="FM324" s="183"/>
      <c r="FN324" s="183"/>
      <c r="FO324" s="183"/>
      <c r="FP324" s="183"/>
      <c r="FQ324" s="183"/>
      <c r="FR324" s="183"/>
      <c r="FS324" s="183"/>
      <c r="FT324" s="183"/>
      <c r="FU324" s="183"/>
      <c r="FV324" s="183"/>
      <c r="FW324" s="183"/>
      <c r="FX324" s="183"/>
      <c r="FY324" s="183"/>
    </row>
    <row r="325" spans="1:181" ht="11.2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  <c r="FE325" s="183"/>
      <c r="FF325" s="183"/>
      <c r="FG325" s="183"/>
      <c r="FH325" s="183"/>
      <c r="FI325" s="183"/>
      <c r="FJ325" s="183"/>
      <c r="FK325" s="183"/>
      <c r="FL325" s="183"/>
      <c r="FM325" s="183"/>
      <c r="FN325" s="183"/>
      <c r="FO325" s="183"/>
      <c r="FP325" s="183"/>
      <c r="FQ325" s="183"/>
      <c r="FR325" s="183"/>
      <c r="FS325" s="183"/>
      <c r="FT325" s="183"/>
      <c r="FU325" s="183"/>
      <c r="FV325" s="183"/>
      <c r="FW325" s="183"/>
      <c r="FX325" s="183"/>
      <c r="FY325" s="183"/>
    </row>
    <row r="326" spans="1:181" ht="11.2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  <c r="FE326" s="183"/>
      <c r="FF326" s="183"/>
      <c r="FG326" s="183"/>
      <c r="FH326" s="183"/>
      <c r="FI326" s="183"/>
      <c r="FJ326" s="183"/>
      <c r="FK326" s="183"/>
      <c r="FL326" s="183"/>
      <c r="FM326" s="183"/>
      <c r="FN326" s="183"/>
      <c r="FO326" s="183"/>
      <c r="FP326" s="183"/>
      <c r="FQ326" s="183"/>
      <c r="FR326" s="183"/>
      <c r="FS326" s="183"/>
      <c r="FT326" s="183"/>
      <c r="FU326" s="183"/>
      <c r="FV326" s="183"/>
      <c r="FW326" s="183"/>
      <c r="FX326" s="183"/>
      <c r="FY326" s="183"/>
    </row>
    <row r="327" spans="1:181" ht="11.2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  <c r="FE327" s="183"/>
      <c r="FF327" s="183"/>
      <c r="FG327" s="183"/>
      <c r="FH327" s="183"/>
      <c r="FI327" s="183"/>
      <c r="FJ327" s="183"/>
      <c r="FK327" s="183"/>
      <c r="FL327" s="183"/>
      <c r="FM327" s="183"/>
      <c r="FN327" s="183"/>
      <c r="FO327" s="183"/>
      <c r="FP327" s="183"/>
      <c r="FQ327" s="183"/>
      <c r="FR327" s="183"/>
      <c r="FS327" s="183"/>
      <c r="FT327" s="183"/>
      <c r="FU327" s="183"/>
      <c r="FV327" s="183"/>
      <c r="FW327" s="183"/>
      <c r="FX327" s="183"/>
      <c r="FY327" s="183"/>
    </row>
    <row r="328" spans="1:181" ht="11.2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  <c r="FE328" s="183"/>
      <c r="FF328" s="183"/>
      <c r="FG328" s="183"/>
      <c r="FH328" s="183"/>
      <c r="FI328" s="183"/>
      <c r="FJ328" s="183"/>
      <c r="FK328" s="183"/>
      <c r="FL328" s="183"/>
      <c r="FM328" s="183"/>
      <c r="FN328" s="183"/>
      <c r="FO328" s="183"/>
      <c r="FP328" s="183"/>
      <c r="FQ328" s="183"/>
      <c r="FR328" s="183"/>
      <c r="FS328" s="183"/>
      <c r="FT328" s="183"/>
      <c r="FU328" s="183"/>
      <c r="FV328" s="183"/>
      <c r="FW328" s="183"/>
      <c r="FX328" s="183"/>
      <c r="FY328" s="183"/>
    </row>
    <row r="329" spans="1:181" ht="11.2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  <c r="FE329" s="183"/>
      <c r="FF329" s="183"/>
      <c r="FG329" s="183"/>
      <c r="FH329" s="183"/>
      <c r="FI329" s="183"/>
      <c r="FJ329" s="183"/>
      <c r="FK329" s="183"/>
      <c r="FL329" s="183"/>
      <c r="FM329" s="183"/>
      <c r="FN329" s="183"/>
      <c r="FO329" s="183"/>
      <c r="FP329" s="183"/>
      <c r="FQ329" s="183"/>
      <c r="FR329" s="183"/>
      <c r="FS329" s="183"/>
      <c r="FT329" s="183"/>
      <c r="FU329" s="183"/>
      <c r="FV329" s="183"/>
      <c r="FW329" s="183"/>
      <c r="FX329" s="183"/>
      <c r="FY329" s="183"/>
    </row>
    <row r="330" spans="1:181" ht="11.2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  <c r="FE330" s="183"/>
      <c r="FF330" s="183"/>
      <c r="FG330" s="183"/>
      <c r="FH330" s="183"/>
      <c r="FI330" s="183"/>
      <c r="FJ330" s="183"/>
      <c r="FK330" s="183"/>
      <c r="FL330" s="183"/>
      <c r="FM330" s="183"/>
      <c r="FN330" s="183"/>
      <c r="FO330" s="183"/>
      <c r="FP330" s="183"/>
      <c r="FQ330" s="183"/>
      <c r="FR330" s="183"/>
      <c r="FS330" s="183"/>
      <c r="FT330" s="183"/>
      <c r="FU330" s="183"/>
      <c r="FV330" s="183"/>
      <c r="FW330" s="183"/>
      <c r="FX330" s="183"/>
      <c r="FY330" s="183"/>
    </row>
    <row r="331" spans="1:181" ht="11.2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  <c r="FE331" s="183"/>
      <c r="FF331" s="183"/>
      <c r="FG331" s="183"/>
      <c r="FH331" s="183"/>
      <c r="FI331" s="183"/>
      <c r="FJ331" s="183"/>
      <c r="FK331" s="183"/>
      <c r="FL331" s="183"/>
      <c r="FM331" s="183"/>
      <c r="FN331" s="183"/>
      <c r="FO331" s="183"/>
      <c r="FP331" s="183"/>
      <c r="FQ331" s="183"/>
      <c r="FR331" s="183"/>
      <c r="FS331" s="183"/>
      <c r="FT331" s="183"/>
      <c r="FU331" s="183"/>
      <c r="FV331" s="183"/>
      <c r="FW331" s="183"/>
      <c r="FX331" s="183"/>
      <c r="FY331" s="183"/>
    </row>
    <row r="332" spans="1:181" ht="11.2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  <c r="FE332" s="183"/>
      <c r="FF332" s="183"/>
      <c r="FG332" s="183"/>
      <c r="FH332" s="183"/>
      <c r="FI332" s="183"/>
      <c r="FJ332" s="183"/>
      <c r="FK332" s="183"/>
      <c r="FL332" s="183"/>
      <c r="FM332" s="183"/>
      <c r="FN332" s="183"/>
      <c r="FO332" s="183"/>
      <c r="FP332" s="183"/>
      <c r="FQ332" s="183"/>
      <c r="FR332" s="183"/>
      <c r="FS332" s="183"/>
      <c r="FT332" s="183"/>
      <c r="FU332" s="183"/>
      <c r="FV332" s="183"/>
      <c r="FW332" s="183"/>
      <c r="FX332" s="183"/>
      <c r="FY332" s="183"/>
    </row>
    <row r="333" spans="1:181" ht="11.2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</row>
    <row r="334" spans="1:181" ht="11.2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</row>
    <row r="335" spans="1:181" ht="11.2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  <c r="FE335" s="183"/>
      <c r="FF335" s="183"/>
      <c r="FG335" s="183"/>
      <c r="FH335" s="183"/>
      <c r="FI335" s="183"/>
      <c r="FJ335" s="183"/>
      <c r="FK335" s="183"/>
      <c r="FL335" s="183"/>
      <c r="FM335" s="183"/>
      <c r="FN335" s="183"/>
      <c r="FO335" s="183"/>
      <c r="FP335" s="183"/>
      <c r="FQ335" s="183"/>
      <c r="FR335" s="183"/>
      <c r="FS335" s="183"/>
      <c r="FT335" s="183"/>
      <c r="FU335" s="183"/>
      <c r="FV335" s="183"/>
      <c r="FW335" s="183"/>
      <c r="FX335" s="183"/>
      <c r="FY335" s="183"/>
    </row>
    <row r="336" spans="1:181" ht="11.2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  <c r="FE336" s="183"/>
      <c r="FF336" s="183"/>
      <c r="FG336" s="183"/>
      <c r="FH336" s="183"/>
      <c r="FI336" s="183"/>
      <c r="FJ336" s="183"/>
      <c r="FK336" s="183"/>
      <c r="FL336" s="183"/>
      <c r="FM336" s="183"/>
      <c r="FN336" s="183"/>
      <c r="FO336" s="183"/>
      <c r="FP336" s="183"/>
      <c r="FQ336" s="183"/>
      <c r="FR336" s="183"/>
      <c r="FS336" s="183"/>
      <c r="FT336" s="183"/>
      <c r="FU336" s="183"/>
      <c r="FV336" s="183"/>
      <c r="FW336" s="183"/>
      <c r="FX336" s="183"/>
      <c r="FY336" s="183"/>
    </row>
    <row r="337" spans="1:181" ht="11.2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  <c r="FE337" s="183"/>
      <c r="FF337" s="183"/>
      <c r="FG337" s="183"/>
      <c r="FH337" s="183"/>
      <c r="FI337" s="183"/>
      <c r="FJ337" s="183"/>
      <c r="FK337" s="183"/>
      <c r="FL337" s="183"/>
      <c r="FM337" s="183"/>
      <c r="FN337" s="183"/>
      <c r="FO337" s="183"/>
      <c r="FP337" s="183"/>
      <c r="FQ337" s="183"/>
      <c r="FR337" s="183"/>
      <c r="FS337" s="183"/>
      <c r="FT337" s="183"/>
      <c r="FU337" s="183"/>
      <c r="FV337" s="183"/>
      <c r="FW337" s="183"/>
      <c r="FX337" s="183"/>
      <c r="FY337" s="183"/>
    </row>
    <row r="338" spans="1:181" ht="11.2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  <c r="FE338" s="183"/>
      <c r="FF338" s="183"/>
      <c r="FG338" s="183"/>
      <c r="FH338" s="183"/>
      <c r="FI338" s="183"/>
      <c r="FJ338" s="183"/>
      <c r="FK338" s="183"/>
      <c r="FL338" s="183"/>
      <c r="FM338" s="183"/>
      <c r="FN338" s="183"/>
      <c r="FO338" s="183"/>
      <c r="FP338" s="183"/>
      <c r="FQ338" s="183"/>
      <c r="FR338" s="183"/>
      <c r="FS338" s="183"/>
      <c r="FT338" s="183"/>
      <c r="FU338" s="183"/>
      <c r="FV338" s="183"/>
      <c r="FW338" s="183"/>
      <c r="FX338" s="183"/>
      <c r="FY338" s="183"/>
    </row>
    <row r="339" spans="1:181" ht="11.2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3"/>
      <c r="FN339" s="183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3"/>
    </row>
    <row r="340" spans="1:181" ht="11.2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  <c r="FE340" s="183"/>
      <c r="FF340" s="183"/>
      <c r="FG340" s="183"/>
      <c r="FH340" s="183"/>
      <c r="FI340" s="183"/>
      <c r="FJ340" s="183"/>
      <c r="FK340" s="183"/>
      <c r="FL340" s="183"/>
      <c r="FM340" s="183"/>
      <c r="FN340" s="183"/>
      <c r="FO340" s="183"/>
      <c r="FP340" s="183"/>
      <c r="FQ340" s="183"/>
      <c r="FR340" s="183"/>
      <c r="FS340" s="183"/>
      <c r="FT340" s="183"/>
      <c r="FU340" s="183"/>
      <c r="FV340" s="183"/>
      <c r="FW340" s="183"/>
      <c r="FX340" s="183"/>
      <c r="FY340" s="183"/>
    </row>
    <row r="341" spans="1:181" ht="11.2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  <c r="FE341" s="183"/>
      <c r="FF341" s="183"/>
      <c r="FG341" s="183"/>
      <c r="FH341" s="183"/>
      <c r="FI341" s="183"/>
      <c r="FJ341" s="183"/>
      <c r="FK341" s="183"/>
      <c r="FL341" s="183"/>
      <c r="FM341" s="183"/>
      <c r="FN341" s="183"/>
      <c r="FO341" s="183"/>
      <c r="FP341" s="183"/>
      <c r="FQ341" s="183"/>
      <c r="FR341" s="183"/>
      <c r="FS341" s="183"/>
      <c r="FT341" s="183"/>
      <c r="FU341" s="183"/>
      <c r="FV341" s="183"/>
      <c r="FW341" s="183"/>
      <c r="FX341" s="183"/>
      <c r="FY341" s="183"/>
    </row>
    <row r="342" spans="1:181" ht="11.2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  <c r="FE342" s="183"/>
      <c r="FF342" s="183"/>
      <c r="FG342" s="183"/>
      <c r="FH342" s="183"/>
      <c r="FI342" s="183"/>
      <c r="FJ342" s="183"/>
      <c r="FK342" s="183"/>
      <c r="FL342" s="183"/>
      <c r="FM342" s="183"/>
      <c r="FN342" s="183"/>
      <c r="FO342" s="183"/>
      <c r="FP342" s="183"/>
      <c r="FQ342" s="183"/>
      <c r="FR342" s="183"/>
      <c r="FS342" s="183"/>
      <c r="FT342" s="183"/>
      <c r="FU342" s="183"/>
      <c r="FV342" s="183"/>
      <c r="FW342" s="183"/>
      <c r="FX342" s="183"/>
      <c r="FY342" s="183"/>
    </row>
    <row r="343" spans="1:181" ht="11.2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  <c r="FE343" s="183"/>
      <c r="FF343" s="183"/>
      <c r="FG343" s="183"/>
      <c r="FH343" s="183"/>
      <c r="FI343" s="183"/>
      <c r="FJ343" s="183"/>
      <c r="FK343" s="183"/>
      <c r="FL343" s="183"/>
      <c r="FM343" s="183"/>
      <c r="FN343" s="183"/>
      <c r="FO343" s="183"/>
      <c r="FP343" s="183"/>
      <c r="FQ343" s="183"/>
      <c r="FR343" s="183"/>
      <c r="FS343" s="183"/>
      <c r="FT343" s="183"/>
      <c r="FU343" s="183"/>
      <c r="FV343" s="183"/>
      <c r="FW343" s="183"/>
      <c r="FX343" s="183"/>
      <c r="FY343" s="183"/>
    </row>
    <row r="344" spans="1:181" ht="11.2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  <c r="FE344" s="183"/>
      <c r="FF344" s="183"/>
      <c r="FG344" s="183"/>
      <c r="FH344" s="183"/>
      <c r="FI344" s="183"/>
      <c r="FJ344" s="183"/>
      <c r="FK344" s="183"/>
      <c r="FL344" s="183"/>
      <c r="FM344" s="183"/>
      <c r="FN344" s="183"/>
      <c r="FO344" s="183"/>
      <c r="FP344" s="183"/>
      <c r="FQ344" s="183"/>
      <c r="FR344" s="183"/>
      <c r="FS344" s="183"/>
      <c r="FT344" s="183"/>
      <c r="FU344" s="183"/>
      <c r="FV344" s="183"/>
      <c r="FW344" s="183"/>
      <c r="FX344" s="183"/>
      <c r="FY344" s="183"/>
    </row>
    <row r="345" spans="1:181" ht="11.2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  <c r="FE345" s="183"/>
      <c r="FF345" s="183"/>
      <c r="FG345" s="183"/>
      <c r="FH345" s="183"/>
      <c r="FI345" s="183"/>
      <c r="FJ345" s="183"/>
      <c r="FK345" s="183"/>
      <c r="FL345" s="183"/>
      <c r="FM345" s="183"/>
      <c r="FN345" s="183"/>
      <c r="FO345" s="183"/>
      <c r="FP345" s="183"/>
      <c r="FQ345" s="183"/>
      <c r="FR345" s="183"/>
      <c r="FS345" s="183"/>
      <c r="FT345" s="183"/>
      <c r="FU345" s="183"/>
      <c r="FV345" s="183"/>
      <c r="FW345" s="183"/>
      <c r="FX345" s="183"/>
      <c r="FY345" s="183"/>
    </row>
    <row r="346" spans="1:181" ht="11.25" customHeight="1">
      <c r="A346" s="183"/>
      <c r="B346" s="183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</row>
    <row r="347" spans="1:181" ht="11.25" customHeight="1">
      <c r="A347" s="183"/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</row>
    <row r="348" spans="1:181" ht="11.25" customHeight="1">
      <c r="A348" s="183"/>
      <c r="B348" s="183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  <c r="FE348" s="183"/>
      <c r="FF348" s="183"/>
      <c r="FG348" s="183"/>
      <c r="FH348" s="183"/>
      <c r="FI348" s="183"/>
      <c r="FJ348" s="183"/>
      <c r="FK348" s="183"/>
      <c r="FL348" s="183"/>
      <c r="FM348" s="183"/>
      <c r="FN348" s="183"/>
      <c r="FO348" s="183"/>
      <c r="FP348" s="183"/>
      <c r="FQ348" s="183"/>
      <c r="FR348" s="183"/>
      <c r="FS348" s="183"/>
      <c r="FT348" s="183"/>
      <c r="FU348" s="183"/>
      <c r="FV348" s="183"/>
      <c r="FW348" s="183"/>
      <c r="FX348" s="183"/>
      <c r="FY348" s="183"/>
    </row>
    <row r="349" spans="1:181" ht="11.25" customHeight="1">
      <c r="A349" s="183"/>
      <c r="B349" s="183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  <c r="FE349" s="183"/>
      <c r="FF349" s="183"/>
      <c r="FG349" s="183"/>
      <c r="FH349" s="183"/>
      <c r="FI349" s="183"/>
      <c r="FJ349" s="183"/>
      <c r="FK349" s="183"/>
      <c r="FL349" s="183"/>
      <c r="FM349" s="183"/>
      <c r="FN349" s="183"/>
      <c r="FO349" s="183"/>
      <c r="FP349" s="183"/>
      <c r="FQ349" s="183"/>
      <c r="FR349" s="183"/>
      <c r="FS349" s="183"/>
      <c r="FT349" s="183"/>
      <c r="FU349" s="183"/>
      <c r="FV349" s="183"/>
      <c r="FW349" s="183"/>
      <c r="FX349" s="183"/>
      <c r="FY349" s="183"/>
    </row>
    <row r="350" spans="1:181" ht="11.25" customHeight="1">
      <c r="A350" s="183"/>
      <c r="B350" s="183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  <c r="FE350" s="183"/>
      <c r="FF350" s="183"/>
      <c r="FG350" s="183"/>
      <c r="FH350" s="183"/>
      <c r="FI350" s="183"/>
      <c r="FJ350" s="183"/>
      <c r="FK350" s="183"/>
      <c r="FL350" s="183"/>
      <c r="FM350" s="183"/>
      <c r="FN350" s="183"/>
      <c r="FO350" s="183"/>
      <c r="FP350" s="183"/>
      <c r="FQ350" s="183"/>
      <c r="FR350" s="183"/>
      <c r="FS350" s="183"/>
      <c r="FT350" s="183"/>
      <c r="FU350" s="183"/>
      <c r="FV350" s="183"/>
      <c r="FW350" s="183"/>
      <c r="FX350" s="183"/>
      <c r="FY350" s="183"/>
    </row>
    <row r="351" spans="1:181" ht="11.25" customHeight="1">
      <c r="A351" s="183"/>
      <c r="B351" s="183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  <c r="FE351" s="183"/>
      <c r="FF351" s="183"/>
      <c r="FG351" s="183"/>
      <c r="FH351" s="183"/>
      <c r="FI351" s="183"/>
      <c r="FJ351" s="183"/>
      <c r="FK351" s="183"/>
      <c r="FL351" s="183"/>
      <c r="FM351" s="183"/>
      <c r="FN351" s="183"/>
      <c r="FO351" s="183"/>
      <c r="FP351" s="183"/>
      <c r="FQ351" s="183"/>
      <c r="FR351" s="183"/>
      <c r="FS351" s="183"/>
      <c r="FT351" s="183"/>
      <c r="FU351" s="183"/>
      <c r="FV351" s="183"/>
      <c r="FW351" s="183"/>
      <c r="FX351" s="183"/>
      <c r="FY351" s="183"/>
    </row>
    <row r="352" spans="1:181" ht="11.25" customHeight="1">
      <c r="A352" s="183"/>
      <c r="B352" s="183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  <c r="FE352" s="183"/>
      <c r="FF352" s="183"/>
      <c r="FG352" s="183"/>
      <c r="FH352" s="183"/>
      <c r="FI352" s="183"/>
      <c r="FJ352" s="183"/>
      <c r="FK352" s="183"/>
      <c r="FL352" s="183"/>
      <c r="FM352" s="183"/>
      <c r="FN352" s="183"/>
      <c r="FO352" s="183"/>
      <c r="FP352" s="183"/>
      <c r="FQ352" s="183"/>
      <c r="FR352" s="183"/>
      <c r="FS352" s="183"/>
      <c r="FT352" s="183"/>
      <c r="FU352" s="183"/>
      <c r="FV352" s="183"/>
      <c r="FW352" s="183"/>
      <c r="FX352" s="183"/>
      <c r="FY352" s="183"/>
    </row>
    <row r="353" spans="1:181" ht="11.25" customHeight="1">
      <c r="A353" s="183"/>
      <c r="B353" s="183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  <c r="FE353" s="183"/>
      <c r="FF353" s="183"/>
      <c r="FG353" s="183"/>
      <c r="FH353" s="183"/>
      <c r="FI353" s="183"/>
      <c r="FJ353" s="183"/>
      <c r="FK353" s="183"/>
      <c r="FL353" s="183"/>
      <c r="FM353" s="183"/>
      <c r="FN353" s="183"/>
      <c r="FO353" s="183"/>
      <c r="FP353" s="183"/>
      <c r="FQ353" s="183"/>
      <c r="FR353" s="183"/>
      <c r="FS353" s="183"/>
      <c r="FT353" s="183"/>
      <c r="FU353" s="183"/>
      <c r="FV353" s="183"/>
      <c r="FW353" s="183"/>
      <c r="FX353" s="183"/>
      <c r="FY353" s="183"/>
    </row>
    <row r="354" spans="1:181" ht="11.25" customHeight="1">
      <c r="A354" s="183"/>
      <c r="B354" s="183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  <c r="FE354" s="183"/>
      <c r="FF354" s="183"/>
      <c r="FG354" s="183"/>
      <c r="FH354" s="183"/>
      <c r="FI354" s="183"/>
      <c r="FJ354" s="183"/>
      <c r="FK354" s="183"/>
      <c r="FL354" s="183"/>
      <c r="FM354" s="183"/>
      <c r="FN354" s="183"/>
      <c r="FO354" s="183"/>
      <c r="FP354" s="183"/>
      <c r="FQ354" s="183"/>
      <c r="FR354" s="183"/>
      <c r="FS354" s="183"/>
      <c r="FT354" s="183"/>
      <c r="FU354" s="183"/>
      <c r="FV354" s="183"/>
      <c r="FW354" s="183"/>
      <c r="FX354" s="183"/>
      <c r="FY354" s="183"/>
    </row>
    <row r="355" spans="1:181" ht="11.25" customHeight="1">
      <c r="A355" s="183"/>
      <c r="B355" s="183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  <c r="FE355" s="183"/>
      <c r="FF355" s="183"/>
      <c r="FG355" s="183"/>
      <c r="FH355" s="183"/>
      <c r="FI355" s="183"/>
      <c r="FJ355" s="183"/>
      <c r="FK355" s="183"/>
      <c r="FL355" s="183"/>
      <c r="FM355" s="183"/>
      <c r="FN355" s="183"/>
      <c r="FO355" s="183"/>
      <c r="FP355" s="183"/>
      <c r="FQ355" s="183"/>
      <c r="FR355" s="183"/>
      <c r="FS355" s="183"/>
      <c r="FT355" s="183"/>
      <c r="FU355" s="183"/>
      <c r="FV355" s="183"/>
      <c r="FW355" s="183"/>
      <c r="FX355" s="183"/>
      <c r="FY355" s="183"/>
    </row>
    <row r="356" spans="1:181" ht="11.25" customHeight="1">
      <c r="A356" s="183"/>
      <c r="B356" s="183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  <c r="FE356" s="183"/>
      <c r="FF356" s="183"/>
      <c r="FG356" s="183"/>
      <c r="FH356" s="183"/>
      <c r="FI356" s="183"/>
      <c r="FJ356" s="183"/>
      <c r="FK356" s="183"/>
      <c r="FL356" s="183"/>
      <c r="FM356" s="183"/>
      <c r="FN356" s="183"/>
      <c r="FO356" s="183"/>
      <c r="FP356" s="183"/>
      <c r="FQ356" s="183"/>
      <c r="FR356" s="183"/>
      <c r="FS356" s="183"/>
      <c r="FT356" s="183"/>
      <c r="FU356" s="183"/>
      <c r="FV356" s="183"/>
      <c r="FW356" s="183"/>
      <c r="FX356" s="183"/>
      <c r="FY356" s="183"/>
    </row>
    <row r="357" spans="1:181" ht="11.25" customHeight="1">
      <c r="A357" s="183"/>
      <c r="B357" s="183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  <c r="FE357" s="183"/>
      <c r="FF357" s="183"/>
      <c r="FG357" s="183"/>
      <c r="FH357" s="183"/>
      <c r="FI357" s="183"/>
      <c r="FJ357" s="183"/>
      <c r="FK357" s="183"/>
      <c r="FL357" s="183"/>
      <c r="FM357" s="183"/>
      <c r="FN357" s="183"/>
      <c r="FO357" s="183"/>
      <c r="FP357" s="183"/>
      <c r="FQ357" s="183"/>
      <c r="FR357" s="183"/>
      <c r="FS357" s="183"/>
      <c r="FT357" s="183"/>
      <c r="FU357" s="183"/>
      <c r="FV357" s="183"/>
      <c r="FW357" s="183"/>
      <c r="FX357" s="183"/>
      <c r="FY357" s="183"/>
    </row>
    <row r="358" spans="1:181" ht="11.25" customHeight="1">
      <c r="A358" s="183"/>
      <c r="B358" s="183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  <c r="FE358" s="183"/>
      <c r="FF358" s="183"/>
      <c r="FG358" s="183"/>
      <c r="FH358" s="183"/>
      <c r="FI358" s="183"/>
      <c r="FJ358" s="183"/>
      <c r="FK358" s="183"/>
      <c r="FL358" s="183"/>
      <c r="FM358" s="183"/>
      <c r="FN358" s="183"/>
      <c r="FO358" s="183"/>
      <c r="FP358" s="183"/>
      <c r="FQ358" s="183"/>
      <c r="FR358" s="183"/>
      <c r="FS358" s="183"/>
      <c r="FT358" s="183"/>
      <c r="FU358" s="183"/>
      <c r="FV358" s="183"/>
      <c r="FW358" s="183"/>
      <c r="FX358" s="183"/>
      <c r="FY358" s="183"/>
    </row>
    <row r="359" spans="1:181" ht="11.25" customHeight="1">
      <c r="A359" s="183"/>
      <c r="B359" s="183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  <c r="FE359" s="183"/>
      <c r="FF359" s="183"/>
      <c r="FG359" s="183"/>
      <c r="FH359" s="183"/>
      <c r="FI359" s="183"/>
      <c r="FJ359" s="183"/>
      <c r="FK359" s="183"/>
      <c r="FL359" s="183"/>
      <c r="FM359" s="183"/>
      <c r="FN359" s="183"/>
      <c r="FO359" s="183"/>
      <c r="FP359" s="183"/>
      <c r="FQ359" s="183"/>
      <c r="FR359" s="183"/>
      <c r="FS359" s="183"/>
      <c r="FT359" s="183"/>
      <c r="FU359" s="183"/>
      <c r="FV359" s="183"/>
      <c r="FW359" s="183"/>
      <c r="FX359" s="183"/>
      <c r="FY359" s="183"/>
    </row>
    <row r="360" spans="1:181" ht="11.25" customHeight="1">
      <c r="A360" s="183"/>
      <c r="B360" s="183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  <c r="FE360" s="183"/>
      <c r="FF360" s="183"/>
      <c r="FG360" s="183"/>
      <c r="FH360" s="183"/>
      <c r="FI360" s="183"/>
      <c r="FJ360" s="183"/>
      <c r="FK360" s="183"/>
      <c r="FL360" s="183"/>
      <c r="FM360" s="183"/>
      <c r="FN360" s="183"/>
      <c r="FO360" s="183"/>
      <c r="FP360" s="183"/>
      <c r="FQ360" s="183"/>
      <c r="FR360" s="183"/>
      <c r="FS360" s="183"/>
      <c r="FT360" s="183"/>
      <c r="FU360" s="183"/>
      <c r="FV360" s="183"/>
      <c r="FW360" s="183"/>
      <c r="FX360" s="183"/>
      <c r="FY360" s="183"/>
    </row>
    <row r="361" spans="1:181" ht="11.25" customHeight="1">
      <c r="A361" s="183"/>
      <c r="B361" s="183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  <c r="FE361" s="183"/>
      <c r="FF361" s="183"/>
      <c r="FG361" s="183"/>
      <c r="FH361" s="183"/>
      <c r="FI361" s="183"/>
      <c r="FJ361" s="183"/>
      <c r="FK361" s="183"/>
      <c r="FL361" s="183"/>
      <c r="FM361" s="183"/>
      <c r="FN361" s="183"/>
      <c r="FO361" s="183"/>
      <c r="FP361" s="183"/>
      <c r="FQ361" s="183"/>
      <c r="FR361" s="183"/>
      <c r="FS361" s="183"/>
      <c r="FT361" s="183"/>
      <c r="FU361" s="183"/>
      <c r="FV361" s="183"/>
      <c r="FW361" s="183"/>
      <c r="FX361" s="183"/>
      <c r="FY361" s="183"/>
    </row>
    <row r="362" spans="1:181" ht="11.25" customHeight="1">
      <c r="A362" s="183"/>
      <c r="B362" s="183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  <c r="FE362" s="183"/>
      <c r="FF362" s="183"/>
      <c r="FG362" s="183"/>
      <c r="FH362" s="183"/>
      <c r="FI362" s="183"/>
      <c r="FJ362" s="183"/>
      <c r="FK362" s="183"/>
      <c r="FL362" s="183"/>
      <c r="FM362" s="183"/>
      <c r="FN362" s="183"/>
      <c r="FO362" s="183"/>
      <c r="FP362" s="183"/>
      <c r="FQ362" s="183"/>
      <c r="FR362" s="183"/>
      <c r="FS362" s="183"/>
      <c r="FT362" s="183"/>
      <c r="FU362" s="183"/>
      <c r="FV362" s="183"/>
      <c r="FW362" s="183"/>
      <c r="FX362" s="183"/>
      <c r="FY362" s="183"/>
    </row>
    <row r="363" spans="1:181" ht="11.25" customHeight="1">
      <c r="A363" s="183"/>
      <c r="B363" s="183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  <c r="FE363" s="183"/>
      <c r="FF363" s="183"/>
      <c r="FG363" s="183"/>
      <c r="FH363" s="183"/>
      <c r="FI363" s="183"/>
      <c r="FJ363" s="183"/>
      <c r="FK363" s="183"/>
      <c r="FL363" s="183"/>
      <c r="FM363" s="183"/>
      <c r="FN363" s="183"/>
      <c r="FO363" s="183"/>
      <c r="FP363" s="183"/>
      <c r="FQ363" s="183"/>
      <c r="FR363" s="183"/>
      <c r="FS363" s="183"/>
      <c r="FT363" s="183"/>
      <c r="FU363" s="183"/>
      <c r="FV363" s="183"/>
      <c r="FW363" s="183"/>
      <c r="FX363" s="183"/>
      <c r="FY363" s="183"/>
    </row>
    <row r="364" spans="1:181" ht="11.25" customHeight="1">
      <c r="A364" s="183"/>
      <c r="B364" s="183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  <c r="FE364" s="183"/>
      <c r="FF364" s="183"/>
      <c r="FG364" s="183"/>
      <c r="FH364" s="183"/>
      <c r="FI364" s="183"/>
      <c r="FJ364" s="183"/>
      <c r="FK364" s="183"/>
      <c r="FL364" s="183"/>
      <c r="FM364" s="183"/>
      <c r="FN364" s="183"/>
      <c r="FO364" s="183"/>
      <c r="FP364" s="183"/>
      <c r="FQ364" s="183"/>
      <c r="FR364" s="183"/>
      <c r="FS364" s="183"/>
      <c r="FT364" s="183"/>
      <c r="FU364" s="183"/>
      <c r="FV364" s="183"/>
      <c r="FW364" s="183"/>
      <c r="FX364" s="183"/>
      <c r="FY364" s="183"/>
    </row>
    <row r="365" spans="1:181" ht="11.25" customHeight="1">
      <c r="A365" s="183"/>
      <c r="B365" s="183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</row>
    <row r="366" spans="1:181" ht="11.25" customHeight="1">
      <c r="A366" s="183"/>
      <c r="B366" s="183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  <c r="FE366" s="183"/>
      <c r="FF366" s="183"/>
      <c r="FG366" s="183"/>
      <c r="FH366" s="183"/>
      <c r="FI366" s="183"/>
      <c r="FJ366" s="183"/>
      <c r="FK366" s="183"/>
      <c r="FL366" s="183"/>
      <c r="FM366" s="183"/>
      <c r="FN366" s="183"/>
      <c r="FO366" s="183"/>
      <c r="FP366" s="183"/>
      <c r="FQ366" s="183"/>
      <c r="FR366" s="183"/>
      <c r="FS366" s="183"/>
      <c r="FT366" s="183"/>
      <c r="FU366" s="183"/>
      <c r="FV366" s="183"/>
      <c r="FW366" s="183"/>
      <c r="FX366" s="183"/>
      <c r="FY366" s="183"/>
    </row>
    <row r="367" spans="1:181" ht="11.25" customHeight="1">
      <c r="A367" s="183"/>
      <c r="B367" s="183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  <c r="FE367" s="183"/>
      <c r="FF367" s="183"/>
      <c r="FG367" s="183"/>
      <c r="FH367" s="183"/>
      <c r="FI367" s="183"/>
      <c r="FJ367" s="183"/>
      <c r="FK367" s="183"/>
      <c r="FL367" s="183"/>
      <c r="FM367" s="183"/>
      <c r="FN367" s="183"/>
      <c r="FO367" s="183"/>
      <c r="FP367" s="183"/>
      <c r="FQ367" s="183"/>
      <c r="FR367" s="183"/>
      <c r="FS367" s="183"/>
      <c r="FT367" s="183"/>
      <c r="FU367" s="183"/>
      <c r="FV367" s="183"/>
      <c r="FW367" s="183"/>
      <c r="FX367" s="183"/>
      <c r="FY367" s="183"/>
    </row>
    <row r="368" spans="1:181" ht="11.25" customHeight="1">
      <c r="A368" s="183"/>
      <c r="B368" s="183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  <c r="FE368" s="183"/>
      <c r="FF368" s="183"/>
      <c r="FG368" s="183"/>
      <c r="FH368" s="183"/>
      <c r="FI368" s="183"/>
      <c r="FJ368" s="183"/>
      <c r="FK368" s="183"/>
      <c r="FL368" s="183"/>
      <c r="FM368" s="183"/>
      <c r="FN368" s="183"/>
      <c r="FO368" s="183"/>
      <c r="FP368" s="183"/>
      <c r="FQ368" s="183"/>
      <c r="FR368" s="183"/>
      <c r="FS368" s="183"/>
      <c r="FT368" s="183"/>
      <c r="FU368" s="183"/>
      <c r="FV368" s="183"/>
      <c r="FW368" s="183"/>
      <c r="FX368" s="183"/>
      <c r="FY368" s="183"/>
    </row>
    <row r="369" spans="1:181" ht="11.25" customHeight="1">
      <c r="A369" s="183"/>
      <c r="B369" s="183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  <c r="FE369" s="183"/>
      <c r="FF369" s="183"/>
      <c r="FG369" s="183"/>
      <c r="FH369" s="183"/>
      <c r="FI369" s="183"/>
      <c r="FJ369" s="183"/>
      <c r="FK369" s="183"/>
      <c r="FL369" s="183"/>
      <c r="FM369" s="183"/>
      <c r="FN369" s="183"/>
      <c r="FO369" s="183"/>
      <c r="FP369" s="183"/>
      <c r="FQ369" s="183"/>
      <c r="FR369" s="183"/>
      <c r="FS369" s="183"/>
      <c r="FT369" s="183"/>
      <c r="FU369" s="183"/>
      <c r="FV369" s="183"/>
      <c r="FW369" s="183"/>
      <c r="FX369" s="183"/>
      <c r="FY369" s="183"/>
    </row>
    <row r="370" spans="1:181" ht="11.25" customHeight="1">
      <c r="A370" s="183"/>
      <c r="B370" s="183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  <c r="FE370" s="183"/>
      <c r="FF370" s="183"/>
      <c r="FG370" s="183"/>
      <c r="FH370" s="183"/>
      <c r="FI370" s="183"/>
      <c r="FJ370" s="183"/>
      <c r="FK370" s="183"/>
      <c r="FL370" s="183"/>
      <c r="FM370" s="183"/>
      <c r="FN370" s="183"/>
      <c r="FO370" s="183"/>
      <c r="FP370" s="183"/>
      <c r="FQ370" s="183"/>
      <c r="FR370" s="183"/>
      <c r="FS370" s="183"/>
      <c r="FT370" s="183"/>
      <c r="FU370" s="183"/>
      <c r="FV370" s="183"/>
      <c r="FW370" s="183"/>
      <c r="FX370" s="183"/>
      <c r="FY370" s="183"/>
    </row>
    <row r="371" spans="1:181" ht="11.25" customHeight="1">
      <c r="A371" s="183"/>
      <c r="B371" s="183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  <c r="FE371" s="183"/>
      <c r="FF371" s="183"/>
      <c r="FG371" s="183"/>
      <c r="FH371" s="183"/>
      <c r="FI371" s="183"/>
      <c r="FJ371" s="183"/>
      <c r="FK371" s="183"/>
      <c r="FL371" s="183"/>
      <c r="FM371" s="183"/>
      <c r="FN371" s="183"/>
      <c r="FO371" s="183"/>
      <c r="FP371" s="183"/>
      <c r="FQ371" s="183"/>
      <c r="FR371" s="183"/>
      <c r="FS371" s="183"/>
      <c r="FT371" s="183"/>
      <c r="FU371" s="183"/>
      <c r="FV371" s="183"/>
      <c r="FW371" s="183"/>
      <c r="FX371" s="183"/>
      <c r="FY371" s="183"/>
    </row>
    <row r="372" spans="1:181" ht="11.25" customHeight="1">
      <c r="A372" s="183"/>
      <c r="B372" s="183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  <c r="FE372" s="183"/>
      <c r="FF372" s="183"/>
      <c r="FG372" s="183"/>
      <c r="FH372" s="183"/>
      <c r="FI372" s="183"/>
      <c r="FJ372" s="183"/>
      <c r="FK372" s="183"/>
      <c r="FL372" s="183"/>
      <c r="FM372" s="183"/>
      <c r="FN372" s="183"/>
      <c r="FO372" s="183"/>
      <c r="FP372" s="183"/>
      <c r="FQ372" s="183"/>
      <c r="FR372" s="183"/>
      <c r="FS372" s="183"/>
      <c r="FT372" s="183"/>
      <c r="FU372" s="183"/>
      <c r="FV372" s="183"/>
      <c r="FW372" s="183"/>
      <c r="FX372" s="183"/>
      <c r="FY372" s="183"/>
    </row>
    <row r="373" spans="1:181" ht="11.25" customHeight="1">
      <c r="A373" s="183"/>
      <c r="B373" s="183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  <c r="FE373" s="183"/>
      <c r="FF373" s="183"/>
      <c r="FG373" s="183"/>
      <c r="FH373" s="183"/>
      <c r="FI373" s="183"/>
      <c r="FJ373" s="183"/>
      <c r="FK373" s="183"/>
      <c r="FL373" s="183"/>
      <c r="FM373" s="183"/>
      <c r="FN373" s="183"/>
      <c r="FO373" s="183"/>
      <c r="FP373" s="183"/>
      <c r="FQ373" s="183"/>
      <c r="FR373" s="183"/>
      <c r="FS373" s="183"/>
      <c r="FT373" s="183"/>
      <c r="FU373" s="183"/>
      <c r="FV373" s="183"/>
      <c r="FW373" s="183"/>
      <c r="FX373" s="183"/>
      <c r="FY373" s="183"/>
    </row>
    <row r="374" spans="1:181" ht="11.25" customHeight="1">
      <c r="A374" s="183"/>
      <c r="B374" s="183"/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  <c r="FE374" s="183"/>
      <c r="FF374" s="183"/>
      <c r="FG374" s="183"/>
      <c r="FH374" s="183"/>
      <c r="FI374" s="183"/>
      <c r="FJ374" s="183"/>
      <c r="FK374" s="183"/>
      <c r="FL374" s="183"/>
      <c r="FM374" s="183"/>
      <c r="FN374" s="183"/>
      <c r="FO374" s="183"/>
      <c r="FP374" s="183"/>
      <c r="FQ374" s="183"/>
      <c r="FR374" s="183"/>
      <c r="FS374" s="183"/>
      <c r="FT374" s="183"/>
      <c r="FU374" s="183"/>
      <c r="FV374" s="183"/>
      <c r="FW374" s="183"/>
      <c r="FX374" s="183"/>
      <c r="FY374" s="183"/>
    </row>
    <row r="375" spans="1:181" ht="11.25" customHeight="1">
      <c r="A375" s="183"/>
      <c r="B375" s="183"/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  <c r="FE375" s="183"/>
      <c r="FF375" s="183"/>
      <c r="FG375" s="183"/>
      <c r="FH375" s="183"/>
      <c r="FI375" s="183"/>
      <c r="FJ375" s="183"/>
      <c r="FK375" s="183"/>
      <c r="FL375" s="183"/>
      <c r="FM375" s="183"/>
      <c r="FN375" s="183"/>
      <c r="FO375" s="183"/>
      <c r="FP375" s="183"/>
      <c r="FQ375" s="183"/>
      <c r="FR375" s="183"/>
      <c r="FS375" s="183"/>
      <c r="FT375" s="183"/>
      <c r="FU375" s="183"/>
      <c r="FV375" s="183"/>
      <c r="FW375" s="183"/>
      <c r="FX375" s="183"/>
      <c r="FY375" s="183"/>
    </row>
    <row r="376" spans="1:181" ht="11.25" customHeight="1">
      <c r="A376" s="183"/>
      <c r="B376" s="183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</row>
    <row r="377" spans="1:181" ht="11.25" customHeight="1">
      <c r="A377" s="183"/>
      <c r="B377" s="183"/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</row>
    <row r="378" spans="1:181" ht="11.25" customHeight="1">
      <c r="A378" s="183"/>
      <c r="B378" s="183"/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  <c r="FE378" s="183"/>
      <c r="FF378" s="183"/>
      <c r="FG378" s="183"/>
      <c r="FH378" s="183"/>
      <c r="FI378" s="183"/>
      <c r="FJ378" s="183"/>
      <c r="FK378" s="183"/>
      <c r="FL378" s="183"/>
      <c r="FM378" s="183"/>
      <c r="FN378" s="183"/>
      <c r="FO378" s="183"/>
      <c r="FP378" s="183"/>
      <c r="FQ378" s="183"/>
      <c r="FR378" s="183"/>
      <c r="FS378" s="183"/>
      <c r="FT378" s="183"/>
      <c r="FU378" s="183"/>
      <c r="FV378" s="183"/>
      <c r="FW378" s="183"/>
      <c r="FX378" s="183"/>
      <c r="FY378" s="183"/>
    </row>
    <row r="379" spans="1:181" ht="11.25" customHeight="1">
      <c r="A379" s="183"/>
      <c r="B379" s="183"/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  <c r="FE379" s="183"/>
      <c r="FF379" s="183"/>
      <c r="FG379" s="183"/>
      <c r="FH379" s="183"/>
      <c r="FI379" s="183"/>
      <c r="FJ379" s="183"/>
      <c r="FK379" s="183"/>
      <c r="FL379" s="183"/>
      <c r="FM379" s="183"/>
      <c r="FN379" s="183"/>
      <c r="FO379" s="183"/>
      <c r="FP379" s="183"/>
      <c r="FQ379" s="183"/>
      <c r="FR379" s="183"/>
      <c r="FS379" s="183"/>
      <c r="FT379" s="183"/>
      <c r="FU379" s="183"/>
      <c r="FV379" s="183"/>
      <c r="FW379" s="183"/>
      <c r="FX379" s="183"/>
      <c r="FY379" s="183"/>
    </row>
    <row r="380" spans="1:181" ht="11.25" customHeight="1">
      <c r="A380" s="183"/>
      <c r="B380" s="183"/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  <c r="FE380" s="183"/>
      <c r="FF380" s="183"/>
      <c r="FG380" s="183"/>
      <c r="FH380" s="183"/>
      <c r="FI380" s="183"/>
      <c r="FJ380" s="183"/>
      <c r="FK380" s="183"/>
      <c r="FL380" s="183"/>
      <c r="FM380" s="183"/>
      <c r="FN380" s="183"/>
      <c r="FO380" s="183"/>
      <c r="FP380" s="183"/>
      <c r="FQ380" s="183"/>
      <c r="FR380" s="183"/>
      <c r="FS380" s="183"/>
      <c r="FT380" s="183"/>
      <c r="FU380" s="183"/>
      <c r="FV380" s="183"/>
      <c r="FW380" s="183"/>
      <c r="FX380" s="183"/>
      <c r="FY380" s="183"/>
    </row>
    <row r="381" spans="1:181" ht="11.25" customHeight="1">
      <c r="A381" s="183"/>
      <c r="B381" s="183"/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  <c r="FE381" s="183"/>
      <c r="FF381" s="183"/>
      <c r="FG381" s="183"/>
      <c r="FH381" s="183"/>
      <c r="FI381" s="183"/>
      <c r="FJ381" s="183"/>
      <c r="FK381" s="183"/>
      <c r="FL381" s="183"/>
      <c r="FM381" s="183"/>
      <c r="FN381" s="183"/>
      <c r="FO381" s="183"/>
      <c r="FP381" s="183"/>
      <c r="FQ381" s="183"/>
      <c r="FR381" s="183"/>
      <c r="FS381" s="183"/>
      <c r="FT381" s="183"/>
      <c r="FU381" s="183"/>
      <c r="FV381" s="183"/>
      <c r="FW381" s="183"/>
      <c r="FX381" s="183"/>
      <c r="FY381" s="183"/>
    </row>
    <row r="382" spans="1:181" ht="11.25" customHeight="1">
      <c r="A382" s="183"/>
      <c r="B382" s="183"/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  <c r="FE382" s="183"/>
      <c r="FF382" s="183"/>
      <c r="FG382" s="183"/>
      <c r="FH382" s="183"/>
      <c r="FI382" s="183"/>
      <c r="FJ382" s="183"/>
      <c r="FK382" s="183"/>
      <c r="FL382" s="183"/>
      <c r="FM382" s="183"/>
      <c r="FN382" s="183"/>
      <c r="FO382" s="183"/>
      <c r="FP382" s="183"/>
      <c r="FQ382" s="183"/>
      <c r="FR382" s="183"/>
      <c r="FS382" s="183"/>
      <c r="FT382" s="183"/>
      <c r="FU382" s="183"/>
      <c r="FV382" s="183"/>
      <c r="FW382" s="183"/>
      <c r="FX382" s="183"/>
      <c r="FY382" s="183"/>
    </row>
    <row r="383" spans="1:181" ht="11.25" customHeight="1">
      <c r="A383" s="183"/>
      <c r="B383" s="183"/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  <c r="FE383" s="183"/>
      <c r="FF383" s="183"/>
      <c r="FG383" s="183"/>
      <c r="FH383" s="183"/>
      <c r="FI383" s="183"/>
      <c r="FJ383" s="183"/>
      <c r="FK383" s="183"/>
      <c r="FL383" s="183"/>
      <c r="FM383" s="183"/>
      <c r="FN383" s="183"/>
      <c r="FO383" s="183"/>
      <c r="FP383" s="183"/>
      <c r="FQ383" s="183"/>
      <c r="FR383" s="183"/>
      <c r="FS383" s="183"/>
      <c r="FT383" s="183"/>
      <c r="FU383" s="183"/>
      <c r="FV383" s="183"/>
      <c r="FW383" s="183"/>
      <c r="FX383" s="183"/>
      <c r="FY383" s="183"/>
    </row>
    <row r="384" spans="1:181" ht="11.25" customHeight="1">
      <c r="A384" s="183"/>
      <c r="B384" s="183"/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  <c r="FE384" s="183"/>
      <c r="FF384" s="183"/>
      <c r="FG384" s="183"/>
      <c r="FH384" s="183"/>
      <c r="FI384" s="183"/>
      <c r="FJ384" s="183"/>
      <c r="FK384" s="183"/>
      <c r="FL384" s="183"/>
      <c r="FM384" s="183"/>
      <c r="FN384" s="183"/>
      <c r="FO384" s="183"/>
      <c r="FP384" s="183"/>
      <c r="FQ384" s="183"/>
      <c r="FR384" s="183"/>
      <c r="FS384" s="183"/>
      <c r="FT384" s="183"/>
      <c r="FU384" s="183"/>
      <c r="FV384" s="183"/>
      <c r="FW384" s="183"/>
      <c r="FX384" s="183"/>
      <c r="FY384" s="183"/>
    </row>
    <row r="385" spans="1:181" ht="11.25" customHeight="1">
      <c r="A385" s="183"/>
      <c r="B385" s="183"/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  <c r="FE385" s="183"/>
      <c r="FF385" s="183"/>
      <c r="FG385" s="183"/>
      <c r="FH385" s="183"/>
      <c r="FI385" s="183"/>
      <c r="FJ385" s="183"/>
      <c r="FK385" s="183"/>
      <c r="FL385" s="183"/>
      <c r="FM385" s="183"/>
      <c r="FN385" s="183"/>
      <c r="FO385" s="183"/>
      <c r="FP385" s="183"/>
      <c r="FQ385" s="183"/>
      <c r="FR385" s="183"/>
      <c r="FS385" s="183"/>
      <c r="FT385" s="183"/>
      <c r="FU385" s="183"/>
      <c r="FV385" s="183"/>
      <c r="FW385" s="183"/>
      <c r="FX385" s="183"/>
      <c r="FY385" s="183"/>
    </row>
    <row r="386" spans="1:181" ht="11.25" customHeight="1">
      <c r="A386" s="183"/>
      <c r="B386" s="183"/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  <c r="FE386" s="183"/>
      <c r="FF386" s="183"/>
      <c r="FG386" s="183"/>
      <c r="FH386" s="183"/>
      <c r="FI386" s="183"/>
      <c r="FJ386" s="183"/>
      <c r="FK386" s="183"/>
      <c r="FL386" s="183"/>
      <c r="FM386" s="183"/>
      <c r="FN386" s="183"/>
      <c r="FO386" s="183"/>
      <c r="FP386" s="183"/>
      <c r="FQ386" s="183"/>
      <c r="FR386" s="183"/>
      <c r="FS386" s="183"/>
      <c r="FT386" s="183"/>
      <c r="FU386" s="183"/>
      <c r="FV386" s="183"/>
      <c r="FW386" s="183"/>
      <c r="FX386" s="183"/>
      <c r="FY386" s="183"/>
    </row>
    <row r="387" spans="1:181" ht="11.25" customHeight="1">
      <c r="A387" s="183"/>
      <c r="B387" s="183"/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  <c r="FE387" s="183"/>
      <c r="FF387" s="183"/>
      <c r="FG387" s="183"/>
      <c r="FH387" s="183"/>
      <c r="FI387" s="183"/>
      <c r="FJ387" s="183"/>
      <c r="FK387" s="183"/>
      <c r="FL387" s="183"/>
      <c r="FM387" s="183"/>
      <c r="FN387" s="183"/>
      <c r="FO387" s="183"/>
      <c r="FP387" s="183"/>
      <c r="FQ387" s="183"/>
      <c r="FR387" s="183"/>
      <c r="FS387" s="183"/>
      <c r="FT387" s="183"/>
      <c r="FU387" s="183"/>
      <c r="FV387" s="183"/>
      <c r="FW387" s="183"/>
      <c r="FX387" s="183"/>
      <c r="FY387" s="183"/>
    </row>
    <row r="388" spans="1:181" ht="11.25" customHeight="1">
      <c r="A388" s="183"/>
      <c r="B388" s="183"/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  <c r="FE388" s="183"/>
      <c r="FF388" s="183"/>
      <c r="FG388" s="183"/>
      <c r="FH388" s="183"/>
      <c r="FI388" s="183"/>
      <c r="FJ388" s="183"/>
      <c r="FK388" s="183"/>
      <c r="FL388" s="183"/>
      <c r="FM388" s="183"/>
      <c r="FN388" s="183"/>
      <c r="FO388" s="183"/>
      <c r="FP388" s="183"/>
      <c r="FQ388" s="183"/>
      <c r="FR388" s="183"/>
      <c r="FS388" s="183"/>
      <c r="FT388" s="183"/>
      <c r="FU388" s="183"/>
      <c r="FV388" s="183"/>
      <c r="FW388" s="183"/>
      <c r="FX388" s="183"/>
      <c r="FY388" s="183"/>
    </row>
    <row r="389" spans="1:181" ht="11.25" customHeight="1">
      <c r="A389" s="183"/>
      <c r="B389" s="183"/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</row>
    <row r="390" spans="1:181" ht="11.25" customHeight="1">
      <c r="A390" s="183"/>
      <c r="B390" s="183"/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</row>
    <row r="391" spans="1:181" ht="11.25" customHeight="1">
      <c r="A391" s="183"/>
      <c r="B391" s="183"/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  <c r="FE391" s="183"/>
      <c r="FF391" s="183"/>
      <c r="FG391" s="183"/>
      <c r="FH391" s="183"/>
      <c r="FI391" s="183"/>
      <c r="FJ391" s="183"/>
      <c r="FK391" s="183"/>
      <c r="FL391" s="183"/>
      <c r="FM391" s="183"/>
      <c r="FN391" s="183"/>
      <c r="FO391" s="183"/>
      <c r="FP391" s="183"/>
      <c r="FQ391" s="183"/>
      <c r="FR391" s="183"/>
      <c r="FS391" s="183"/>
      <c r="FT391" s="183"/>
      <c r="FU391" s="183"/>
      <c r="FV391" s="183"/>
      <c r="FW391" s="183"/>
      <c r="FX391" s="183"/>
      <c r="FY391" s="183"/>
    </row>
    <row r="392" spans="1:181" ht="11.25" customHeight="1">
      <c r="A392" s="183"/>
      <c r="B392" s="183"/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  <c r="FE392" s="183"/>
      <c r="FF392" s="183"/>
      <c r="FG392" s="183"/>
      <c r="FH392" s="183"/>
      <c r="FI392" s="183"/>
      <c r="FJ392" s="183"/>
      <c r="FK392" s="183"/>
      <c r="FL392" s="183"/>
      <c r="FM392" s="183"/>
      <c r="FN392" s="183"/>
      <c r="FO392" s="183"/>
      <c r="FP392" s="183"/>
      <c r="FQ392" s="183"/>
      <c r="FR392" s="183"/>
      <c r="FS392" s="183"/>
      <c r="FT392" s="183"/>
      <c r="FU392" s="183"/>
      <c r="FV392" s="183"/>
      <c r="FW392" s="183"/>
      <c r="FX392" s="183"/>
      <c r="FY392" s="183"/>
    </row>
    <row r="393" spans="1:181" ht="11.25" customHeight="1">
      <c r="A393" s="183"/>
      <c r="B393" s="183"/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  <c r="FE393" s="183"/>
      <c r="FF393" s="183"/>
      <c r="FG393" s="183"/>
      <c r="FH393" s="183"/>
      <c r="FI393" s="183"/>
      <c r="FJ393" s="183"/>
      <c r="FK393" s="183"/>
      <c r="FL393" s="183"/>
      <c r="FM393" s="183"/>
      <c r="FN393" s="183"/>
      <c r="FO393" s="183"/>
      <c r="FP393" s="183"/>
      <c r="FQ393" s="183"/>
      <c r="FR393" s="183"/>
      <c r="FS393" s="183"/>
      <c r="FT393" s="183"/>
      <c r="FU393" s="183"/>
      <c r="FV393" s="183"/>
      <c r="FW393" s="183"/>
      <c r="FX393" s="183"/>
      <c r="FY393" s="183"/>
    </row>
    <row r="394" spans="1:181" ht="11.25" customHeight="1">
      <c r="A394" s="183"/>
      <c r="B394" s="183"/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  <c r="FE394" s="183"/>
      <c r="FF394" s="183"/>
      <c r="FG394" s="183"/>
      <c r="FH394" s="183"/>
      <c r="FI394" s="183"/>
      <c r="FJ394" s="183"/>
      <c r="FK394" s="183"/>
      <c r="FL394" s="183"/>
      <c r="FM394" s="183"/>
      <c r="FN394" s="183"/>
      <c r="FO394" s="183"/>
      <c r="FP394" s="183"/>
      <c r="FQ394" s="183"/>
      <c r="FR394" s="183"/>
      <c r="FS394" s="183"/>
      <c r="FT394" s="183"/>
      <c r="FU394" s="183"/>
      <c r="FV394" s="183"/>
      <c r="FW394" s="183"/>
      <c r="FX394" s="183"/>
      <c r="FY394" s="183"/>
    </row>
    <row r="395" spans="1:181" ht="11.25" customHeight="1">
      <c r="A395" s="183"/>
      <c r="B395" s="183"/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  <c r="FE395" s="183"/>
      <c r="FF395" s="183"/>
      <c r="FG395" s="183"/>
      <c r="FH395" s="183"/>
      <c r="FI395" s="183"/>
      <c r="FJ395" s="183"/>
      <c r="FK395" s="183"/>
      <c r="FL395" s="183"/>
      <c r="FM395" s="183"/>
      <c r="FN395" s="183"/>
      <c r="FO395" s="183"/>
      <c r="FP395" s="183"/>
      <c r="FQ395" s="183"/>
      <c r="FR395" s="183"/>
      <c r="FS395" s="183"/>
      <c r="FT395" s="183"/>
      <c r="FU395" s="183"/>
      <c r="FV395" s="183"/>
      <c r="FW395" s="183"/>
      <c r="FX395" s="183"/>
      <c r="FY395" s="183"/>
    </row>
    <row r="396" spans="1:181" ht="11.25" customHeight="1">
      <c r="A396" s="183"/>
      <c r="B396" s="183"/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  <c r="FE396" s="183"/>
      <c r="FF396" s="183"/>
      <c r="FG396" s="183"/>
      <c r="FH396" s="183"/>
      <c r="FI396" s="183"/>
      <c r="FJ396" s="183"/>
      <c r="FK396" s="183"/>
      <c r="FL396" s="183"/>
      <c r="FM396" s="183"/>
      <c r="FN396" s="183"/>
      <c r="FO396" s="183"/>
      <c r="FP396" s="183"/>
      <c r="FQ396" s="183"/>
      <c r="FR396" s="183"/>
      <c r="FS396" s="183"/>
      <c r="FT396" s="183"/>
      <c r="FU396" s="183"/>
      <c r="FV396" s="183"/>
      <c r="FW396" s="183"/>
      <c r="FX396" s="183"/>
      <c r="FY396" s="183"/>
    </row>
    <row r="397" spans="1:181" ht="11.25" customHeight="1">
      <c r="A397" s="183"/>
      <c r="B397" s="183"/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  <c r="FE397" s="183"/>
      <c r="FF397" s="183"/>
      <c r="FG397" s="183"/>
      <c r="FH397" s="183"/>
      <c r="FI397" s="183"/>
      <c r="FJ397" s="183"/>
      <c r="FK397" s="183"/>
      <c r="FL397" s="183"/>
      <c r="FM397" s="183"/>
      <c r="FN397" s="183"/>
      <c r="FO397" s="183"/>
      <c r="FP397" s="183"/>
      <c r="FQ397" s="183"/>
      <c r="FR397" s="183"/>
      <c r="FS397" s="183"/>
      <c r="FT397" s="183"/>
      <c r="FU397" s="183"/>
      <c r="FV397" s="183"/>
      <c r="FW397" s="183"/>
      <c r="FX397" s="183"/>
      <c r="FY397" s="183"/>
    </row>
    <row r="398" spans="1:181" ht="11.25" customHeight="1">
      <c r="A398" s="183"/>
      <c r="B398" s="183"/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  <c r="FE398" s="183"/>
      <c r="FF398" s="183"/>
      <c r="FG398" s="183"/>
      <c r="FH398" s="183"/>
      <c r="FI398" s="183"/>
      <c r="FJ398" s="183"/>
      <c r="FK398" s="183"/>
      <c r="FL398" s="183"/>
      <c r="FM398" s="183"/>
      <c r="FN398" s="183"/>
      <c r="FO398" s="183"/>
      <c r="FP398" s="183"/>
      <c r="FQ398" s="183"/>
      <c r="FR398" s="183"/>
      <c r="FS398" s="183"/>
      <c r="FT398" s="183"/>
      <c r="FU398" s="183"/>
      <c r="FV398" s="183"/>
      <c r="FW398" s="183"/>
      <c r="FX398" s="183"/>
      <c r="FY398" s="183"/>
    </row>
    <row r="399" spans="1:181" ht="11.25" customHeight="1">
      <c r="A399" s="183"/>
      <c r="B399" s="183"/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  <c r="FE399" s="183"/>
      <c r="FF399" s="183"/>
      <c r="FG399" s="183"/>
      <c r="FH399" s="183"/>
      <c r="FI399" s="183"/>
      <c r="FJ399" s="183"/>
      <c r="FK399" s="183"/>
      <c r="FL399" s="183"/>
      <c r="FM399" s="183"/>
      <c r="FN399" s="183"/>
      <c r="FO399" s="183"/>
      <c r="FP399" s="183"/>
      <c r="FQ399" s="183"/>
      <c r="FR399" s="183"/>
      <c r="FS399" s="183"/>
      <c r="FT399" s="183"/>
      <c r="FU399" s="183"/>
      <c r="FV399" s="183"/>
      <c r="FW399" s="183"/>
      <c r="FX399" s="183"/>
      <c r="FY399" s="183"/>
    </row>
    <row r="400" spans="1:181" ht="11.25" customHeight="1">
      <c r="A400" s="183"/>
      <c r="B400" s="183"/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  <c r="FE400" s="183"/>
      <c r="FF400" s="183"/>
      <c r="FG400" s="183"/>
      <c r="FH400" s="183"/>
      <c r="FI400" s="183"/>
      <c r="FJ400" s="183"/>
      <c r="FK400" s="183"/>
      <c r="FL400" s="183"/>
      <c r="FM400" s="183"/>
      <c r="FN400" s="183"/>
      <c r="FO400" s="183"/>
      <c r="FP400" s="183"/>
      <c r="FQ400" s="183"/>
      <c r="FR400" s="183"/>
      <c r="FS400" s="183"/>
      <c r="FT400" s="183"/>
      <c r="FU400" s="183"/>
      <c r="FV400" s="183"/>
      <c r="FW400" s="183"/>
      <c r="FX400" s="183"/>
      <c r="FY400" s="183"/>
    </row>
    <row r="401" spans="1:181" ht="11.25" customHeight="1">
      <c r="A401" s="183"/>
      <c r="B401" s="183"/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  <c r="FE401" s="183"/>
      <c r="FF401" s="183"/>
      <c r="FG401" s="183"/>
      <c r="FH401" s="183"/>
      <c r="FI401" s="183"/>
      <c r="FJ401" s="183"/>
      <c r="FK401" s="183"/>
      <c r="FL401" s="183"/>
      <c r="FM401" s="183"/>
      <c r="FN401" s="183"/>
      <c r="FO401" s="183"/>
      <c r="FP401" s="183"/>
      <c r="FQ401" s="183"/>
      <c r="FR401" s="183"/>
      <c r="FS401" s="183"/>
      <c r="FT401" s="183"/>
      <c r="FU401" s="183"/>
      <c r="FV401" s="183"/>
      <c r="FW401" s="183"/>
      <c r="FX401" s="183"/>
      <c r="FY401" s="183"/>
    </row>
    <row r="402" spans="1:181" ht="11.25" customHeight="1">
      <c r="A402" s="183"/>
      <c r="B402" s="183"/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  <c r="FE402" s="183"/>
      <c r="FF402" s="183"/>
      <c r="FG402" s="183"/>
      <c r="FH402" s="183"/>
      <c r="FI402" s="183"/>
      <c r="FJ402" s="183"/>
      <c r="FK402" s="183"/>
      <c r="FL402" s="183"/>
      <c r="FM402" s="183"/>
      <c r="FN402" s="183"/>
      <c r="FO402" s="183"/>
      <c r="FP402" s="183"/>
      <c r="FQ402" s="183"/>
      <c r="FR402" s="183"/>
      <c r="FS402" s="183"/>
      <c r="FT402" s="183"/>
      <c r="FU402" s="183"/>
      <c r="FV402" s="183"/>
      <c r="FW402" s="183"/>
      <c r="FX402" s="183"/>
      <c r="FY402" s="183"/>
    </row>
    <row r="403" spans="1:181" ht="11.25" customHeight="1">
      <c r="A403" s="183"/>
      <c r="B403" s="183"/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  <c r="FE403" s="183"/>
      <c r="FF403" s="183"/>
      <c r="FG403" s="183"/>
      <c r="FH403" s="183"/>
      <c r="FI403" s="183"/>
      <c r="FJ403" s="183"/>
      <c r="FK403" s="183"/>
      <c r="FL403" s="183"/>
      <c r="FM403" s="183"/>
      <c r="FN403" s="183"/>
      <c r="FO403" s="183"/>
      <c r="FP403" s="183"/>
      <c r="FQ403" s="183"/>
      <c r="FR403" s="183"/>
      <c r="FS403" s="183"/>
      <c r="FT403" s="183"/>
      <c r="FU403" s="183"/>
      <c r="FV403" s="183"/>
      <c r="FW403" s="183"/>
      <c r="FX403" s="183"/>
      <c r="FY403" s="183"/>
    </row>
    <row r="404" spans="1:181" ht="11.25" customHeight="1">
      <c r="A404" s="183"/>
      <c r="B404" s="183"/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  <c r="FE404" s="183"/>
      <c r="FF404" s="183"/>
      <c r="FG404" s="183"/>
      <c r="FH404" s="183"/>
      <c r="FI404" s="183"/>
      <c r="FJ404" s="183"/>
      <c r="FK404" s="183"/>
      <c r="FL404" s="183"/>
      <c r="FM404" s="183"/>
      <c r="FN404" s="183"/>
      <c r="FO404" s="183"/>
      <c r="FP404" s="183"/>
      <c r="FQ404" s="183"/>
      <c r="FR404" s="183"/>
      <c r="FS404" s="183"/>
      <c r="FT404" s="183"/>
      <c r="FU404" s="183"/>
      <c r="FV404" s="183"/>
      <c r="FW404" s="183"/>
      <c r="FX404" s="183"/>
      <c r="FY404" s="183"/>
    </row>
    <row r="405" spans="1:181" ht="11.25" customHeight="1">
      <c r="A405" s="183"/>
      <c r="B405" s="183"/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  <c r="FE405" s="183"/>
      <c r="FF405" s="183"/>
      <c r="FG405" s="183"/>
      <c r="FH405" s="183"/>
      <c r="FI405" s="183"/>
      <c r="FJ405" s="183"/>
      <c r="FK405" s="183"/>
      <c r="FL405" s="183"/>
      <c r="FM405" s="183"/>
      <c r="FN405" s="183"/>
      <c r="FO405" s="183"/>
      <c r="FP405" s="183"/>
      <c r="FQ405" s="183"/>
      <c r="FR405" s="183"/>
      <c r="FS405" s="183"/>
      <c r="FT405" s="183"/>
      <c r="FU405" s="183"/>
      <c r="FV405" s="183"/>
      <c r="FW405" s="183"/>
      <c r="FX405" s="183"/>
      <c r="FY405" s="183"/>
    </row>
    <row r="406" spans="1:181" ht="11.25" customHeight="1">
      <c r="A406" s="183"/>
      <c r="B406" s="183"/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</row>
    <row r="407" spans="1:181" ht="11.25" customHeight="1">
      <c r="A407" s="183"/>
      <c r="B407" s="183"/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  <c r="FE407" s="183"/>
      <c r="FF407" s="183"/>
      <c r="FG407" s="183"/>
      <c r="FH407" s="183"/>
      <c r="FI407" s="183"/>
      <c r="FJ407" s="183"/>
      <c r="FK407" s="183"/>
      <c r="FL407" s="183"/>
      <c r="FM407" s="183"/>
      <c r="FN407" s="183"/>
      <c r="FO407" s="183"/>
      <c r="FP407" s="183"/>
      <c r="FQ407" s="183"/>
      <c r="FR407" s="183"/>
      <c r="FS407" s="183"/>
      <c r="FT407" s="183"/>
      <c r="FU407" s="183"/>
      <c r="FV407" s="183"/>
      <c r="FW407" s="183"/>
      <c r="FX407" s="183"/>
      <c r="FY407" s="183"/>
    </row>
    <row r="408" spans="1:181" ht="11.25" customHeight="1">
      <c r="A408" s="183"/>
      <c r="B408" s="183"/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  <c r="FE408" s="183"/>
      <c r="FF408" s="183"/>
      <c r="FG408" s="183"/>
      <c r="FH408" s="183"/>
      <c r="FI408" s="183"/>
      <c r="FJ408" s="183"/>
      <c r="FK408" s="183"/>
      <c r="FL408" s="183"/>
      <c r="FM408" s="183"/>
      <c r="FN408" s="183"/>
      <c r="FO408" s="183"/>
      <c r="FP408" s="183"/>
      <c r="FQ408" s="183"/>
      <c r="FR408" s="183"/>
      <c r="FS408" s="183"/>
      <c r="FT408" s="183"/>
      <c r="FU408" s="183"/>
      <c r="FV408" s="183"/>
      <c r="FW408" s="183"/>
      <c r="FX408" s="183"/>
      <c r="FY408" s="183"/>
    </row>
    <row r="409" spans="1:181" ht="11.25" customHeight="1">
      <c r="A409" s="183"/>
      <c r="B409" s="183"/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  <c r="FE409" s="183"/>
      <c r="FF409" s="183"/>
      <c r="FG409" s="183"/>
      <c r="FH409" s="183"/>
      <c r="FI409" s="183"/>
      <c r="FJ409" s="183"/>
      <c r="FK409" s="183"/>
      <c r="FL409" s="183"/>
      <c r="FM409" s="183"/>
      <c r="FN409" s="183"/>
      <c r="FO409" s="183"/>
      <c r="FP409" s="183"/>
      <c r="FQ409" s="183"/>
      <c r="FR409" s="183"/>
      <c r="FS409" s="183"/>
      <c r="FT409" s="183"/>
      <c r="FU409" s="183"/>
      <c r="FV409" s="183"/>
      <c r="FW409" s="183"/>
      <c r="FX409" s="183"/>
      <c r="FY409" s="183"/>
    </row>
    <row r="410" spans="1:181" ht="11.25" customHeight="1">
      <c r="A410" s="183"/>
      <c r="B410" s="183"/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  <c r="FE410" s="183"/>
      <c r="FF410" s="183"/>
      <c r="FG410" s="183"/>
      <c r="FH410" s="183"/>
      <c r="FI410" s="183"/>
      <c r="FJ410" s="183"/>
      <c r="FK410" s="183"/>
      <c r="FL410" s="183"/>
      <c r="FM410" s="183"/>
      <c r="FN410" s="183"/>
      <c r="FO410" s="183"/>
      <c r="FP410" s="183"/>
      <c r="FQ410" s="183"/>
      <c r="FR410" s="183"/>
      <c r="FS410" s="183"/>
      <c r="FT410" s="183"/>
      <c r="FU410" s="183"/>
      <c r="FV410" s="183"/>
      <c r="FW410" s="183"/>
      <c r="FX410" s="183"/>
      <c r="FY410" s="183"/>
    </row>
    <row r="411" spans="1:181" ht="11.25" customHeight="1">
      <c r="A411" s="183"/>
      <c r="B411" s="183"/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  <c r="FE411" s="183"/>
      <c r="FF411" s="183"/>
      <c r="FG411" s="183"/>
      <c r="FH411" s="183"/>
      <c r="FI411" s="183"/>
      <c r="FJ411" s="183"/>
      <c r="FK411" s="183"/>
      <c r="FL411" s="183"/>
      <c r="FM411" s="183"/>
      <c r="FN411" s="183"/>
      <c r="FO411" s="183"/>
      <c r="FP411" s="183"/>
      <c r="FQ411" s="183"/>
      <c r="FR411" s="183"/>
      <c r="FS411" s="183"/>
      <c r="FT411" s="183"/>
      <c r="FU411" s="183"/>
      <c r="FV411" s="183"/>
      <c r="FW411" s="183"/>
      <c r="FX411" s="183"/>
      <c r="FY411" s="183"/>
    </row>
    <row r="412" spans="1:181" ht="11.25" customHeight="1">
      <c r="A412" s="183"/>
      <c r="B412" s="183"/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  <c r="FE412" s="183"/>
      <c r="FF412" s="183"/>
      <c r="FG412" s="183"/>
      <c r="FH412" s="183"/>
      <c r="FI412" s="183"/>
      <c r="FJ412" s="183"/>
      <c r="FK412" s="183"/>
      <c r="FL412" s="183"/>
      <c r="FM412" s="183"/>
      <c r="FN412" s="183"/>
      <c r="FO412" s="183"/>
      <c r="FP412" s="183"/>
      <c r="FQ412" s="183"/>
      <c r="FR412" s="183"/>
      <c r="FS412" s="183"/>
      <c r="FT412" s="183"/>
      <c r="FU412" s="183"/>
      <c r="FV412" s="183"/>
      <c r="FW412" s="183"/>
      <c r="FX412" s="183"/>
      <c r="FY412" s="183"/>
    </row>
    <row r="413" spans="1:181" ht="11.25" customHeight="1">
      <c r="A413" s="183"/>
      <c r="B413" s="183"/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  <c r="FE413" s="183"/>
      <c r="FF413" s="183"/>
      <c r="FG413" s="183"/>
      <c r="FH413" s="183"/>
      <c r="FI413" s="183"/>
      <c r="FJ413" s="183"/>
      <c r="FK413" s="183"/>
      <c r="FL413" s="183"/>
      <c r="FM413" s="183"/>
      <c r="FN413" s="183"/>
      <c r="FO413" s="183"/>
      <c r="FP413" s="183"/>
      <c r="FQ413" s="183"/>
      <c r="FR413" s="183"/>
      <c r="FS413" s="183"/>
      <c r="FT413" s="183"/>
      <c r="FU413" s="183"/>
      <c r="FV413" s="183"/>
      <c r="FW413" s="183"/>
      <c r="FX413" s="183"/>
      <c r="FY413" s="183"/>
    </row>
    <row r="414" spans="1:181" ht="11.25" customHeight="1">
      <c r="A414" s="183"/>
      <c r="B414" s="183"/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  <c r="FE414" s="183"/>
      <c r="FF414" s="183"/>
      <c r="FG414" s="183"/>
      <c r="FH414" s="183"/>
      <c r="FI414" s="183"/>
      <c r="FJ414" s="183"/>
      <c r="FK414" s="183"/>
      <c r="FL414" s="183"/>
      <c r="FM414" s="183"/>
      <c r="FN414" s="183"/>
      <c r="FO414" s="183"/>
      <c r="FP414" s="183"/>
      <c r="FQ414" s="183"/>
      <c r="FR414" s="183"/>
      <c r="FS414" s="183"/>
      <c r="FT414" s="183"/>
      <c r="FU414" s="183"/>
      <c r="FV414" s="183"/>
      <c r="FW414" s="183"/>
      <c r="FX414" s="183"/>
      <c r="FY414" s="183"/>
    </row>
    <row r="415" spans="1:181" ht="11.25" customHeight="1">
      <c r="A415" s="183"/>
      <c r="B415" s="183"/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  <c r="FE415" s="183"/>
      <c r="FF415" s="183"/>
      <c r="FG415" s="183"/>
      <c r="FH415" s="183"/>
      <c r="FI415" s="183"/>
      <c r="FJ415" s="183"/>
      <c r="FK415" s="183"/>
      <c r="FL415" s="183"/>
      <c r="FM415" s="183"/>
      <c r="FN415" s="183"/>
      <c r="FO415" s="183"/>
      <c r="FP415" s="183"/>
      <c r="FQ415" s="183"/>
      <c r="FR415" s="183"/>
      <c r="FS415" s="183"/>
      <c r="FT415" s="183"/>
      <c r="FU415" s="183"/>
      <c r="FV415" s="183"/>
      <c r="FW415" s="183"/>
      <c r="FX415" s="183"/>
      <c r="FY415" s="183"/>
    </row>
    <row r="416" spans="1:181" ht="11.25" customHeight="1">
      <c r="A416" s="183"/>
      <c r="B416" s="183"/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  <c r="FE416" s="183"/>
      <c r="FF416" s="183"/>
      <c r="FG416" s="183"/>
      <c r="FH416" s="183"/>
      <c r="FI416" s="183"/>
      <c r="FJ416" s="183"/>
      <c r="FK416" s="183"/>
      <c r="FL416" s="183"/>
      <c r="FM416" s="183"/>
      <c r="FN416" s="183"/>
      <c r="FO416" s="183"/>
      <c r="FP416" s="183"/>
      <c r="FQ416" s="183"/>
      <c r="FR416" s="183"/>
      <c r="FS416" s="183"/>
      <c r="FT416" s="183"/>
      <c r="FU416" s="183"/>
      <c r="FV416" s="183"/>
      <c r="FW416" s="183"/>
      <c r="FX416" s="183"/>
      <c r="FY416" s="183"/>
    </row>
    <row r="417" spans="1:181" ht="11.25" customHeight="1">
      <c r="A417" s="183"/>
      <c r="B417" s="183"/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  <c r="FE417" s="183"/>
      <c r="FF417" s="183"/>
      <c r="FG417" s="183"/>
      <c r="FH417" s="183"/>
      <c r="FI417" s="183"/>
      <c r="FJ417" s="183"/>
      <c r="FK417" s="183"/>
      <c r="FL417" s="183"/>
      <c r="FM417" s="183"/>
      <c r="FN417" s="183"/>
      <c r="FO417" s="183"/>
      <c r="FP417" s="183"/>
      <c r="FQ417" s="183"/>
      <c r="FR417" s="183"/>
      <c r="FS417" s="183"/>
      <c r="FT417" s="183"/>
      <c r="FU417" s="183"/>
      <c r="FV417" s="183"/>
      <c r="FW417" s="183"/>
      <c r="FX417" s="183"/>
      <c r="FY417" s="183"/>
    </row>
    <row r="418" spans="1:181" ht="11.25" customHeight="1">
      <c r="A418" s="183"/>
      <c r="B418" s="183"/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  <c r="FE418" s="183"/>
      <c r="FF418" s="183"/>
      <c r="FG418" s="183"/>
      <c r="FH418" s="183"/>
      <c r="FI418" s="183"/>
      <c r="FJ418" s="183"/>
      <c r="FK418" s="183"/>
      <c r="FL418" s="183"/>
      <c r="FM418" s="183"/>
      <c r="FN418" s="183"/>
      <c r="FO418" s="183"/>
      <c r="FP418" s="183"/>
      <c r="FQ418" s="183"/>
      <c r="FR418" s="183"/>
      <c r="FS418" s="183"/>
      <c r="FT418" s="183"/>
      <c r="FU418" s="183"/>
      <c r="FV418" s="183"/>
      <c r="FW418" s="183"/>
      <c r="FX418" s="183"/>
      <c r="FY418" s="183"/>
    </row>
    <row r="419" spans="1:181" ht="11.25" customHeight="1">
      <c r="A419" s="183"/>
      <c r="B419" s="183"/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  <c r="FE419" s="183"/>
      <c r="FF419" s="183"/>
      <c r="FG419" s="183"/>
      <c r="FH419" s="183"/>
      <c r="FI419" s="183"/>
      <c r="FJ419" s="183"/>
      <c r="FK419" s="183"/>
      <c r="FL419" s="183"/>
      <c r="FM419" s="183"/>
      <c r="FN419" s="183"/>
      <c r="FO419" s="183"/>
      <c r="FP419" s="183"/>
      <c r="FQ419" s="183"/>
      <c r="FR419" s="183"/>
      <c r="FS419" s="183"/>
      <c r="FT419" s="183"/>
      <c r="FU419" s="183"/>
      <c r="FV419" s="183"/>
      <c r="FW419" s="183"/>
      <c r="FX419" s="183"/>
      <c r="FY419" s="183"/>
    </row>
    <row r="420" spans="1:181" ht="11.25" customHeight="1">
      <c r="A420" s="183"/>
      <c r="B420" s="183"/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  <c r="FE420" s="183"/>
      <c r="FF420" s="183"/>
      <c r="FG420" s="183"/>
      <c r="FH420" s="183"/>
      <c r="FI420" s="183"/>
      <c r="FJ420" s="183"/>
      <c r="FK420" s="183"/>
      <c r="FL420" s="183"/>
      <c r="FM420" s="183"/>
      <c r="FN420" s="183"/>
      <c r="FO420" s="183"/>
      <c r="FP420" s="183"/>
      <c r="FQ420" s="183"/>
      <c r="FR420" s="183"/>
      <c r="FS420" s="183"/>
      <c r="FT420" s="183"/>
      <c r="FU420" s="183"/>
      <c r="FV420" s="183"/>
      <c r="FW420" s="183"/>
      <c r="FX420" s="183"/>
      <c r="FY420" s="183"/>
    </row>
    <row r="421" spans="1:181" ht="11.25" customHeight="1">
      <c r="A421" s="183"/>
      <c r="B421" s="183"/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  <c r="FE421" s="183"/>
      <c r="FF421" s="183"/>
      <c r="FG421" s="183"/>
      <c r="FH421" s="183"/>
      <c r="FI421" s="183"/>
      <c r="FJ421" s="183"/>
      <c r="FK421" s="183"/>
      <c r="FL421" s="183"/>
      <c r="FM421" s="183"/>
      <c r="FN421" s="183"/>
      <c r="FO421" s="183"/>
      <c r="FP421" s="183"/>
      <c r="FQ421" s="183"/>
      <c r="FR421" s="183"/>
      <c r="FS421" s="183"/>
      <c r="FT421" s="183"/>
      <c r="FU421" s="183"/>
      <c r="FV421" s="183"/>
      <c r="FW421" s="183"/>
      <c r="FX421" s="183"/>
      <c r="FY421" s="183"/>
    </row>
    <row r="422" spans="1:181" ht="11.25" customHeight="1">
      <c r="A422" s="183"/>
      <c r="B422" s="183"/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</row>
    <row r="423" spans="1:181" ht="11.25" customHeight="1">
      <c r="A423" s="183"/>
      <c r="B423" s="183"/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  <c r="FE423" s="183"/>
      <c r="FF423" s="183"/>
      <c r="FG423" s="183"/>
      <c r="FH423" s="183"/>
      <c r="FI423" s="183"/>
      <c r="FJ423" s="183"/>
      <c r="FK423" s="183"/>
      <c r="FL423" s="183"/>
      <c r="FM423" s="183"/>
      <c r="FN423" s="183"/>
      <c r="FO423" s="183"/>
      <c r="FP423" s="183"/>
      <c r="FQ423" s="183"/>
      <c r="FR423" s="183"/>
      <c r="FS423" s="183"/>
      <c r="FT423" s="183"/>
      <c r="FU423" s="183"/>
      <c r="FV423" s="183"/>
      <c r="FW423" s="183"/>
      <c r="FX423" s="183"/>
      <c r="FY423" s="183"/>
    </row>
    <row r="424" spans="1:181" ht="11.25" customHeight="1">
      <c r="A424" s="183"/>
      <c r="B424" s="183"/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  <c r="FE424" s="183"/>
      <c r="FF424" s="183"/>
      <c r="FG424" s="183"/>
      <c r="FH424" s="183"/>
      <c r="FI424" s="183"/>
      <c r="FJ424" s="183"/>
      <c r="FK424" s="183"/>
      <c r="FL424" s="183"/>
      <c r="FM424" s="183"/>
      <c r="FN424" s="183"/>
      <c r="FO424" s="183"/>
      <c r="FP424" s="183"/>
      <c r="FQ424" s="183"/>
      <c r="FR424" s="183"/>
      <c r="FS424" s="183"/>
      <c r="FT424" s="183"/>
      <c r="FU424" s="183"/>
      <c r="FV424" s="183"/>
      <c r="FW424" s="183"/>
      <c r="FX424" s="183"/>
      <c r="FY424" s="183"/>
    </row>
    <row r="425" spans="1:181" ht="11.25" customHeight="1">
      <c r="A425" s="183"/>
      <c r="B425" s="183"/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  <c r="FE425" s="183"/>
      <c r="FF425" s="183"/>
      <c r="FG425" s="183"/>
      <c r="FH425" s="183"/>
      <c r="FI425" s="183"/>
      <c r="FJ425" s="183"/>
      <c r="FK425" s="183"/>
      <c r="FL425" s="183"/>
      <c r="FM425" s="183"/>
      <c r="FN425" s="183"/>
      <c r="FO425" s="183"/>
      <c r="FP425" s="183"/>
      <c r="FQ425" s="183"/>
      <c r="FR425" s="183"/>
      <c r="FS425" s="183"/>
      <c r="FT425" s="183"/>
      <c r="FU425" s="183"/>
      <c r="FV425" s="183"/>
      <c r="FW425" s="183"/>
      <c r="FX425" s="183"/>
      <c r="FY425" s="183"/>
    </row>
    <row r="426" spans="1:181" ht="11.25" customHeight="1">
      <c r="A426" s="183"/>
      <c r="B426" s="183"/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  <c r="FE426" s="183"/>
      <c r="FF426" s="183"/>
      <c r="FG426" s="183"/>
      <c r="FH426" s="183"/>
      <c r="FI426" s="183"/>
      <c r="FJ426" s="183"/>
      <c r="FK426" s="183"/>
      <c r="FL426" s="183"/>
      <c r="FM426" s="183"/>
      <c r="FN426" s="183"/>
      <c r="FO426" s="183"/>
      <c r="FP426" s="183"/>
      <c r="FQ426" s="183"/>
      <c r="FR426" s="183"/>
      <c r="FS426" s="183"/>
      <c r="FT426" s="183"/>
      <c r="FU426" s="183"/>
      <c r="FV426" s="183"/>
      <c r="FW426" s="183"/>
      <c r="FX426" s="183"/>
      <c r="FY426" s="183"/>
    </row>
    <row r="427" spans="1:181" ht="11.25" customHeight="1">
      <c r="A427" s="183"/>
      <c r="B427" s="183"/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  <c r="FE427" s="183"/>
      <c r="FF427" s="183"/>
      <c r="FG427" s="183"/>
      <c r="FH427" s="183"/>
      <c r="FI427" s="183"/>
      <c r="FJ427" s="183"/>
      <c r="FK427" s="183"/>
      <c r="FL427" s="183"/>
      <c r="FM427" s="183"/>
      <c r="FN427" s="183"/>
      <c r="FO427" s="183"/>
      <c r="FP427" s="183"/>
      <c r="FQ427" s="183"/>
      <c r="FR427" s="183"/>
      <c r="FS427" s="183"/>
      <c r="FT427" s="183"/>
      <c r="FU427" s="183"/>
      <c r="FV427" s="183"/>
      <c r="FW427" s="183"/>
      <c r="FX427" s="183"/>
      <c r="FY427" s="183"/>
    </row>
    <row r="428" spans="1:181" ht="11.25" customHeight="1">
      <c r="A428" s="183"/>
      <c r="B428" s="183"/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  <c r="FE428" s="183"/>
      <c r="FF428" s="183"/>
      <c r="FG428" s="183"/>
      <c r="FH428" s="183"/>
      <c r="FI428" s="183"/>
      <c r="FJ428" s="183"/>
      <c r="FK428" s="183"/>
      <c r="FL428" s="183"/>
      <c r="FM428" s="183"/>
      <c r="FN428" s="183"/>
      <c r="FO428" s="183"/>
      <c r="FP428" s="183"/>
      <c r="FQ428" s="183"/>
      <c r="FR428" s="183"/>
      <c r="FS428" s="183"/>
      <c r="FT428" s="183"/>
      <c r="FU428" s="183"/>
      <c r="FV428" s="183"/>
      <c r="FW428" s="183"/>
      <c r="FX428" s="183"/>
      <c r="FY428" s="183"/>
    </row>
    <row r="429" spans="1:181" ht="11.25" customHeight="1">
      <c r="A429" s="183"/>
      <c r="B429" s="183"/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  <c r="FE429" s="183"/>
      <c r="FF429" s="183"/>
      <c r="FG429" s="183"/>
      <c r="FH429" s="183"/>
      <c r="FI429" s="183"/>
      <c r="FJ429" s="183"/>
      <c r="FK429" s="183"/>
      <c r="FL429" s="183"/>
      <c r="FM429" s="183"/>
      <c r="FN429" s="183"/>
      <c r="FO429" s="183"/>
      <c r="FP429" s="183"/>
      <c r="FQ429" s="183"/>
      <c r="FR429" s="183"/>
      <c r="FS429" s="183"/>
      <c r="FT429" s="183"/>
      <c r="FU429" s="183"/>
      <c r="FV429" s="183"/>
      <c r="FW429" s="183"/>
      <c r="FX429" s="183"/>
      <c r="FY429" s="183"/>
    </row>
    <row r="430" spans="1:181" ht="11.25" customHeight="1">
      <c r="A430" s="183"/>
      <c r="B430" s="183"/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  <c r="FE430" s="183"/>
      <c r="FF430" s="183"/>
      <c r="FG430" s="183"/>
      <c r="FH430" s="183"/>
      <c r="FI430" s="183"/>
      <c r="FJ430" s="183"/>
      <c r="FK430" s="183"/>
      <c r="FL430" s="183"/>
      <c r="FM430" s="183"/>
      <c r="FN430" s="183"/>
      <c r="FO430" s="183"/>
      <c r="FP430" s="183"/>
      <c r="FQ430" s="183"/>
      <c r="FR430" s="183"/>
      <c r="FS430" s="183"/>
      <c r="FT430" s="183"/>
      <c r="FU430" s="183"/>
      <c r="FV430" s="183"/>
      <c r="FW430" s="183"/>
      <c r="FX430" s="183"/>
      <c r="FY430" s="183"/>
    </row>
    <row r="431" spans="1:181" ht="11.25" customHeight="1">
      <c r="A431" s="183"/>
      <c r="B431" s="183"/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  <c r="FE431" s="183"/>
      <c r="FF431" s="183"/>
      <c r="FG431" s="183"/>
      <c r="FH431" s="183"/>
      <c r="FI431" s="183"/>
      <c r="FJ431" s="183"/>
      <c r="FK431" s="183"/>
      <c r="FL431" s="183"/>
      <c r="FM431" s="183"/>
      <c r="FN431" s="183"/>
      <c r="FO431" s="183"/>
      <c r="FP431" s="183"/>
      <c r="FQ431" s="183"/>
      <c r="FR431" s="183"/>
      <c r="FS431" s="183"/>
      <c r="FT431" s="183"/>
      <c r="FU431" s="183"/>
      <c r="FV431" s="183"/>
      <c r="FW431" s="183"/>
      <c r="FX431" s="183"/>
      <c r="FY431" s="183"/>
    </row>
    <row r="432" spans="1:181" ht="11.25" customHeight="1">
      <c r="A432" s="183"/>
      <c r="B432" s="183"/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  <c r="FE432" s="183"/>
      <c r="FF432" s="183"/>
      <c r="FG432" s="183"/>
      <c r="FH432" s="183"/>
      <c r="FI432" s="183"/>
      <c r="FJ432" s="183"/>
      <c r="FK432" s="183"/>
      <c r="FL432" s="183"/>
      <c r="FM432" s="183"/>
      <c r="FN432" s="183"/>
      <c r="FO432" s="183"/>
      <c r="FP432" s="183"/>
      <c r="FQ432" s="183"/>
      <c r="FR432" s="183"/>
      <c r="FS432" s="183"/>
      <c r="FT432" s="183"/>
      <c r="FU432" s="183"/>
      <c r="FV432" s="183"/>
      <c r="FW432" s="183"/>
      <c r="FX432" s="183"/>
      <c r="FY432" s="183"/>
    </row>
    <row r="433" spans="1:181" ht="11.25" customHeight="1">
      <c r="A433" s="183"/>
      <c r="B433" s="183"/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  <c r="FE433" s="183"/>
      <c r="FF433" s="183"/>
      <c r="FG433" s="183"/>
      <c r="FH433" s="183"/>
      <c r="FI433" s="183"/>
      <c r="FJ433" s="183"/>
      <c r="FK433" s="183"/>
      <c r="FL433" s="183"/>
      <c r="FM433" s="183"/>
      <c r="FN433" s="183"/>
      <c r="FO433" s="183"/>
      <c r="FP433" s="183"/>
      <c r="FQ433" s="183"/>
      <c r="FR433" s="183"/>
      <c r="FS433" s="183"/>
      <c r="FT433" s="183"/>
      <c r="FU433" s="183"/>
      <c r="FV433" s="183"/>
      <c r="FW433" s="183"/>
      <c r="FX433" s="183"/>
      <c r="FY433" s="183"/>
    </row>
    <row r="434" spans="1:181" ht="11.25" customHeight="1">
      <c r="A434" s="183"/>
      <c r="B434" s="183"/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  <c r="FE434" s="183"/>
      <c r="FF434" s="183"/>
      <c r="FG434" s="183"/>
      <c r="FH434" s="183"/>
      <c r="FI434" s="183"/>
      <c r="FJ434" s="183"/>
      <c r="FK434" s="183"/>
      <c r="FL434" s="183"/>
      <c r="FM434" s="183"/>
      <c r="FN434" s="183"/>
      <c r="FO434" s="183"/>
      <c r="FP434" s="183"/>
      <c r="FQ434" s="183"/>
      <c r="FR434" s="183"/>
      <c r="FS434" s="183"/>
      <c r="FT434" s="183"/>
      <c r="FU434" s="183"/>
      <c r="FV434" s="183"/>
      <c r="FW434" s="183"/>
      <c r="FX434" s="183"/>
      <c r="FY434" s="183"/>
    </row>
    <row r="435" spans="1:181" ht="11.25" customHeight="1">
      <c r="A435" s="183"/>
      <c r="B435" s="183"/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  <c r="FE435" s="183"/>
      <c r="FF435" s="183"/>
      <c r="FG435" s="183"/>
      <c r="FH435" s="183"/>
      <c r="FI435" s="183"/>
      <c r="FJ435" s="183"/>
      <c r="FK435" s="183"/>
      <c r="FL435" s="183"/>
      <c r="FM435" s="183"/>
      <c r="FN435" s="183"/>
      <c r="FO435" s="183"/>
      <c r="FP435" s="183"/>
      <c r="FQ435" s="183"/>
      <c r="FR435" s="183"/>
      <c r="FS435" s="183"/>
      <c r="FT435" s="183"/>
      <c r="FU435" s="183"/>
      <c r="FV435" s="183"/>
      <c r="FW435" s="183"/>
      <c r="FX435" s="183"/>
      <c r="FY435" s="183"/>
    </row>
    <row r="436" spans="1:181" ht="11.25" customHeight="1">
      <c r="A436" s="183"/>
      <c r="B436" s="183"/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  <c r="FE436" s="183"/>
      <c r="FF436" s="183"/>
      <c r="FG436" s="183"/>
      <c r="FH436" s="183"/>
      <c r="FI436" s="183"/>
      <c r="FJ436" s="183"/>
      <c r="FK436" s="183"/>
      <c r="FL436" s="183"/>
      <c r="FM436" s="183"/>
      <c r="FN436" s="183"/>
      <c r="FO436" s="183"/>
      <c r="FP436" s="183"/>
      <c r="FQ436" s="183"/>
      <c r="FR436" s="183"/>
      <c r="FS436" s="183"/>
      <c r="FT436" s="183"/>
      <c r="FU436" s="183"/>
      <c r="FV436" s="183"/>
      <c r="FW436" s="183"/>
      <c r="FX436" s="183"/>
      <c r="FY436" s="183"/>
    </row>
    <row r="437" spans="1:181" ht="11.25" customHeight="1">
      <c r="A437" s="183"/>
      <c r="B437" s="183"/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  <c r="FE437" s="183"/>
      <c r="FF437" s="183"/>
      <c r="FG437" s="183"/>
      <c r="FH437" s="183"/>
      <c r="FI437" s="183"/>
      <c r="FJ437" s="183"/>
      <c r="FK437" s="183"/>
      <c r="FL437" s="183"/>
      <c r="FM437" s="183"/>
      <c r="FN437" s="183"/>
      <c r="FO437" s="183"/>
      <c r="FP437" s="183"/>
      <c r="FQ437" s="183"/>
      <c r="FR437" s="183"/>
      <c r="FS437" s="183"/>
      <c r="FT437" s="183"/>
      <c r="FU437" s="183"/>
      <c r="FV437" s="183"/>
      <c r="FW437" s="183"/>
      <c r="FX437" s="183"/>
      <c r="FY437" s="183"/>
    </row>
    <row r="438" spans="1:181" ht="11.25" customHeight="1">
      <c r="A438" s="183"/>
      <c r="B438" s="183"/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  <c r="FE438" s="183"/>
      <c r="FF438" s="183"/>
      <c r="FG438" s="183"/>
      <c r="FH438" s="183"/>
      <c r="FI438" s="183"/>
      <c r="FJ438" s="183"/>
      <c r="FK438" s="183"/>
      <c r="FL438" s="183"/>
      <c r="FM438" s="183"/>
      <c r="FN438" s="183"/>
      <c r="FO438" s="183"/>
      <c r="FP438" s="183"/>
      <c r="FQ438" s="183"/>
      <c r="FR438" s="183"/>
      <c r="FS438" s="183"/>
      <c r="FT438" s="183"/>
      <c r="FU438" s="183"/>
      <c r="FV438" s="183"/>
      <c r="FW438" s="183"/>
      <c r="FX438" s="183"/>
      <c r="FY438" s="183"/>
    </row>
    <row r="439" spans="1:181" ht="11.25" customHeight="1">
      <c r="A439" s="183"/>
      <c r="B439" s="183"/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  <c r="FE439" s="183"/>
      <c r="FF439" s="183"/>
      <c r="FG439" s="183"/>
      <c r="FH439" s="183"/>
      <c r="FI439" s="183"/>
      <c r="FJ439" s="183"/>
      <c r="FK439" s="183"/>
      <c r="FL439" s="183"/>
      <c r="FM439" s="183"/>
      <c r="FN439" s="183"/>
      <c r="FO439" s="183"/>
      <c r="FP439" s="183"/>
      <c r="FQ439" s="183"/>
      <c r="FR439" s="183"/>
      <c r="FS439" s="183"/>
      <c r="FT439" s="183"/>
      <c r="FU439" s="183"/>
      <c r="FV439" s="183"/>
      <c r="FW439" s="183"/>
      <c r="FX439" s="183"/>
      <c r="FY439" s="183"/>
    </row>
    <row r="440" spans="1:181" ht="11.25" customHeight="1">
      <c r="A440" s="183"/>
      <c r="B440" s="183"/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  <c r="FE440" s="183"/>
      <c r="FF440" s="183"/>
      <c r="FG440" s="183"/>
      <c r="FH440" s="183"/>
      <c r="FI440" s="183"/>
      <c r="FJ440" s="183"/>
      <c r="FK440" s="183"/>
      <c r="FL440" s="183"/>
      <c r="FM440" s="183"/>
      <c r="FN440" s="183"/>
      <c r="FO440" s="183"/>
      <c r="FP440" s="183"/>
      <c r="FQ440" s="183"/>
      <c r="FR440" s="183"/>
      <c r="FS440" s="183"/>
      <c r="FT440" s="183"/>
      <c r="FU440" s="183"/>
      <c r="FV440" s="183"/>
      <c r="FW440" s="183"/>
      <c r="FX440" s="183"/>
      <c r="FY440" s="183"/>
    </row>
    <row r="441" spans="1:181" ht="11.25" customHeight="1">
      <c r="A441" s="183"/>
      <c r="B441" s="183"/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  <c r="FE441" s="183"/>
      <c r="FF441" s="183"/>
      <c r="FG441" s="183"/>
      <c r="FH441" s="183"/>
      <c r="FI441" s="183"/>
      <c r="FJ441" s="183"/>
      <c r="FK441" s="183"/>
      <c r="FL441" s="183"/>
      <c r="FM441" s="183"/>
      <c r="FN441" s="183"/>
      <c r="FO441" s="183"/>
      <c r="FP441" s="183"/>
      <c r="FQ441" s="183"/>
      <c r="FR441" s="183"/>
      <c r="FS441" s="183"/>
      <c r="FT441" s="183"/>
      <c r="FU441" s="183"/>
      <c r="FV441" s="183"/>
      <c r="FW441" s="183"/>
      <c r="FX441" s="183"/>
      <c r="FY441" s="183"/>
    </row>
    <row r="442" spans="1:181" ht="11.25" customHeight="1">
      <c r="A442" s="183"/>
      <c r="B442" s="183"/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  <c r="FE442" s="183"/>
      <c r="FF442" s="183"/>
      <c r="FG442" s="183"/>
      <c r="FH442" s="183"/>
      <c r="FI442" s="183"/>
      <c r="FJ442" s="183"/>
      <c r="FK442" s="183"/>
      <c r="FL442" s="183"/>
      <c r="FM442" s="183"/>
      <c r="FN442" s="183"/>
      <c r="FO442" s="183"/>
      <c r="FP442" s="183"/>
      <c r="FQ442" s="183"/>
      <c r="FR442" s="183"/>
      <c r="FS442" s="183"/>
      <c r="FT442" s="183"/>
      <c r="FU442" s="183"/>
      <c r="FV442" s="183"/>
      <c r="FW442" s="183"/>
      <c r="FX442" s="183"/>
      <c r="FY442" s="183"/>
    </row>
    <row r="443" spans="1:181" ht="11.25" customHeight="1">
      <c r="A443" s="183"/>
      <c r="B443" s="183"/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  <c r="FE443" s="183"/>
      <c r="FF443" s="183"/>
      <c r="FG443" s="183"/>
      <c r="FH443" s="183"/>
      <c r="FI443" s="183"/>
      <c r="FJ443" s="183"/>
      <c r="FK443" s="183"/>
      <c r="FL443" s="183"/>
      <c r="FM443" s="183"/>
      <c r="FN443" s="183"/>
      <c r="FO443" s="183"/>
      <c r="FP443" s="183"/>
      <c r="FQ443" s="183"/>
      <c r="FR443" s="183"/>
      <c r="FS443" s="183"/>
      <c r="FT443" s="183"/>
      <c r="FU443" s="183"/>
      <c r="FV443" s="183"/>
      <c r="FW443" s="183"/>
      <c r="FX443" s="183"/>
      <c r="FY443" s="183"/>
    </row>
    <row r="444" spans="1:181" ht="11.25" customHeight="1">
      <c r="A444" s="183"/>
      <c r="B444" s="183"/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  <c r="FE444" s="183"/>
      <c r="FF444" s="183"/>
      <c r="FG444" s="183"/>
      <c r="FH444" s="183"/>
      <c r="FI444" s="183"/>
      <c r="FJ444" s="183"/>
      <c r="FK444" s="183"/>
      <c r="FL444" s="183"/>
      <c r="FM444" s="183"/>
      <c r="FN444" s="183"/>
      <c r="FO444" s="183"/>
      <c r="FP444" s="183"/>
      <c r="FQ444" s="183"/>
      <c r="FR444" s="183"/>
      <c r="FS444" s="183"/>
      <c r="FT444" s="183"/>
      <c r="FU444" s="183"/>
      <c r="FV444" s="183"/>
      <c r="FW444" s="183"/>
      <c r="FX444" s="183"/>
      <c r="FY444" s="183"/>
    </row>
    <row r="445" spans="1:181" ht="11.25" customHeight="1">
      <c r="A445" s="183"/>
      <c r="B445" s="183"/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  <c r="FE445" s="183"/>
      <c r="FF445" s="183"/>
      <c r="FG445" s="183"/>
      <c r="FH445" s="183"/>
      <c r="FI445" s="183"/>
      <c r="FJ445" s="183"/>
      <c r="FK445" s="183"/>
      <c r="FL445" s="183"/>
      <c r="FM445" s="183"/>
      <c r="FN445" s="183"/>
      <c r="FO445" s="183"/>
      <c r="FP445" s="183"/>
      <c r="FQ445" s="183"/>
      <c r="FR445" s="183"/>
      <c r="FS445" s="183"/>
      <c r="FT445" s="183"/>
      <c r="FU445" s="183"/>
      <c r="FV445" s="183"/>
      <c r="FW445" s="183"/>
      <c r="FX445" s="183"/>
      <c r="FY445" s="183"/>
    </row>
    <row r="446" spans="1:181" ht="11.25" customHeight="1">
      <c r="A446" s="183"/>
      <c r="B446" s="183"/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  <c r="FE446" s="183"/>
      <c r="FF446" s="183"/>
      <c r="FG446" s="183"/>
      <c r="FH446" s="183"/>
      <c r="FI446" s="183"/>
      <c r="FJ446" s="183"/>
      <c r="FK446" s="183"/>
      <c r="FL446" s="183"/>
      <c r="FM446" s="183"/>
      <c r="FN446" s="183"/>
      <c r="FO446" s="183"/>
      <c r="FP446" s="183"/>
      <c r="FQ446" s="183"/>
      <c r="FR446" s="183"/>
      <c r="FS446" s="183"/>
      <c r="FT446" s="183"/>
      <c r="FU446" s="183"/>
      <c r="FV446" s="183"/>
      <c r="FW446" s="183"/>
      <c r="FX446" s="183"/>
      <c r="FY446" s="183"/>
    </row>
    <row r="447" spans="1:181" ht="11.25" customHeight="1">
      <c r="A447" s="183"/>
      <c r="B447" s="183"/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  <c r="FE447" s="183"/>
      <c r="FF447" s="183"/>
      <c r="FG447" s="183"/>
      <c r="FH447" s="183"/>
      <c r="FI447" s="183"/>
      <c r="FJ447" s="183"/>
      <c r="FK447" s="183"/>
      <c r="FL447" s="183"/>
      <c r="FM447" s="183"/>
      <c r="FN447" s="183"/>
      <c r="FO447" s="183"/>
      <c r="FP447" s="183"/>
      <c r="FQ447" s="183"/>
      <c r="FR447" s="183"/>
      <c r="FS447" s="183"/>
      <c r="FT447" s="183"/>
      <c r="FU447" s="183"/>
      <c r="FV447" s="183"/>
      <c r="FW447" s="183"/>
      <c r="FX447" s="183"/>
      <c r="FY447" s="183"/>
    </row>
    <row r="448" spans="1:181" ht="11.25" customHeight="1">
      <c r="A448" s="183"/>
      <c r="B448" s="183"/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  <c r="FE448" s="183"/>
      <c r="FF448" s="183"/>
      <c r="FG448" s="183"/>
      <c r="FH448" s="183"/>
      <c r="FI448" s="183"/>
      <c r="FJ448" s="183"/>
      <c r="FK448" s="183"/>
      <c r="FL448" s="183"/>
      <c r="FM448" s="183"/>
      <c r="FN448" s="183"/>
      <c r="FO448" s="183"/>
      <c r="FP448" s="183"/>
      <c r="FQ448" s="183"/>
      <c r="FR448" s="183"/>
      <c r="FS448" s="183"/>
      <c r="FT448" s="183"/>
      <c r="FU448" s="183"/>
      <c r="FV448" s="183"/>
      <c r="FW448" s="183"/>
      <c r="FX448" s="183"/>
      <c r="FY448" s="183"/>
    </row>
    <row r="449" spans="1:181" ht="11.25" customHeight="1">
      <c r="A449" s="183"/>
      <c r="B449" s="183"/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  <c r="FE449" s="183"/>
      <c r="FF449" s="183"/>
      <c r="FG449" s="183"/>
      <c r="FH449" s="183"/>
      <c r="FI449" s="183"/>
      <c r="FJ449" s="183"/>
      <c r="FK449" s="183"/>
      <c r="FL449" s="183"/>
      <c r="FM449" s="183"/>
      <c r="FN449" s="183"/>
      <c r="FO449" s="183"/>
      <c r="FP449" s="183"/>
      <c r="FQ449" s="183"/>
      <c r="FR449" s="183"/>
      <c r="FS449" s="183"/>
      <c r="FT449" s="183"/>
      <c r="FU449" s="183"/>
      <c r="FV449" s="183"/>
      <c r="FW449" s="183"/>
      <c r="FX449" s="183"/>
      <c r="FY449" s="183"/>
    </row>
    <row r="450" spans="1:181" ht="11.25" customHeight="1">
      <c r="A450" s="183"/>
      <c r="B450" s="183"/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  <c r="FE450" s="183"/>
      <c r="FF450" s="183"/>
      <c r="FG450" s="183"/>
      <c r="FH450" s="183"/>
      <c r="FI450" s="183"/>
      <c r="FJ450" s="183"/>
      <c r="FK450" s="183"/>
      <c r="FL450" s="183"/>
      <c r="FM450" s="183"/>
      <c r="FN450" s="183"/>
      <c r="FO450" s="183"/>
      <c r="FP450" s="183"/>
      <c r="FQ450" s="183"/>
      <c r="FR450" s="183"/>
      <c r="FS450" s="183"/>
      <c r="FT450" s="183"/>
      <c r="FU450" s="183"/>
      <c r="FV450" s="183"/>
      <c r="FW450" s="183"/>
      <c r="FX450" s="183"/>
      <c r="FY450" s="183"/>
    </row>
    <row r="451" spans="1:181" ht="11.25" customHeight="1">
      <c r="A451" s="183"/>
      <c r="B451" s="183"/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</row>
    <row r="452" spans="1:181" ht="11.25" customHeight="1">
      <c r="A452" s="183"/>
      <c r="B452" s="183"/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  <c r="FE452" s="183"/>
      <c r="FF452" s="183"/>
      <c r="FG452" s="183"/>
      <c r="FH452" s="183"/>
      <c r="FI452" s="183"/>
      <c r="FJ452" s="183"/>
      <c r="FK452" s="183"/>
      <c r="FL452" s="183"/>
      <c r="FM452" s="183"/>
      <c r="FN452" s="183"/>
      <c r="FO452" s="183"/>
      <c r="FP452" s="183"/>
      <c r="FQ452" s="183"/>
      <c r="FR452" s="183"/>
      <c r="FS452" s="183"/>
      <c r="FT452" s="183"/>
      <c r="FU452" s="183"/>
      <c r="FV452" s="183"/>
      <c r="FW452" s="183"/>
      <c r="FX452" s="183"/>
      <c r="FY452" s="183"/>
    </row>
    <row r="453" spans="1:181" ht="11.25" customHeight="1">
      <c r="A453" s="183"/>
      <c r="B453" s="183"/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  <c r="FE453" s="183"/>
      <c r="FF453" s="183"/>
      <c r="FG453" s="183"/>
      <c r="FH453" s="183"/>
      <c r="FI453" s="183"/>
      <c r="FJ453" s="183"/>
      <c r="FK453" s="183"/>
      <c r="FL453" s="183"/>
      <c r="FM453" s="183"/>
      <c r="FN453" s="183"/>
      <c r="FO453" s="183"/>
      <c r="FP453" s="183"/>
      <c r="FQ453" s="183"/>
      <c r="FR453" s="183"/>
      <c r="FS453" s="183"/>
      <c r="FT453" s="183"/>
      <c r="FU453" s="183"/>
      <c r="FV453" s="183"/>
      <c r="FW453" s="183"/>
      <c r="FX453" s="183"/>
      <c r="FY453" s="183"/>
    </row>
    <row r="454" spans="1:181" ht="11.25" customHeight="1">
      <c r="A454" s="183"/>
      <c r="B454" s="183"/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  <c r="FE454" s="183"/>
      <c r="FF454" s="183"/>
      <c r="FG454" s="183"/>
      <c r="FH454" s="183"/>
      <c r="FI454" s="183"/>
      <c r="FJ454" s="183"/>
      <c r="FK454" s="183"/>
      <c r="FL454" s="183"/>
      <c r="FM454" s="183"/>
      <c r="FN454" s="183"/>
      <c r="FO454" s="183"/>
      <c r="FP454" s="183"/>
      <c r="FQ454" s="183"/>
      <c r="FR454" s="183"/>
      <c r="FS454" s="183"/>
      <c r="FT454" s="183"/>
      <c r="FU454" s="183"/>
      <c r="FV454" s="183"/>
      <c r="FW454" s="183"/>
      <c r="FX454" s="183"/>
      <c r="FY454" s="183"/>
    </row>
    <row r="455" spans="1:181" ht="11.25" customHeight="1">
      <c r="A455" s="183"/>
      <c r="B455" s="183"/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  <c r="FE455" s="183"/>
      <c r="FF455" s="183"/>
      <c r="FG455" s="183"/>
      <c r="FH455" s="183"/>
      <c r="FI455" s="183"/>
      <c r="FJ455" s="183"/>
      <c r="FK455" s="183"/>
      <c r="FL455" s="183"/>
      <c r="FM455" s="183"/>
      <c r="FN455" s="183"/>
      <c r="FO455" s="183"/>
      <c r="FP455" s="183"/>
      <c r="FQ455" s="183"/>
      <c r="FR455" s="183"/>
      <c r="FS455" s="183"/>
      <c r="FT455" s="183"/>
      <c r="FU455" s="183"/>
      <c r="FV455" s="183"/>
      <c r="FW455" s="183"/>
      <c r="FX455" s="183"/>
      <c r="FY455" s="183"/>
    </row>
    <row r="456" spans="1:181" ht="11.25" customHeight="1">
      <c r="A456" s="183"/>
      <c r="B456" s="183"/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  <c r="FE456" s="183"/>
      <c r="FF456" s="183"/>
      <c r="FG456" s="183"/>
      <c r="FH456" s="183"/>
      <c r="FI456" s="183"/>
      <c r="FJ456" s="183"/>
      <c r="FK456" s="183"/>
      <c r="FL456" s="183"/>
      <c r="FM456" s="183"/>
      <c r="FN456" s="183"/>
      <c r="FO456" s="183"/>
      <c r="FP456" s="183"/>
      <c r="FQ456" s="183"/>
      <c r="FR456" s="183"/>
      <c r="FS456" s="183"/>
      <c r="FT456" s="183"/>
      <c r="FU456" s="183"/>
      <c r="FV456" s="183"/>
      <c r="FW456" s="183"/>
      <c r="FX456" s="183"/>
      <c r="FY456" s="183"/>
    </row>
    <row r="457" spans="1:181" ht="11.25" customHeight="1">
      <c r="A457" s="183"/>
      <c r="B457" s="183"/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  <c r="FE457" s="183"/>
      <c r="FF457" s="183"/>
      <c r="FG457" s="183"/>
      <c r="FH457" s="183"/>
      <c r="FI457" s="183"/>
      <c r="FJ457" s="183"/>
      <c r="FK457" s="183"/>
      <c r="FL457" s="183"/>
      <c r="FM457" s="183"/>
      <c r="FN457" s="183"/>
      <c r="FO457" s="183"/>
      <c r="FP457" s="183"/>
      <c r="FQ457" s="183"/>
      <c r="FR457" s="183"/>
      <c r="FS457" s="183"/>
      <c r="FT457" s="183"/>
      <c r="FU457" s="183"/>
      <c r="FV457" s="183"/>
      <c r="FW457" s="183"/>
      <c r="FX457" s="183"/>
      <c r="FY457" s="183"/>
    </row>
    <row r="458" spans="1:181" ht="11.25" customHeight="1">
      <c r="A458" s="183"/>
      <c r="B458" s="183"/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  <c r="FE458" s="183"/>
      <c r="FF458" s="183"/>
      <c r="FG458" s="183"/>
      <c r="FH458" s="183"/>
      <c r="FI458" s="183"/>
      <c r="FJ458" s="183"/>
      <c r="FK458" s="183"/>
      <c r="FL458" s="183"/>
      <c r="FM458" s="183"/>
      <c r="FN458" s="183"/>
      <c r="FO458" s="183"/>
      <c r="FP458" s="183"/>
      <c r="FQ458" s="183"/>
      <c r="FR458" s="183"/>
      <c r="FS458" s="183"/>
      <c r="FT458" s="183"/>
      <c r="FU458" s="183"/>
      <c r="FV458" s="183"/>
      <c r="FW458" s="183"/>
      <c r="FX458" s="183"/>
      <c r="FY458" s="183"/>
    </row>
    <row r="459" spans="1:181" ht="11.25" customHeight="1">
      <c r="A459" s="183"/>
      <c r="B459" s="183"/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  <c r="FE459" s="183"/>
      <c r="FF459" s="183"/>
      <c r="FG459" s="183"/>
      <c r="FH459" s="183"/>
      <c r="FI459" s="183"/>
      <c r="FJ459" s="183"/>
      <c r="FK459" s="183"/>
      <c r="FL459" s="183"/>
      <c r="FM459" s="183"/>
      <c r="FN459" s="183"/>
      <c r="FO459" s="183"/>
      <c r="FP459" s="183"/>
      <c r="FQ459" s="183"/>
      <c r="FR459" s="183"/>
      <c r="FS459" s="183"/>
      <c r="FT459" s="183"/>
      <c r="FU459" s="183"/>
      <c r="FV459" s="183"/>
      <c r="FW459" s="183"/>
      <c r="FX459" s="183"/>
      <c r="FY459" s="183"/>
    </row>
    <row r="460" spans="1:181" ht="11.25" customHeight="1">
      <c r="A460" s="183"/>
      <c r="B460" s="183"/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  <c r="FE460" s="183"/>
      <c r="FF460" s="183"/>
      <c r="FG460" s="183"/>
      <c r="FH460" s="183"/>
      <c r="FI460" s="183"/>
      <c r="FJ460" s="183"/>
      <c r="FK460" s="183"/>
      <c r="FL460" s="183"/>
      <c r="FM460" s="183"/>
      <c r="FN460" s="183"/>
      <c r="FO460" s="183"/>
      <c r="FP460" s="183"/>
      <c r="FQ460" s="183"/>
      <c r="FR460" s="183"/>
      <c r="FS460" s="183"/>
      <c r="FT460" s="183"/>
      <c r="FU460" s="183"/>
      <c r="FV460" s="183"/>
      <c r="FW460" s="183"/>
      <c r="FX460" s="183"/>
      <c r="FY460" s="183"/>
    </row>
    <row r="461" spans="1:181" ht="11.25" customHeight="1">
      <c r="A461" s="183"/>
      <c r="B461" s="183"/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</row>
    <row r="462" spans="1:181" ht="11.25" customHeight="1">
      <c r="A462" s="183"/>
      <c r="B462" s="183"/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</row>
    <row r="463" spans="1:181" ht="11.25" customHeight="1">
      <c r="A463" s="183"/>
      <c r="B463" s="183"/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</row>
    <row r="464" spans="1:181" ht="11.25" customHeight="1">
      <c r="A464" s="183"/>
      <c r="B464" s="183"/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  <c r="FE464" s="183"/>
      <c r="FF464" s="183"/>
      <c r="FG464" s="183"/>
      <c r="FH464" s="183"/>
      <c r="FI464" s="183"/>
      <c r="FJ464" s="183"/>
      <c r="FK464" s="183"/>
      <c r="FL464" s="183"/>
      <c r="FM464" s="183"/>
      <c r="FN464" s="183"/>
      <c r="FO464" s="183"/>
      <c r="FP464" s="183"/>
      <c r="FQ464" s="183"/>
      <c r="FR464" s="183"/>
      <c r="FS464" s="183"/>
      <c r="FT464" s="183"/>
      <c r="FU464" s="183"/>
      <c r="FV464" s="183"/>
      <c r="FW464" s="183"/>
      <c r="FX464" s="183"/>
      <c r="FY464" s="183"/>
    </row>
    <row r="465" spans="1:181" ht="11.25" customHeight="1">
      <c r="A465" s="183"/>
      <c r="B465" s="183"/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  <c r="FE465" s="183"/>
      <c r="FF465" s="183"/>
      <c r="FG465" s="183"/>
      <c r="FH465" s="183"/>
      <c r="FI465" s="183"/>
      <c r="FJ465" s="183"/>
      <c r="FK465" s="183"/>
      <c r="FL465" s="183"/>
      <c r="FM465" s="183"/>
      <c r="FN465" s="183"/>
      <c r="FO465" s="183"/>
      <c r="FP465" s="183"/>
      <c r="FQ465" s="183"/>
      <c r="FR465" s="183"/>
      <c r="FS465" s="183"/>
      <c r="FT465" s="183"/>
      <c r="FU465" s="183"/>
      <c r="FV465" s="183"/>
      <c r="FW465" s="183"/>
      <c r="FX465" s="183"/>
      <c r="FY465" s="183"/>
    </row>
    <row r="466" spans="1:181" ht="11.25" customHeight="1">
      <c r="A466" s="183"/>
      <c r="B466" s="183"/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  <c r="FE466" s="183"/>
      <c r="FF466" s="183"/>
      <c r="FG466" s="183"/>
      <c r="FH466" s="183"/>
      <c r="FI466" s="183"/>
      <c r="FJ466" s="183"/>
      <c r="FK466" s="183"/>
      <c r="FL466" s="183"/>
      <c r="FM466" s="183"/>
      <c r="FN466" s="183"/>
      <c r="FO466" s="183"/>
      <c r="FP466" s="183"/>
      <c r="FQ466" s="183"/>
      <c r="FR466" s="183"/>
      <c r="FS466" s="183"/>
      <c r="FT466" s="183"/>
      <c r="FU466" s="183"/>
      <c r="FV466" s="183"/>
      <c r="FW466" s="183"/>
      <c r="FX466" s="183"/>
      <c r="FY466" s="183"/>
    </row>
    <row r="467" spans="1:181" ht="11.25" customHeight="1">
      <c r="A467" s="183"/>
      <c r="B467" s="183"/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  <c r="FE467" s="183"/>
      <c r="FF467" s="183"/>
      <c r="FG467" s="183"/>
      <c r="FH467" s="183"/>
      <c r="FI467" s="183"/>
      <c r="FJ467" s="183"/>
      <c r="FK467" s="183"/>
      <c r="FL467" s="183"/>
      <c r="FM467" s="183"/>
      <c r="FN467" s="183"/>
      <c r="FO467" s="183"/>
      <c r="FP467" s="183"/>
      <c r="FQ467" s="183"/>
      <c r="FR467" s="183"/>
      <c r="FS467" s="183"/>
      <c r="FT467" s="183"/>
      <c r="FU467" s="183"/>
      <c r="FV467" s="183"/>
      <c r="FW467" s="183"/>
      <c r="FX467" s="183"/>
      <c r="FY467" s="183"/>
    </row>
    <row r="468" spans="1:181" ht="11.25" customHeight="1">
      <c r="A468" s="183"/>
      <c r="B468" s="183"/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  <c r="FE468" s="183"/>
      <c r="FF468" s="183"/>
      <c r="FG468" s="183"/>
      <c r="FH468" s="183"/>
      <c r="FI468" s="183"/>
      <c r="FJ468" s="183"/>
      <c r="FK468" s="183"/>
      <c r="FL468" s="183"/>
      <c r="FM468" s="183"/>
      <c r="FN468" s="183"/>
      <c r="FO468" s="183"/>
      <c r="FP468" s="183"/>
      <c r="FQ468" s="183"/>
      <c r="FR468" s="183"/>
      <c r="FS468" s="183"/>
      <c r="FT468" s="183"/>
      <c r="FU468" s="183"/>
      <c r="FV468" s="183"/>
      <c r="FW468" s="183"/>
      <c r="FX468" s="183"/>
      <c r="FY468" s="183"/>
    </row>
    <row r="469" spans="1:181" ht="11.25" customHeight="1">
      <c r="A469" s="183"/>
      <c r="B469" s="183"/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  <c r="FE469" s="183"/>
      <c r="FF469" s="183"/>
      <c r="FG469" s="183"/>
      <c r="FH469" s="183"/>
      <c r="FI469" s="183"/>
      <c r="FJ469" s="183"/>
      <c r="FK469" s="183"/>
      <c r="FL469" s="183"/>
      <c r="FM469" s="183"/>
      <c r="FN469" s="183"/>
      <c r="FO469" s="183"/>
      <c r="FP469" s="183"/>
      <c r="FQ469" s="183"/>
      <c r="FR469" s="183"/>
      <c r="FS469" s="183"/>
      <c r="FT469" s="183"/>
      <c r="FU469" s="183"/>
      <c r="FV469" s="183"/>
      <c r="FW469" s="183"/>
      <c r="FX469" s="183"/>
      <c r="FY469" s="183"/>
    </row>
    <row r="470" spans="1:181" ht="11.25" customHeight="1">
      <c r="A470" s="183"/>
      <c r="B470" s="183"/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  <c r="FE470" s="183"/>
      <c r="FF470" s="183"/>
      <c r="FG470" s="183"/>
      <c r="FH470" s="183"/>
      <c r="FI470" s="183"/>
      <c r="FJ470" s="183"/>
      <c r="FK470" s="183"/>
      <c r="FL470" s="183"/>
      <c r="FM470" s="183"/>
      <c r="FN470" s="183"/>
      <c r="FO470" s="183"/>
      <c r="FP470" s="183"/>
      <c r="FQ470" s="183"/>
      <c r="FR470" s="183"/>
      <c r="FS470" s="183"/>
      <c r="FT470" s="183"/>
      <c r="FU470" s="183"/>
      <c r="FV470" s="183"/>
      <c r="FW470" s="183"/>
      <c r="FX470" s="183"/>
      <c r="FY470" s="183"/>
    </row>
    <row r="471" spans="1:181" ht="11.25" customHeight="1">
      <c r="A471" s="183"/>
      <c r="B471" s="183"/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  <c r="FE471" s="183"/>
      <c r="FF471" s="183"/>
      <c r="FG471" s="183"/>
      <c r="FH471" s="183"/>
      <c r="FI471" s="183"/>
      <c r="FJ471" s="183"/>
      <c r="FK471" s="183"/>
      <c r="FL471" s="183"/>
      <c r="FM471" s="183"/>
      <c r="FN471" s="183"/>
      <c r="FO471" s="183"/>
      <c r="FP471" s="183"/>
      <c r="FQ471" s="183"/>
      <c r="FR471" s="183"/>
      <c r="FS471" s="183"/>
      <c r="FT471" s="183"/>
      <c r="FU471" s="183"/>
      <c r="FV471" s="183"/>
      <c r="FW471" s="183"/>
      <c r="FX471" s="183"/>
      <c r="FY471" s="183"/>
    </row>
    <row r="472" spans="1:181" ht="11.25" customHeight="1">
      <c r="A472" s="183"/>
      <c r="B472" s="183"/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  <c r="FE472" s="183"/>
      <c r="FF472" s="183"/>
      <c r="FG472" s="183"/>
      <c r="FH472" s="183"/>
      <c r="FI472" s="183"/>
      <c r="FJ472" s="183"/>
      <c r="FK472" s="183"/>
      <c r="FL472" s="183"/>
      <c r="FM472" s="183"/>
      <c r="FN472" s="183"/>
      <c r="FO472" s="183"/>
      <c r="FP472" s="183"/>
      <c r="FQ472" s="183"/>
      <c r="FR472" s="183"/>
      <c r="FS472" s="183"/>
      <c r="FT472" s="183"/>
      <c r="FU472" s="183"/>
      <c r="FV472" s="183"/>
      <c r="FW472" s="183"/>
      <c r="FX472" s="183"/>
      <c r="FY472" s="183"/>
    </row>
    <row r="473" spans="1:181" ht="11.25" customHeight="1">
      <c r="A473" s="183"/>
      <c r="B473" s="183"/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  <c r="FE473" s="183"/>
      <c r="FF473" s="183"/>
      <c r="FG473" s="183"/>
      <c r="FH473" s="183"/>
      <c r="FI473" s="183"/>
      <c r="FJ473" s="183"/>
      <c r="FK473" s="183"/>
      <c r="FL473" s="183"/>
      <c r="FM473" s="183"/>
      <c r="FN473" s="183"/>
      <c r="FO473" s="183"/>
      <c r="FP473" s="183"/>
      <c r="FQ473" s="183"/>
      <c r="FR473" s="183"/>
      <c r="FS473" s="183"/>
      <c r="FT473" s="183"/>
      <c r="FU473" s="183"/>
      <c r="FV473" s="183"/>
      <c r="FW473" s="183"/>
      <c r="FX473" s="183"/>
      <c r="FY473" s="183"/>
    </row>
    <row r="474" spans="1:181" ht="11.25" customHeight="1">
      <c r="A474" s="183"/>
      <c r="B474" s="183"/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  <c r="FE474" s="183"/>
      <c r="FF474" s="183"/>
      <c r="FG474" s="183"/>
      <c r="FH474" s="183"/>
      <c r="FI474" s="183"/>
      <c r="FJ474" s="183"/>
      <c r="FK474" s="183"/>
      <c r="FL474" s="183"/>
      <c r="FM474" s="183"/>
      <c r="FN474" s="183"/>
      <c r="FO474" s="183"/>
      <c r="FP474" s="183"/>
      <c r="FQ474" s="183"/>
      <c r="FR474" s="183"/>
      <c r="FS474" s="183"/>
      <c r="FT474" s="183"/>
      <c r="FU474" s="183"/>
      <c r="FV474" s="183"/>
      <c r="FW474" s="183"/>
      <c r="FX474" s="183"/>
      <c r="FY474" s="183"/>
    </row>
    <row r="475" spans="1:181" ht="11.25" customHeight="1">
      <c r="A475" s="183"/>
      <c r="B475" s="183"/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</row>
    <row r="476" spans="1:181" ht="11.25" customHeight="1">
      <c r="A476" s="183"/>
      <c r="B476" s="183"/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</row>
    <row r="477" spans="1:181" ht="11.25" customHeight="1">
      <c r="A477" s="183"/>
      <c r="B477" s="183"/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  <c r="FE477" s="183"/>
      <c r="FF477" s="183"/>
      <c r="FG477" s="183"/>
      <c r="FH477" s="183"/>
      <c r="FI477" s="183"/>
      <c r="FJ477" s="183"/>
      <c r="FK477" s="183"/>
      <c r="FL477" s="183"/>
      <c r="FM477" s="183"/>
      <c r="FN477" s="183"/>
      <c r="FO477" s="183"/>
      <c r="FP477" s="183"/>
      <c r="FQ477" s="183"/>
      <c r="FR477" s="183"/>
      <c r="FS477" s="183"/>
      <c r="FT477" s="183"/>
      <c r="FU477" s="183"/>
      <c r="FV477" s="183"/>
      <c r="FW477" s="183"/>
      <c r="FX477" s="183"/>
      <c r="FY477" s="183"/>
    </row>
    <row r="478" spans="1:181" ht="11.25" customHeight="1">
      <c r="A478" s="183"/>
      <c r="B478" s="183"/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  <c r="FE478" s="183"/>
      <c r="FF478" s="183"/>
      <c r="FG478" s="183"/>
      <c r="FH478" s="183"/>
      <c r="FI478" s="183"/>
      <c r="FJ478" s="183"/>
      <c r="FK478" s="183"/>
      <c r="FL478" s="183"/>
      <c r="FM478" s="183"/>
      <c r="FN478" s="183"/>
      <c r="FO478" s="183"/>
      <c r="FP478" s="183"/>
      <c r="FQ478" s="183"/>
      <c r="FR478" s="183"/>
      <c r="FS478" s="183"/>
      <c r="FT478" s="183"/>
      <c r="FU478" s="183"/>
      <c r="FV478" s="183"/>
      <c r="FW478" s="183"/>
      <c r="FX478" s="183"/>
      <c r="FY478" s="183"/>
    </row>
    <row r="479" spans="1:181" ht="11.25" customHeight="1">
      <c r="A479" s="183"/>
      <c r="B479" s="183"/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  <c r="FE479" s="183"/>
      <c r="FF479" s="183"/>
      <c r="FG479" s="183"/>
      <c r="FH479" s="183"/>
      <c r="FI479" s="183"/>
      <c r="FJ479" s="183"/>
      <c r="FK479" s="183"/>
      <c r="FL479" s="183"/>
      <c r="FM479" s="183"/>
      <c r="FN479" s="183"/>
      <c r="FO479" s="183"/>
      <c r="FP479" s="183"/>
      <c r="FQ479" s="183"/>
      <c r="FR479" s="183"/>
      <c r="FS479" s="183"/>
      <c r="FT479" s="183"/>
      <c r="FU479" s="183"/>
      <c r="FV479" s="183"/>
      <c r="FW479" s="183"/>
      <c r="FX479" s="183"/>
      <c r="FY479" s="183"/>
    </row>
    <row r="480" spans="1:181" ht="11.25" customHeight="1">
      <c r="A480" s="183"/>
      <c r="B480" s="183"/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  <c r="FE480" s="183"/>
      <c r="FF480" s="183"/>
      <c r="FG480" s="183"/>
      <c r="FH480" s="183"/>
      <c r="FI480" s="183"/>
      <c r="FJ480" s="183"/>
      <c r="FK480" s="183"/>
      <c r="FL480" s="183"/>
      <c r="FM480" s="183"/>
      <c r="FN480" s="183"/>
      <c r="FO480" s="183"/>
      <c r="FP480" s="183"/>
      <c r="FQ480" s="183"/>
      <c r="FR480" s="183"/>
      <c r="FS480" s="183"/>
      <c r="FT480" s="183"/>
      <c r="FU480" s="183"/>
      <c r="FV480" s="183"/>
      <c r="FW480" s="183"/>
      <c r="FX480" s="183"/>
      <c r="FY480" s="183"/>
    </row>
    <row r="481" spans="1:181" ht="11.25" customHeight="1">
      <c r="A481" s="183"/>
      <c r="B481" s="183"/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  <c r="FE481" s="183"/>
      <c r="FF481" s="183"/>
      <c r="FG481" s="183"/>
      <c r="FH481" s="183"/>
      <c r="FI481" s="183"/>
      <c r="FJ481" s="183"/>
      <c r="FK481" s="183"/>
      <c r="FL481" s="183"/>
      <c r="FM481" s="183"/>
      <c r="FN481" s="183"/>
      <c r="FO481" s="183"/>
      <c r="FP481" s="183"/>
      <c r="FQ481" s="183"/>
      <c r="FR481" s="183"/>
      <c r="FS481" s="183"/>
      <c r="FT481" s="183"/>
      <c r="FU481" s="183"/>
      <c r="FV481" s="183"/>
      <c r="FW481" s="183"/>
      <c r="FX481" s="183"/>
      <c r="FY481" s="183"/>
    </row>
    <row r="482" spans="1:181" ht="11.25" customHeight="1">
      <c r="A482" s="183"/>
      <c r="B482" s="183"/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  <c r="FE482" s="183"/>
      <c r="FF482" s="183"/>
      <c r="FG482" s="183"/>
      <c r="FH482" s="183"/>
      <c r="FI482" s="183"/>
      <c r="FJ482" s="183"/>
      <c r="FK482" s="183"/>
      <c r="FL482" s="183"/>
      <c r="FM482" s="183"/>
      <c r="FN482" s="183"/>
      <c r="FO482" s="183"/>
      <c r="FP482" s="183"/>
      <c r="FQ482" s="183"/>
      <c r="FR482" s="183"/>
      <c r="FS482" s="183"/>
      <c r="FT482" s="183"/>
      <c r="FU482" s="183"/>
      <c r="FV482" s="183"/>
      <c r="FW482" s="183"/>
      <c r="FX482" s="183"/>
      <c r="FY482" s="183"/>
    </row>
    <row r="483" spans="1:181" ht="11.25" customHeight="1">
      <c r="A483" s="183"/>
      <c r="B483" s="183"/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  <c r="FE483" s="183"/>
      <c r="FF483" s="183"/>
      <c r="FG483" s="183"/>
      <c r="FH483" s="183"/>
      <c r="FI483" s="183"/>
      <c r="FJ483" s="183"/>
      <c r="FK483" s="183"/>
      <c r="FL483" s="183"/>
      <c r="FM483" s="183"/>
      <c r="FN483" s="183"/>
      <c r="FO483" s="183"/>
      <c r="FP483" s="183"/>
      <c r="FQ483" s="183"/>
      <c r="FR483" s="183"/>
      <c r="FS483" s="183"/>
      <c r="FT483" s="183"/>
      <c r="FU483" s="183"/>
      <c r="FV483" s="183"/>
      <c r="FW483" s="183"/>
      <c r="FX483" s="183"/>
      <c r="FY483" s="183"/>
    </row>
    <row r="484" spans="1:181" ht="11.25" customHeight="1">
      <c r="A484" s="183"/>
      <c r="B484" s="183"/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  <c r="FE484" s="183"/>
      <c r="FF484" s="183"/>
      <c r="FG484" s="183"/>
      <c r="FH484" s="183"/>
      <c r="FI484" s="183"/>
      <c r="FJ484" s="183"/>
      <c r="FK484" s="183"/>
      <c r="FL484" s="183"/>
      <c r="FM484" s="183"/>
      <c r="FN484" s="183"/>
      <c r="FO484" s="183"/>
      <c r="FP484" s="183"/>
      <c r="FQ484" s="183"/>
      <c r="FR484" s="183"/>
      <c r="FS484" s="183"/>
      <c r="FT484" s="183"/>
      <c r="FU484" s="183"/>
      <c r="FV484" s="183"/>
      <c r="FW484" s="183"/>
      <c r="FX484" s="183"/>
      <c r="FY484" s="183"/>
    </row>
    <row r="485" spans="1:181" ht="11.25" customHeight="1">
      <c r="A485" s="183"/>
      <c r="B485" s="183"/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  <c r="FE485" s="183"/>
      <c r="FF485" s="183"/>
      <c r="FG485" s="183"/>
      <c r="FH485" s="183"/>
      <c r="FI485" s="183"/>
      <c r="FJ485" s="183"/>
      <c r="FK485" s="183"/>
      <c r="FL485" s="183"/>
      <c r="FM485" s="183"/>
      <c r="FN485" s="183"/>
      <c r="FO485" s="183"/>
      <c r="FP485" s="183"/>
      <c r="FQ485" s="183"/>
      <c r="FR485" s="183"/>
      <c r="FS485" s="183"/>
      <c r="FT485" s="183"/>
      <c r="FU485" s="183"/>
      <c r="FV485" s="183"/>
      <c r="FW485" s="183"/>
      <c r="FX485" s="183"/>
      <c r="FY485" s="183"/>
    </row>
    <row r="486" spans="1:181" ht="11.25" customHeight="1">
      <c r="A486" s="183"/>
      <c r="B486" s="183"/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  <c r="FE486" s="183"/>
      <c r="FF486" s="183"/>
      <c r="FG486" s="183"/>
      <c r="FH486" s="183"/>
      <c r="FI486" s="183"/>
      <c r="FJ486" s="183"/>
      <c r="FK486" s="183"/>
      <c r="FL486" s="183"/>
      <c r="FM486" s="183"/>
      <c r="FN486" s="183"/>
      <c r="FO486" s="183"/>
      <c r="FP486" s="183"/>
      <c r="FQ486" s="183"/>
      <c r="FR486" s="183"/>
      <c r="FS486" s="183"/>
      <c r="FT486" s="183"/>
      <c r="FU486" s="183"/>
      <c r="FV486" s="183"/>
      <c r="FW486" s="183"/>
      <c r="FX486" s="183"/>
      <c r="FY486" s="183"/>
    </row>
    <row r="487" spans="1:181" ht="11.25" customHeight="1">
      <c r="A487" s="183"/>
      <c r="B487" s="183"/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  <c r="FE487" s="183"/>
      <c r="FF487" s="183"/>
      <c r="FG487" s="183"/>
      <c r="FH487" s="183"/>
      <c r="FI487" s="183"/>
      <c r="FJ487" s="183"/>
      <c r="FK487" s="183"/>
      <c r="FL487" s="183"/>
      <c r="FM487" s="183"/>
      <c r="FN487" s="183"/>
      <c r="FO487" s="183"/>
      <c r="FP487" s="183"/>
      <c r="FQ487" s="183"/>
      <c r="FR487" s="183"/>
      <c r="FS487" s="183"/>
      <c r="FT487" s="183"/>
      <c r="FU487" s="183"/>
      <c r="FV487" s="183"/>
      <c r="FW487" s="183"/>
      <c r="FX487" s="183"/>
      <c r="FY487" s="183"/>
    </row>
    <row r="488" spans="1:181" ht="11.25" customHeight="1">
      <c r="A488" s="183"/>
      <c r="B488" s="183"/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  <c r="FE488" s="183"/>
      <c r="FF488" s="183"/>
      <c r="FG488" s="183"/>
      <c r="FH488" s="183"/>
      <c r="FI488" s="183"/>
      <c r="FJ488" s="183"/>
      <c r="FK488" s="183"/>
      <c r="FL488" s="183"/>
      <c r="FM488" s="183"/>
      <c r="FN488" s="183"/>
      <c r="FO488" s="183"/>
      <c r="FP488" s="183"/>
      <c r="FQ488" s="183"/>
      <c r="FR488" s="183"/>
      <c r="FS488" s="183"/>
      <c r="FT488" s="183"/>
      <c r="FU488" s="183"/>
      <c r="FV488" s="183"/>
      <c r="FW488" s="183"/>
      <c r="FX488" s="183"/>
      <c r="FY488" s="183"/>
    </row>
    <row r="489" spans="1:181" ht="11.25" customHeight="1">
      <c r="A489" s="183"/>
      <c r="B489" s="183"/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  <c r="FE489" s="183"/>
      <c r="FF489" s="183"/>
      <c r="FG489" s="183"/>
      <c r="FH489" s="183"/>
      <c r="FI489" s="183"/>
      <c r="FJ489" s="183"/>
      <c r="FK489" s="183"/>
      <c r="FL489" s="183"/>
      <c r="FM489" s="183"/>
      <c r="FN489" s="183"/>
      <c r="FO489" s="183"/>
      <c r="FP489" s="183"/>
      <c r="FQ489" s="183"/>
      <c r="FR489" s="183"/>
      <c r="FS489" s="183"/>
      <c r="FT489" s="183"/>
      <c r="FU489" s="183"/>
      <c r="FV489" s="183"/>
      <c r="FW489" s="183"/>
      <c r="FX489" s="183"/>
      <c r="FY489" s="183"/>
    </row>
    <row r="490" spans="1:181" ht="11.25" customHeight="1">
      <c r="A490" s="183"/>
      <c r="B490" s="183"/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  <c r="FE490" s="183"/>
      <c r="FF490" s="183"/>
      <c r="FG490" s="183"/>
      <c r="FH490" s="183"/>
      <c r="FI490" s="183"/>
      <c r="FJ490" s="183"/>
      <c r="FK490" s="183"/>
      <c r="FL490" s="183"/>
      <c r="FM490" s="183"/>
      <c r="FN490" s="183"/>
      <c r="FO490" s="183"/>
      <c r="FP490" s="183"/>
      <c r="FQ490" s="183"/>
      <c r="FR490" s="183"/>
      <c r="FS490" s="183"/>
      <c r="FT490" s="183"/>
      <c r="FU490" s="183"/>
      <c r="FV490" s="183"/>
      <c r="FW490" s="183"/>
      <c r="FX490" s="183"/>
      <c r="FY490" s="183"/>
    </row>
    <row r="491" spans="1:181" ht="11.25" customHeight="1">
      <c r="A491" s="183"/>
      <c r="B491" s="183"/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  <c r="FE491" s="183"/>
      <c r="FF491" s="183"/>
      <c r="FG491" s="183"/>
      <c r="FH491" s="183"/>
      <c r="FI491" s="183"/>
      <c r="FJ491" s="183"/>
      <c r="FK491" s="183"/>
      <c r="FL491" s="183"/>
      <c r="FM491" s="183"/>
      <c r="FN491" s="183"/>
      <c r="FO491" s="183"/>
      <c r="FP491" s="183"/>
      <c r="FQ491" s="183"/>
      <c r="FR491" s="183"/>
      <c r="FS491" s="183"/>
      <c r="FT491" s="183"/>
      <c r="FU491" s="183"/>
      <c r="FV491" s="183"/>
      <c r="FW491" s="183"/>
      <c r="FX491" s="183"/>
      <c r="FY491" s="183"/>
    </row>
    <row r="492" spans="1:181" ht="11.25" customHeight="1">
      <c r="A492" s="183"/>
      <c r="B492" s="183"/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  <c r="FE492" s="183"/>
      <c r="FF492" s="183"/>
      <c r="FG492" s="183"/>
      <c r="FH492" s="183"/>
      <c r="FI492" s="183"/>
      <c r="FJ492" s="183"/>
      <c r="FK492" s="183"/>
      <c r="FL492" s="183"/>
      <c r="FM492" s="183"/>
      <c r="FN492" s="183"/>
      <c r="FO492" s="183"/>
      <c r="FP492" s="183"/>
      <c r="FQ492" s="183"/>
      <c r="FR492" s="183"/>
      <c r="FS492" s="183"/>
      <c r="FT492" s="183"/>
      <c r="FU492" s="183"/>
      <c r="FV492" s="183"/>
      <c r="FW492" s="183"/>
      <c r="FX492" s="183"/>
      <c r="FY492" s="183"/>
    </row>
    <row r="493" spans="1:181" ht="11.25" customHeight="1">
      <c r="A493" s="183"/>
      <c r="B493" s="183"/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  <c r="FE493" s="183"/>
      <c r="FF493" s="183"/>
      <c r="FG493" s="183"/>
      <c r="FH493" s="183"/>
      <c r="FI493" s="183"/>
      <c r="FJ493" s="183"/>
      <c r="FK493" s="183"/>
      <c r="FL493" s="183"/>
      <c r="FM493" s="183"/>
      <c r="FN493" s="183"/>
      <c r="FO493" s="183"/>
      <c r="FP493" s="183"/>
      <c r="FQ493" s="183"/>
      <c r="FR493" s="183"/>
      <c r="FS493" s="183"/>
      <c r="FT493" s="183"/>
      <c r="FU493" s="183"/>
      <c r="FV493" s="183"/>
      <c r="FW493" s="183"/>
      <c r="FX493" s="183"/>
      <c r="FY493" s="183"/>
    </row>
    <row r="494" spans="1:181" ht="11.25" customHeight="1">
      <c r="A494" s="183"/>
      <c r="B494" s="183"/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</row>
    <row r="495" spans="1:181" ht="11.25" customHeight="1">
      <c r="A495" s="183"/>
      <c r="B495" s="183"/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  <c r="FE495" s="183"/>
      <c r="FF495" s="183"/>
      <c r="FG495" s="183"/>
      <c r="FH495" s="183"/>
      <c r="FI495" s="183"/>
      <c r="FJ495" s="183"/>
      <c r="FK495" s="183"/>
      <c r="FL495" s="183"/>
      <c r="FM495" s="183"/>
      <c r="FN495" s="183"/>
      <c r="FO495" s="183"/>
      <c r="FP495" s="183"/>
      <c r="FQ495" s="183"/>
      <c r="FR495" s="183"/>
      <c r="FS495" s="183"/>
      <c r="FT495" s="183"/>
      <c r="FU495" s="183"/>
      <c r="FV495" s="183"/>
      <c r="FW495" s="183"/>
      <c r="FX495" s="183"/>
      <c r="FY495" s="183"/>
    </row>
    <row r="496" spans="1:181" ht="11.25" customHeight="1">
      <c r="A496" s="183"/>
      <c r="B496" s="183"/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  <c r="FE496" s="183"/>
      <c r="FF496" s="183"/>
      <c r="FG496" s="183"/>
      <c r="FH496" s="183"/>
      <c r="FI496" s="183"/>
      <c r="FJ496" s="183"/>
      <c r="FK496" s="183"/>
      <c r="FL496" s="183"/>
      <c r="FM496" s="183"/>
      <c r="FN496" s="183"/>
      <c r="FO496" s="183"/>
      <c r="FP496" s="183"/>
      <c r="FQ496" s="183"/>
      <c r="FR496" s="183"/>
      <c r="FS496" s="183"/>
      <c r="FT496" s="183"/>
      <c r="FU496" s="183"/>
      <c r="FV496" s="183"/>
      <c r="FW496" s="183"/>
      <c r="FX496" s="183"/>
      <c r="FY496" s="183"/>
    </row>
    <row r="497" spans="1:181" ht="11.25" customHeight="1">
      <c r="A497" s="183"/>
      <c r="B497" s="183"/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  <c r="FE497" s="183"/>
      <c r="FF497" s="183"/>
      <c r="FG497" s="183"/>
      <c r="FH497" s="183"/>
      <c r="FI497" s="183"/>
      <c r="FJ497" s="183"/>
      <c r="FK497" s="183"/>
      <c r="FL497" s="183"/>
      <c r="FM497" s="183"/>
      <c r="FN497" s="183"/>
      <c r="FO497" s="183"/>
      <c r="FP497" s="183"/>
      <c r="FQ497" s="183"/>
      <c r="FR497" s="183"/>
      <c r="FS497" s="183"/>
      <c r="FT497" s="183"/>
      <c r="FU497" s="183"/>
      <c r="FV497" s="183"/>
      <c r="FW497" s="183"/>
      <c r="FX497" s="183"/>
      <c r="FY497" s="183"/>
    </row>
    <row r="498" spans="1:181" ht="11.25" customHeight="1">
      <c r="A498" s="183"/>
      <c r="B498" s="183"/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  <c r="FE498" s="183"/>
      <c r="FF498" s="183"/>
      <c r="FG498" s="183"/>
      <c r="FH498" s="183"/>
      <c r="FI498" s="183"/>
      <c r="FJ498" s="183"/>
      <c r="FK498" s="183"/>
      <c r="FL498" s="183"/>
      <c r="FM498" s="183"/>
      <c r="FN498" s="183"/>
      <c r="FO498" s="183"/>
      <c r="FP498" s="183"/>
      <c r="FQ498" s="183"/>
      <c r="FR498" s="183"/>
      <c r="FS498" s="183"/>
      <c r="FT498" s="183"/>
      <c r="FU498" s="183"/>
      <c r="FV498" s="183"/>
      <c r="FW498" s="183"/>
      <c r="FX498" s="183"/>
      <c r="FY498" s="183"/>
    </row>
    <row r="499" spans="1:181" ht="11.25" customHeight="1">
      <c r="A499" s="183"/>
      <c r="B499" s="183"/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  <c r="FE499" s="183"/>
      <c r="FF499" s="183"/>
      <c r="FG499" s="183"/>
      <c r="FH499" s="183"/>
      <c r="FI499" s="183"/>
      <c r="FJ499" s="183"/>
      <c r="FK499" s="183"/>
      <c r="FL499" s="183"/>
      <c r="FM499" s="183"/>
      <c r="FN499" s="183"/>
      <c r="FO499" s="183"/>
      <c r="FP499" s="183"/>
      <c r="FQ499" s="183"/>
      <c r="FR499" s="183"/>
      <c r="FS499" s="183"/>
      <c r="FT499" s="183"/>
      <c r="FU499" s="183"/>
      <c r="FV499" s="183"/>
      <c r="FW499" s="183"/>
      <c r="FX499" s="183"/>
      <c r="FY499" s="183"/>
    </row>
    <row r="500" spans="1:181" ht="11.25" customHeight="1">
      <c r="A500" s="183"/>
      <c r="B500" s="183"/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  <c r="FE500" s="183"/>
      <c r="FF500" s="183"/>
      <c r="FG500" s="183"/>
      <c r="FH500" s="183"/>
      <c r="FI500" s="183"/>
      <c r="FJ500" s="183"/>
      <c r="FK500" s="183"/>
      <c r="FL500" s="183"/>
      <c r="FM500" s="183"/>
      <c r="FN500" s="183"/>
      <c r="FO500" s="183"/>
      <c r="FP500" s="183"/>
      <c r="FQ500" s="183"/>
      <c r="FR500" s="183"/>
      <c r="FS500" s="183"/>
      <c r="FT500" s="183"/>
      <c r="FU500" s="183"/>
      <c r="FV500" s="183"/>
      <c r="FW500" s="183"/>
      <c r="FX500" s="183"/>
      <c r="FY500" s="183"/>
    </row>
    <row r="501" spans="1:181" ht="11.25" customHeight="1">
      <c r="A501" s="183"/>
      <c r="B501" s="183"/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  <c r="FE501" s="183"/>
      <c r="FF501" s="183"/>
      <c r="FG501" s="183"/>
      <c r="FH501" s="183"/>
      <c r="FI501" s="183"/>
      <c r="FJ501" s="183"/>
      <c r="FK501" s="183"/>
      <c r="FL501" s="183"/>
      <c r="FM501" s="183"/>
      <c r="FN501" s="183"/>
      <c r="FO501" s="183"/>
      <c r="FP501" s="183"/>
      <c r="FQ501" s="183"/>
      <c r="FR501" s="183"/>
      <c r="FS501" s="183"/>
      <c r="FT501" s="183"/>
      <c r="FU501" s="183"/>
      <c r="FV501" s="183"/>
      <c r="FW501" s="183"/>
      <c r="FX501" s="183"/>
      <c r="FY501" s="183"/>
    </row>
    <row r="502" spans="1:181" ht="11.25" customHeight="1">
      <c r="A502" s="183"/>
      <c r="B502" s="183"/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  <c r="FE502" s="183"/>
      <c r="FF502" s="183"/>
      <c r="FG502" s="183"/>
      <c r="FH502" s="183"/>
      <c r="FI502" s="183"/>
      <c r="FJ502" s="183"/>
      <c r="FK502" s="183"/>
      <c r="FL502" s="183"/>
      <c r="FM502" s="183"/>
      <c r="FN502" s="183"/>
      <c r="FO502" s="183"/>
      <c r="FP502" s="183"/>
      <c r="FQ502" s="183"/>
      <c r="FR502" s="183"/>
      <c r="FS502" s="183"/>
      <c r="FT502" s="183"/>
      <c r="FU502" s="183"/>
      <c r="FV502" s="183"/>
      <c r="FW502" s="183"/>
      <c r="FX502" s="183"/>
      <c r="FY502" s="183"/>
    </row>
    <row r="503" spans="1:181" ht="11.25" customHeight="1">
      <c r="A503" s="183"/>
      <c r="B503" s="183"/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  <c r="FE503" s="183"/>
      <c r="FF503" s="183"/>
      <c r="FG503" s="183"/>
      <c r="FH503" s="183"/>
      <c r="FI503" s="183"/>
      <c r="FJ503" s="183"/>
      <c r="FK503" s="183"/>
      <c r="FL503" s="183"/>
      <c r="FM503" s="183"/>
      <c r="FN503" s="183"/>
      <c r="FO503" s="183"/>
      <c r="FP503" s="183"/>
      <c r="FQ503" s="183"/>
      <c r="FR503" s="183"/>
      <c r="FS503" s="183"/>
      <c r="FT503" s="183"/>
      <c r="FU503" s="183"/>
      <c r="FV503" s="183"/>
      <c r="FW503" s="183"/>
      <c r="FX503" s="183"/>
      <c r="FY503" s="183"/>
    </row>
    <row r="504" spans="1:181" ht="11.25" customHeight="1">
      <c r="A504" s="183"/>
      <c r="B504" s="183"/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  <c r="FE504" s="183"/>
      <c r="FF504" s="183"/>
      <c r="FG504" s="183"/>
      <c r="FH504" s="183"/>
      <c r="FI504" s="183"/>
      <c r="FJ504" s="183"/>
      <c r="FK504" s="183"/>
      <c r="FL504" s="183"/>
      <c r="FM504" s="183"/>
      <c r="FN504" s="183"/>
      <c r="FO504" s="183"/>
      <c r="FP504" s="183"/>
      <c r="FQ504" s="183"/>
      <c r="FR504" s="183"/>
      <c r="FS504" s="183"/>
      <c r="FT504" s="183"/>
      <c r="FU504" s="183"/>
      <c r="FV504" s="183"/>
      <c r="FW504" s="183"/>
      <c r="FX504" s="183"/>
      <c r="FY504" s="183"/>
    </row>
    <row r="505" spans="1:181" ht="11.25" customHeight="1">
      <c r="A505" s="183"/>
      <c r="B505" s="183"/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</row>
    <row r="506" spans="1:181" ht="11.25" customHeight="1">
      <c r="A506" s="183"/>
      <c r="B506" s="183"/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</row>
    <row r="507" spans="1:181" ht="11.25" customHeight="1">
      <c r="A507" s="183"/>
      <c r="B507" s="183"/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  <c r="FE507" s="183"/>
      <c r="FF507" s="183"/>
      <c r="FG507" s="183"/>
      <c r="FH507" s="183"/>
      <c r="FI507" s="183"/>
      <c r="FJ507" s="183"/>
      <c r="FK507" s="183"/>
      <c r="FL507" s="183"/>
      <c r="FM507" s="183"/>
      <c r="FN507" s="183"/>
      <c r="FO507" s="183"/>
      <c r="FP507" s="183"/>
      <c r="FQ507" s="183"/>
      <c r="FR507" s="183"/>
      <c r="FS507" s="183"/>
      <c r="FT507" s="183"/>
      <c r="FU507" s="183"/>
      <c r="FV507" s="183"/>
      <c r="FW507" s="183"/>
      <c r="FX507" s="183"/>
      <c r="FY507" s="183"/>
    </row>
    <row r="508" spans="1:181" ht="11.25" customHeight="1">
      <c r="A508" s="183"/>
      <c r="B508" s="183"/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  <c r="FE508" s="183"/>
      <c r="FF508" s="183"/>
      <c r="FG508" s="183"/>
      <c r="FH508" s="183"/>
      <c r="FI508" s="183"/>
      <c r="FJ508" s="183"/>
      <c r="FK508" s="183"/>
      <c r="FL508" s="183"/>
      <c r="FM508" s="183"/>
      <c r="FN508" s="183"/>
      <c r="FO508" s="183"/>
      <c r="FP508" s="183"/>
      <c r="FQ508" s="183"/>
      <c r="FR508" s="183"/>
      <c r="FS508" s="183"/>
      <c r="FT508" s="183"/>
      <c r="FU508" s="183"/>
      <c r="FV508" s="183"/>
      <c r="FW508" s="183"/>
      <c r="FX508" s="183"/>
      <c r="FY508" s="183"/>
    </row>
    <row r="509" spans="1:181" ht="11.25" customHeight="1">
      <c r="A509" s="183"/>
      <c r="B509" s="183"/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  <c r="FE509" s="183"/>
      <c r="FF509" s="183"/>
      <c r="FG509" s="183"/>
      <c r="FH509" s="183"/>
      <c r="FI509" s="183"/>
      <c r="FJ509" s="183"/>
      <c r="FK509" s="183"/>
      <c r="FL509" s="183"/>
      <c r="FM509" s="183"/>
      <c r="FN509" s="183"/>
      <c r="FO509" s="183"/>
      <c r="FP509" s="183"/>
      <c r="FQ509" s="183"/>
      <c r="FR509" s="183"/>
      <c r="FS509" s="183"/>
      <c r="FT509" s="183"/>
      <c r="FU509" s="183"/>
      <c r="FV509" s="183"/>
      <c r="FW509" s="183"/>
      <c r="FX509" s="183"/>
      <c r="FY509" s="183"/>
    </row>
    <row r="510" spans="1:181" ht="11.25" customHeight="1">
      <c r="A510" s="183"/>
      <c r="B510" s="183"/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  <c r="FE510" s="183"/>
      <c r="FF510" s="183"/>
      <c r="FG510" s="183"/>
      <c r="FH510" s="183"/>
      <c r="FI510" s="183"/>
      <c r="FJ510" s="183"/>
      <c r="FK510" s="183"/>
      <c r="FL510" s="183"/>
      <c r="FM510" s="183"/>
      <c r="FN510" s="183"/>
      <c r="FO510" s="183"/>
      <c r="FP510" s="183"/>
      <c r="FQ510" s="183"/>
      <c r="FR510" s="183"/>
      <c r="FS510" s="183"/>
      <c r="FT510" s="183"/>
      <c r="FU510" s="183"/>
      <c r="FV510" s="183"/>
      <c r="FW510" s="183"/>
      <c r="FX510" s="183"/>
      <c r="FY510" s="183"/>
    </row>
    <row r="511" spans="1:181" ht="11.25" customHeight="1">
      <c r="A511" s="183"/>
      <c r="B511" s="183"/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  <c r="FE511" s="183"/>
      <c r="FF511" s="183"/>
      <c r="FG511" s="183"/>
      <c r="FH511" s="183"/>
      <c r="FI511" s="183"/>
      <c r="FJ511" s="183"/>
      <c r="FK511" s="183"/>
      <c r="FL511" s="183"/>
      <c r="FM511" s="183"/>
      <c r="FN511" s="183"/>
      <c r="FO511" s="183"/>
      <c r="FP511" s="183"/>
      <c r="FQ511" s="183"/>
      <c r="FR511" s="183"/>
      <c r="FS511" s="183"/>
      <c r="FT511" s="183"/>
      <c r="FU511" s="183"/>
      <c r="FV511" s="183"/>
      <c r="FW511" s="183"/>
      <c r="FX511" s="183"/>
      <c r="FY511" s="183"/>
    </row>
    <row r="512" spans="1:181" ht="11.25" customHeight="1">
      <c r="A512" s="183"/>
      <c r="B512" s="183"/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  <c r="FE512" s="183"/>
      <c r="FF512" s="183"/>
      <c r="FG512" s="183"/>
      <c r="FH512" s="183"/>
      <c r="FI512" s="183"/>
      <c r="FJ512" s="183"/>
      <c r="FK512" s="183"/>
      <c r="FL512" s="183"/>
      <c r="FM512" s="183"/>
      <c r="FN512" s="183"/>
      <c r="FO512" s="183"/>
      <c r="FP512" s="183"/>
      <c r="FQ512" s="183"/>
      <c r="FR512" s="183"/>
      <c r="FS512" s="183"/>
      <c r="FT512" s="183"/>
      <c r="FU512" s="183"/>
      <c r="FV512" s="183"/>
      <c r="FW512" s="183"/>
      <c r="FX512" s="183"/>
      <c r="FY512" s="183"/>
    </row>
    <row r="513" spans="1:181" ht="11.25" customHeight="1">
      <c r="A513" s="183"/>
      <c r="B513" s="183"/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  <c r="FE513" s="183"/>
      <c r="FF513" s="183"/>
      <c r="FG513" s="183"/>
      <c r="FH513" s="183"/>
      <c r="FI513" s="183"/>
      <c r="FJ513" s="183"/>
      <c r="FK513" s="183"/>
      <c r="FL513" s="183"/>
      <c r="FM513" s="183"/>
      <c r="FN513" s="183"/>
      <c r="FO513" s="183"/>
      <c r="FP513" s="183"/>
      <c r="FQ513" s="183"/>
      <c r="FR513" s="183"/>
      <c r="FS513" s="183"/>
      <c r="FT513" s="183"/>
      <c r="FU513" s="183"/>
      <c r="FV513" s="183"/>
      <c r="FW513" s="183"/>
      <c r="FX513" s="183"/>
      <c r="FY513" s="183"/>
    </row>
    <row r="514" spans="1:181" ht="11.25" customHeight="1">
      <c r="A514" s="183"/>
      <c r="B514" s="183"/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  <c r="FE514" s="183"/>
      <c r="FF514" s="183"/>
      <c r="FG514" s="183"/>
      <c r="FH514" s="183"/>
      <c r="FI514" s="183"/>
      <c r="FJ514" s="183"/>
      <c r="FK514" s="183"/>
      <c r="FL514" s="183"/>
      <c r="FM514" s="183"/>
      <c r="FN514" s="183"/>
      <c r="FO514" s="183"/>
      <c r="FP514" s="183"/>
      <c r="FQ514" s="183"/>
      <c r="FR514" s="183"/>
      <c r="FS514" s="183"/>
      <c r="FT514" s="183"/>
      <c r="FU514" s="183"/>
      <c r="FV514" s="183"/>
      <c r="FW514" s="183"/>
      <c r="FX514" s="183"/>
      <c r="FY514" s="183"/>
    </row>
    <row r="515" spans="1:181" ht="11.25" customHeight="1">
      <c r="A515" s="183"/>
      <c r="B515" s="183"/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  <c r="FE515" s="183"/>
      <c r="FF515" s="183"/>
      <c r="FG515" s="183"/>
      <c r="FH515" s="183"/>
      <c r="FI515" s="183"/>
      <c r="FJ515" s="183"/>
      <c r="FK515" s="183"/>
      <c r="FL515" s="183"/>
      <c r="FM515" s="183"/>
      <c r="FN515" s="183"/>
      <c r="FO515" s="183"/>
      <c r="FP515" s="183"/>
      <c r="FQ515" s="183"/>
      <c r="FR515" s="183"/>
      <c r="FS515" s="183"/>
      <c r="FT515" s="183"/>
      <c r="FU515" s="183"/>
      <c r="FV515" s="183"/>
      <c r="FW515" s="183"/>
      <c r="FX515" s="183"/>
      <c r="FY515" s="183"/>
    </row>
    <row r="516" spans="1:181" ht="11.25" customHeight="1">
      <c r="A516" s="183"/>
      <c r="B516" s="183"/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  <c r="FE516" s="183"/>
      <c r="FF516" s="183"/>
      <c r="FG516" s="183"/>
      <c r="FH516" s="183"/>
      <c r="FI516" s="183"/>
      <c r="FJ516" s="183"/>
      <c r="FK516" s="183"/>
      <c r="FL516" s="183"/>
      <c r="FM516" s="183"/>
      <c r="FN516" s="183"/>
      <c r="FO516" s="183"/>
      <c r="FP516" s="183"/>
      <c r="FQ516" s="183"/>
      <c r="FR516" s="183"/>
      <c r="FS516" s="183"/>
      <c r="FT516" s="183"/>
      <c r="FU516" s="183"/>
      <c r="FV516" s="183"/>
      <c r="FW516" s="183"/>
      <c r="FX516" s="183"/>
      <c r="FY516" s="183"/>
    </row>
    <row r="517" spans="1:181" ht="11.25" customHeight="1">
      <c r="A517" s="183"/>
      <c r="B517" s="183"/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  <c r="FE517" s="183"/>
      <c r="FF517" s="183"/>
      <c r="FG517" s="183"/>
      <c r="FH517" s="183"/>
      <c r="FI517" s="183"/>
      <c r="FJ517" s="183"/>
      <c r="FK517" s="183"/>
      <c r="FL517" s="183"/>
      <c r="FM517" s="183"/>
      <c r="FN517" s="183"/>
      <c r="FO517" s="183"/>
      <c r="FP517" s="183"/>
      <c r="FQ517" s="183"/>
      <c r="FR517" s="183"/>
      <c r="FS517" s="183"/>
      <c r="FT517" s="183"/>
      <c r="FU517" s="183"/>
      <c r="FV517" s="183"/>
      <c r="FW517" s="183"/>
      <c r="FX517" s="183"/>
      <c r="FY517" s="183"/>
    </row>
    <row r="518" spans="1:181" ht="11.25" customHeight="1">
      <c r="A518" s="183"/>
      <c r="B518" s="183"/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</row>
    <row r="519" spans="1:181" ht="11.25" customHeight="1">
      <c r="A519" s="183"/>
      <c r="B519" s="183"/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</row>
    <row r="520" spans="1:181" ht="11.25" customHeight="1">
      <c r="A520" s="183"/>
      <c r="B520" s="183"/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  <c r="FE520" s="183"/>
      <c r="FF520" s="183"/>
      <c r="FG520" s="183"/>
      <c r="FH520" s="183"/>
      <c r="FI520" s="183"/>
      <c r="FJ520" s="183"/>
      <c r="FK520" s="183"/>
      <c r="FL520" s="183"/>
      <c r="FM520" s="183"/>
      <c r="FN520" s="183"/>
      <c r="FO520" s="183"/>
      <c r="FP520" s="183"/>
      <c r="FQ520" s="183"/>
      <c r="FR520" s="183"/>
      <c r="FS520" s="183"/>
      <c r="FT520" s="183"/>
      <c r="FU520" s="183"/>
      <c r="FV520" s="183"/>
      <c r="FW520" s="183"/>
      <c r="FX520" s="183"/>
      <c r="FY520" s="183"/>
    </row>
    <row r="521" spans="1:181" ht="11.25" customHeight="1">
      <c r="A521" s="183"/>
      <c r="B521" s="183"/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  <c r="FE521" s="183"/>
      <c r="FF521" s="183"/>
      <c r="FG521" s="183"/>
      <c r="FH521" s="183"/>
      <c r="FI521" s="183"/>
      <c r="FJ521" s="183"/>
      <c r="FK521" s="183"/>
      <c r="FL521" s="183"/>
      <c r="FM521" s="183"/>
      <c r="FN521" s="183"/>
      <c r="FO521" s="183"/>
      <c r="FP521" s="183"/>
      <c r="FQ521" s="183"/>
      <c r="FR521" s="183"/>
      <c r="FS521" s="183"/>
      <c r="FT521" s="183"/>
      <c r="FU521" s="183"/>
      <c r="FV521" s="183"/>
      <c r="FW521" s="183"/>
      <c r="FX521" s="183"/>
      <c r="FY521" s="183"/>
    </row>
    <row r="522" spans="1:181" ht="11.25" customHeight="1">
      <c r="A522" s="183"/>
      <c r="B522" s="183"/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  <c r="FE522" s="183"/>
      <c r="FF522" s="183"/>
      <c r="FG522" s="183"/>
      <c r="FH522" s="183"/>
      <c r="FI522" s="183"/>
      <c r="FJ522" s="183"/>
      <c r="FK522" s="183"/>
      <c r="FL522" s="183"/>
      <c r="FM522" s="183"/>
      <c r="FN522" s="183"/>
      <c r="FO522" s="183"/>
      <c r="FP522" s="183"/>
      <c r="FQ522" s="183"/>
      <c r="FR522" s="183"/>
      <c r="FS522" s="183"/>
      <c r="FT522" s="183"/>
      <c r="FU522" s="183"/>
      <c r="FV522" s="183"/>
      <c r="FW522" s="183"/>
      <c r="FX522" s="183"/>
      <c r="FY522" s="183"/>
    </row>
    <row r="523" spans="1:181" ht="11.25" customHeight="1">
      <c r="A523" s="183"/>
      <c r="B523" s="183"/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  <c r="FE523" s="183"/>
      <c r="FF523" s="183"/>
      <c r="FG523" s="183"/>
      <c r="FH523" s="183"/>
      <c r="FI523" s="183"/>
      <c r="FJ523" s="183"/>
      <c r="FK523" s="183"/>
      <c r="FL523" s="183"/>
      <c r="FM523" s="183"/>
      <c r="FN523" s="183"/>
      <c r="FO523" s="183"/>
      <c r="FP523" s="183"/>
      <c r="FQ523" s="183"/>
      <c r="FR523" s="183"/>
      <c r="FS523" s="183"/>
      <c r="FT523" s="183"/>
      <c r="FU523" s="183"/>
      <c r="FV523" s="183"/>
      <c r="FW523" s="183"/>
      <c r="FX523" s="183"/>
      <c r="FY523" s="183"/>
    </row>
    <row r="524" spans="1:181" ht="11.25" customHeight="1">
      <c r="A524" s="183"/>
      <c r="B524" s="183"/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  <c r="FE524" s="183"/>
      <c r="FF524" s="183"/>
      <c r="FG524" s="183"/>
      <c r="FH524" s="183"/>
      <c r="FI524" s="183"/>
      <c r="FJ524" s="183"/>
      <c r="FK524" s="183"/>
      <c r="FL524" s="183"/>
      <c r="FM524" s="183"/>
      <c r="FN524" s="183"/>
      <c r="FO524" s="183"/>
      <c r="FP524" s="183"/>
      <c r="FQ524" s="183"/>
      <c r="FR524" s="183"/>
      <c r="FS524" s="183"/>
      <c r="FT524" s="183"/>
      <c r="FU524" s="183"/>
      <c r="FV524" s="183"/>
      <c r="FW524" s="183"/>
      <c r="FX524" s="183"/>
      <c r="FY524" s="183"/>
    </row>
    <row r="525" spans="1:181" ht="11.25" customHeight="1">
      <c r="A525" s="183"/>
      <c r="B525" s="183"/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  <c r="FE525" s="183"/>
      <c r="FF525" s="183"/>
      <c r="FG525" s="183"/>
      <c r="FH525" s="183"/>
      <c r="FI525" s="183"/>
      <c r="FJ525" s="183"/>
      <c r="FK525" s="183"/>
      <c r="FL525" s="183"/>
      <c r="FM525" s="183"/>
      <c r="FN525" s="183"/>
      <c r="FO525" s="183"/>
      <c r="FP525" s="183"/>
      <c r="FQ525" s="183"/>
      <c r="FR525" s="183"/>
      <c r="FS525" s="183"/>
      <c r="FT525" s="183"/>
      <c r="FU525" s="183"/>
      <c r="FV525" s="183"/>
      <c r="FW525" s="183"/>
      <c r="FX525" s="183"/>
      <c r="FY525" s="183"/>
    </row>
    <row r="526" spans="1:181" ht="11.25" customHeight="1">
      <c r="A526" s="183"/>
      <c r="B526" s="183"/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  <c r="FE526" s="183"/>
      <c r="FF526" s="183"/>
      <c r="FG526" s="183"/>
      <c r="FH526" s="183"/>
      <c r="FI526" s="183"/>
      <c r="FJ526" s="183"/>
      <c r="FK526" s="183"/>
      <c r="FL526" s="183"/>
      <c r="FM526" s="183"/>
      <c r="FN526" s="183"/>
      <c r="FO526" s="183"/>
      <c r="FP526" s="183"/>
      <c r="FQ526" s="183"/>
      <c r="FR526" s="183"/>
      <c r="FS526" s="183"/>
      <c r="FT526" s="183"/>
      <c r="FU526" s="183"/>
      <c r="FV526" s="183"/>
      <c r="FW526" s="183"/>
      <c r="FX526" s="183"/>
      <c r="FY526" s="183"/>
    </row>
    <row r="527" spans="1:181" ht="11.25" customHeight="1">
      <c r="A527" s="183"/>
      <c r="B527" s="183"/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  <c r="FE527" s="183"/>
      <c r="FF527" s="183"/>
      <c r="FG527" s="183"/>
      <c r="FH527" s="183"/>
      <c r="FI527" s="183"/>
      <c r="FJ527" s="183"/>
      <c r="FK527" s="183"/>
      <c r="FL527" s="183"/>
      <c r="FM527" s="183"/>
      <c r="FN527" s="183"/>
      <c r="FO527" s="183"/>
      <c r="FP527" s="183"/>
      <c r="FQ527" s="183"/>
      <c r="FR527" s="183"/>
      <c r="FS527" s="183"/>
      <c r="FT527" s="183"/>
      <c r="FU527" s="183"/>
      <c r="FV527" s="183"/>
      <c r="FW527" s="183"/>
      <c r="FX527" s="183"/>
      <c r="FY527" s="183"/>
    </row>
    <row r="528" spans="1:181" ht="11.25" customHeight="1">
      <c r="A528" s="183"/>
      <c r="B528" s="183"/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  <c r="FE528" s="183"/>
      <c r="FF528" s="183"/>
      <c r="FG528" s="183"/>
      <c r="FH528" s="183"/>
      <c r="FI528" s="183"/>
      <c r="FJ528" s="183"/>
      <c r="FK528" s="183"/>
      <c r="FL528" s="183"/>
      <c r="FM528" s="183"/>
      <c r="FN528" s="183"/>
      <c r="FO528" s="183"/>
      <c r="FP528" s="183"/>
      <c r="FQ528" s="183"/>
      <c r="FR528" s="183"/>
      <c r="FS528" s="183"/>
      <c r="FT528" s="183"/>
      <c r="FU528" s="183"/>
      <c r="FV528" s="183"/>
      <c r="FW528" s="183"/>
      <c r="FX528" s="183"/>
      <c r="FY528" s="183"/>
    </row>
    <row r="529" spans="1:181" ht="11.25" customHeight="1">
      <c r="A529" s="183"/>
      <c r="B529" s="183"/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  <c r="FE529" s="183"/>
      <c r="FF529" s="183"/>
      <c r="FG529" s="183"/>
      <c r="FH529" s="183"/>
      <c r="FI529" s="183"/>
      <c r="FJ529" s="183"/>
      <c r="FK529" s="183"/>
      <c r="FL529" s="183"/>
      <c r="FM529" s="183"/>
      <c r="FN529" s="183"/>
      <c r="FO529" s="183"/>
      <c r="FP529" s="183"/>
      <c r="FQ529" s="183"/>
      <c r="FR529" s="183"/>
      <c r="FS529" s="183"/>
      <c r="FT529" s="183"/>
      <c r="FU529" s="183"/>
      <c r="FV529" s="183"/>
      <c r="FW529" s="183"/>
      <c r="FX529" s="183"/>
      <c r="FY529" s="183"/>
    </row>
    <row r="530" spans="1:181" ht="11.25" customHeight="1">
      <c r="A530" s="183"/>
      <c r="B530" s="183"/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  <c r="FE530" s="183"/>
      <c r="FF530" s="183"/>
      <c r="FG530" s="183"/>
      <c r="FH530" s="183"/>
      <c r="FI530" s="183"/>
      <c r="FJ530" s="183"/>
      <c r="FK530" s="183"/>
      <c r="FL530" s="183"/>
      <c r="FM530" s="183"/>
      <c r="FN530" s="183"/>
      <c r="FO530" s="183"/>
      <c r="FP530" s="183"/>
      <c r="FQ530" s="183"/>
      <c r="FR530" s="183"/>
      <c r="FS530" s="183"/>
      <c r="FT530" s="183"/>
      <c r="FU530" s="183"/>
      <c r="FV530" s="183"/>
      <c r="FW530" s="183"/>
      <c r="FX530" s="183"/>
      <c r="FY530" s="183"/>
    </row>
    <row r="531" spans="1:181" ht="11.25" customHeight="1">
      <c r="A531" s="183"/>
      <c r="B531" s="183"/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  <c r="FE531" s="183"/>
      <c r="FF531" s="183"/>
      <c r="FG531" s="183"/>
      <c r="FH531" s="183"/>
      <c r="FI531" s="183"/>
      <c r="FJ531" s="183"/>
      <c r="FK531" s="183"/>
      <c r="FL531" s="183"/>
      <c r="FM531" s="183"/>
      <c r="FN531" s="183"/>
      <c r="FO531" s="183"/>
      <c r="FP531" s="183"/>
      <c r="FQ531" s="183"/>
      <c r="FR531" s="183"/>
      <c r="FS531" s="183"/>
      <c r="FT531" s="183"/>
      <c r="FU531" s="183"/>
      <c r="FV531" s="183"/>
      <c r="FW531" s="183"/>
      <c r="FX531" s="183"/>
      <c r="FY531" s="183"/>
    </row>
    <row r="532" spans="1:181" ht="11.25" customHeight="1">
      <c r="A532" s="183"/>
      <c r="B532" s="183"/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  <c r="FE532" s="183"/>
      <c r="FF532" s="183"/>
      <c r="FG532" s="183"/>
      <c r="FH532" s="183"/>
      <c r="FI532" s="183"/>
      <c r="FJ532" s="183"/>
      <c r="FK532" s="183"/>
      <c r="FL532" s="183"/>
      <c r="FM532" s="183"/>
      <c r="FN532" s="183"/>
      <c r="FO532" s="183"/>
      <c r="FP532" s="183"/>
      <c r="FQ532" s="183"/>
      <c r="FR532" s="183"/>
      <c r="FS532" s="183"/>
      <c r="FT532" s="183"/>
      <c r="FU532" s="183"/>
      <c r="FV532" s="183"/>
      <c r="FW532" s="183"/>
      <c r="FX532" s="183"/>
      <c r="FY532" s="183"/>
    </row>
    <row r="533" spans="1:181" ht="11.25" customHeight="1">
      <c r="A533" s="183"/>
      <c r="B533" s="183"/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  <c r="FE533" s="183"/>
      <c r="FF533" s="183"/>
      <c r="FG533" s="183"/>
      <c r="FH533" s="183"/>
      <c r="FI533" s="183"/>
      <c r="FJ533" s="183"/>
      <c r="FK533" s="183"/>
      <c r="FL533" s="183"/>
      <c r="FM533" s="183"/>
      <c r="FN533" s="183"/>
      <c r="FO533" s="183"/>
      <c r="FP533" s="183"/>
      <c r="FQ533" s="183"/>
      <c r="FR533" s="183"/>
      <c r="FS533" s="183"/>
      <c r="FT533" s="183"/>
      <c r="FU533" s="183"/>
      <c r="FV533" s="183"/>
      <c r="FW533" s="183"/>
      <c r="FX533" s="183"/>
      <c r="FY533" s="183"/>
    </row>
    <row r="534" spans="1:181" ht="11.25" customHeight="1">
      <c r="A534" s="183"/>
      <c r="B534" s="183"/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  <c r="FE534" s="183"/>
      <c r="FF534" s="183"/>
      <c r="FG534" s="183"/>
      <c r="FH534" s="183"/>
      <c r="FI534" s="183"/>
      <c r="FJ534" s="183"/>
      <c r="FK534" s="183"/>
      <c r="FL534" s="183"/>
      <c r="FM534" s="183"/>
      <c r="FN534" s="183"/>
      <c r="FO534" s="183"/>
      <c r="FP534" s="183"/>
      <c r="FQ534" s="183"/>
      <c r="FR534" s="183"/>
      <c r="FS534" s="183"/>
      <c r="FT534" s="183"/>
      <c r="FU534" s="183"/>
      <c r="FV534" s="183"/>
      <c r="FW534" s="183"/>
      <c r="FX534" s="183"/>
      <c r="FY534" s="183"/>
    </row>
    <row r="535" spans="1:181" ht="11.25" customHeight="1">
      <c r="A535" s="183"/>
      <c r="B535" s="183"/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  <c r="FE535" s="183"/>
      <c r="FF535" s="183"/>
      <c r="FG535" s="183"/>
      <c r="FH535" s="183"/>
      <c r="FI535" s="183"/>
      <c r="FJ535" s="183"/>
      <c r="FK535" s="183"/>
      <c r="FL535" s="183"/>
      <c r="FM535" s="183"/>
      <c r="FN535" s="183"/>
      <c r="FO535" s="183"/>
      <c r="FP535" s="183"/>
      <c r="FQ535" s="183"/>
      <c r="FR535" s="183"/>
      <c r="FS535" s="183"/>
      <c r="FT535" s="183"/>
      <c r="FU535" s="183"/>
      <c r="FV535" s="183"/>
      <c r="FW535" s="183"/>
      <c r="FX535" s="183"/>
      <c r="FY535" s="183"/>
    </row>
    <row r="536" spans="1:181" ht="11.25" customHeight="1">
      <c r="A536" s="183"/>
      <c r="B536" s="183"/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  <c r="FE536" s="183"/>
      <c r="FF536" s="183"/>
      <c r="FG536" s="183"/>
      <c r="FH536" s="183"/>
      <c r="FI536" s="183"/>
      <c r="FJ536" s="183"/>
      <c r="FK536" s="183"/>
      <c r="FL536" s="183"/>
      <c r="FM536" s="183"/>
      <c r="FN536" s="183"/>
      <c r="FO536" s="183"/>
      <c r="FP536" s="183"/>
      <c r="FQ536" s="183"/>
      <c r="FR536" s="183"/>
      <c r="FS536" s="183"/>
      <c r="FT536" s="183"/>
      <c r="FU536" s="183"/>
      <c r="FV536" s="183"/>
      <c r="FW536" s="183"/>
      <c r="FX536" s="183"/>
      <c r="FY536" s="183"/>
    </row>
    <row r="537" spans="1:181" ht="11.25" customHeight="1">
      <c r="A537" s="183"/>
      <c r="B537" s="183"/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</row>
    <row r="538" spans="1:181" ht="11.25" customHeight="1">
      <c r="A538" s="183"/>
      <c r="B538" s="183"/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  <c r="FE538" s="183"/>
      <c r="FF538" s="183"/>
      <c r="FG538" s="183"/>
      <c r="FH538" s="183"/>
      <c r="FI538" s="183"/>
      <c r="FJ538" s="183"/>
      <c r="FK538" s="183"/>
      <c r="FL538" s="183"/>
      <c r="FM538" s="183"/>
      <c r="FN538" s="183"/>
      <c r="FO538" s="183"/>
      <c r="FP538" s="183"/>
      <c r="FQ538" s="183"/>
      <c r="FR538" s="183"/>
      <c r="FS538" s="183"/>
      <c r="FT538" s="183"/>
      <c r="FU538" s="183"/>
      <c r="FV538" s="183"/>
      <c r="FW538" s="183"/>
      <c r="FX538" s="183"/>
      <c r="FY538" s="183"/>
    </row>
    <row r="539" spans="1:181" ht="11.25" customHeight="1">
      <c r="A539" s="183"/>
      <c r="B539" s="183"/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  <c r="FE539" s="183"/>
      <c r="FF539" s="183"/>
      <c r="FG539" s="183"/>
      <c r="FH539" s="183"/>
      <c r="FI539" s="183"/>
      <c r="FJ539" s="183"/>
      <c r="FK539" s="183"/>
      <c r="FL539" s="183"/>
      <c r="FM539" s="183"/>
      <c r="FN539" s="183"/>
      <c r="FO539" s="183"/>
      <c r="FP539" s="183"/>
      <c r="FQ539" s="183"/>
      <c r="FR539" s="183"/>
      <c r="FS539" s="183"/>
      <c r="FT539" s="183"/>
      <c r="FU539" s="183"/>
      <c r="FV539" s="183"/>
      <c r="FW539" s="183"/>
      <c r="FX539" s="183"/>
      <c r="FY539" s="183"/>
    </row>
    <row r="540" spans="1:181" ht="11.25" customHeight="1">
      <c r="A540" s="183"/>
      <c r="B540" s="183"/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  <c r="FE540" s="183"/>
      <c r="FF540" s="183"/>
      <c r="FG540" s="183"/>
      <c r="FH540" s="183"/>
      <c r="FI540" s="183"/>
      <c r="FJ540" s="183"/>
      <c r="FK540" s="183"/>
      <c r="FL540" s="183"/>
      <c r="FM540" s="183"/>
      <c r="FN540" s="183"/>
      <c r="FO540" s="183"/>
      <c r="FP540" s="183"/>
      <c r="FQ540" s="183"/>
      <c r="FR540" s="183"/>
      <c r="FS540" s="183"/>
      <c r="FT540" s="183"/>
      <c r="FU540" s="183"/>
      <c r="FV540" s="183"/>
      <c r="FW540" s="183"/>
      <c r="FX540" s="183"/>
      <c r="FY540" s="183"/>
    </row>
    <row r="541" spans="1:181" ht="11.25" customHeight="1">
      <c r="A541" s="183"/>
      <c r="B541" s="183"/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  <c r="FE541" s="183"/>
      <c r="FF541" s="183"/>
      <c r="FG541" s="183"/>
      <c r="FH541" s="183"/>
      <c r="FI541" s="183"/>
      <c r="FJ541" s="183"/>
      <c r="FK541" s="183"/>
      <c r="FL541" s="183"/>
      <c r="FM541" s="183"/>
      <c r="FN541" s="183"/>
      <c r="FO541" s="183"/>
      <c r="FP541" s="183"/>
      <c r="FQ541" s="183"/>
      <c r="FR541" s="183"/>
      <c r="FS541" s="183"/>
      <c r="FT541" s="183"/>
      <c r="FU541" s="183"/>
      <c r="FV541" s="183"/>
      <c r="FW541" s="183"/>
      <c r="FX541" s="183"/>
      <c r="FY541" s="183"/>
    </row>
    <row r="542" spans="1:181" ht="11.25" customHeight="1">
      <c r="A542" s="183"/>
      <c r="B542" s="183"/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  <c r="FE542" s="183"/>
      <c r="FF542" s="183"/>
      <c r="FG542" s="183"/>
      <c r="FH542" s="183"/>
      <c r="FI542" s="183"/>
      <c r="FJ542" s="183"/>
      <c r="FK542" s="183"/>
      <c r="FL542" s="183"/>
      <c r="FM542" s="183"/>
      <c r="FN542" s="183"/>
      <c r="FO542" s="183"/>
      <c r="FP542" s="183"/>
      <c r="FQ542" s="183"/>
      <c r="FR542" s="183"/>
      <c r="FS542" s="183"/>
      <c r="FT542" s="183"/>
      <c r="FU542" s="183"/>
      <c r="FV542" s="183"/>
      <c r="FW542" s="183"/>
      <c r="FX542" s="183"/>
      <c r="FY542" s="183"/>
    </row>
    <row r="543" spans="1:181" ht="11.25" customHeight="1">
      <c r="A543" s="183"/>
      <c r="B543" s="183"/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  <c r="FE543" s="183"/>
      <c r="FF543" s="183"/>
      <c r="FG543" s="183"/>
      <c r="FH543" s="183"/>
      <c r="FI543" s="183"/>
      <c r="FJ543" s="183"/>
      <c r="FK543" s="183"/>
      <c r="FL543" s="183"/>
      <c r="FM543" s="183"/>
      <c r="FN543" s="183"/>
      <c r="FO543" s="183"/>
      <c r="FP543" s="183"/>
      <c r="FQ543" s="183"/>
      <c r="FR543" s="183"/>
      <c r="FS543" s="183"/>
      <c r="FT543" s="183"/>
      <c r="FU543" s="183"/>
      <c r="FV543" s="183"/>
      <c r="FW543" s="183"/>
      <c r="FX543" s="183"/>
      <c r="FY543" s="183"/>
    </row>
    <row r="544" spans="1:181" ht="11.25" customHeight="1">
      <c r="A544" s="183"/>
      <c r="B544" s="183"/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  <c r="FE544" s="183"/>
      <c r="FF544" s="183"/>
      <c r="FG544" s="183"/>
      <c r="FH544" s="183"/>
      <c r="FI544" s="183"/>
      <c r="FJ544" s="183"/>
      <c r="FK544" s="183"/>
      <c r="FL544" s="183"/>
      <c r="FM544" s="183"/>
      <c r="FN544" s="183"/>
      <c r="FO544" s="183"/>
      <c r="FP544" s="183"/>
      <c r="FQ544" s="183"/>
      <c r="FR544" s="183"/>
      <c r="FS544" s="183"/>
      <c r="FT544" s="183"/>
      <c r="FU544" s="183"/>
      <c r="FV544" s="183"/>
      <c r="FW544" s="183"/>
      <c r="FX544" s="183"/>
      <c r="FY544" s="183"/>
    </row>
    <row r="545" spans="1:181" ht="11.25" customHeight="1">
      <c r="A545" s="183"/>
      <c r="B545" s="183"/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  <c r="FE545" s="183"/>
      <c r="FF545" s="183"/>
      <c r="FG545" s="183"/>
      <c r="FH545" s="183"/>
      <c r="FI545" s="183"/>
      <c r="FJ545" s="183"/>
      <c r="FK545" s="183"/>
      <c r="FL545" s="183"/>
      <c r="FM545" s="183"/>
      <c r="FN545" s="183"/>
      <c r="FO545" s="183"/>
      <c r="FP545" s="183"/>
      <c r="FQ545" s="183"/>
      <c r="FR545" s="183"/>
      <c r="FS545" s="183"/>
      <c r="FT545" s="183"/>
      <c r="FU545" s="183"/>
      <c r="FV545" s="183"/>
      <c r="FW545" s="183"/>
      <c r="FX545" s="183"/>
      <c r="FY545" s="183"/>
    </row>
    <row r="546" spans="1:181" ht="11.25" customHeight="1">
      <c r="A546" s="183"/>
      <c r="B546" s="183"/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  <c r="FE546" s="183"/>
      <c r="FF546" s="183"/>
      <c r="FG546" s="183"/>
      <c r="FH546" s="183"/>
      <c r="FI546" s="183"/>
      <c r="FJ546" s="183"/>
      <c r="FK546" s="183"/>
      <c r="FL546" s="183"/>
      <c r="FM546" s="183"/>
      <c r="FN546" s="183"/>
      <c r="FO546" s="183"/>
      <c r="FP546" s="183"/>
      <c r="FQ546" s="183"/>
      <c r="FR546" s="183"/>
      <c r="FS546" s="183"/>
      <c r="FT546" s="183"/>
      <c r="FU546" s="183"/>
      <c r="FV546" s="183"/>
      <c r="FW546" s="183"/>
      <c r="FX546" s="183"/>
      <c r="FY546" s="183"/>
    </row>
    <row r="547" spans="1:181" ht="11.25" customHeight="1">
      <c r="A547" s="183"/>
      <c r="B547" s="183"/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  <c r="FE547" s="183"/>
      <c r="FF547" s="183"/>
      <c r="FG547" s="183"/>
      <c r="FH547" s="183"/>
      <c r="FI547" s="183"/>
      <c r="FJ547" s="183"/>
      <c r="FK547" s="183"/>
      <c r="FL547" s="183"/>
      <c r="FM547" s="183"/>
      <c r="FN547" s="183"/>
      <c r="FO547" s="183"/>
      <c r="FP547" s="183"/>
      <c r="FQ547" s="183"/>
      <c r="FR547" s="183"/>
      <c r="FS547" s="183"/>
      <c r="FT547" s="183"/>
      <c r="FU547" s="183"/>
      <c r="FV547" s="183"/>
      <c r="FW547" s="183"/>
      <c r="FX547" s="183"/>
      <c r="FY547" s="183"/>
    </row>
    <row r="548" spans="1:181" ht="11.25" customHeight="1">
      <c r="A548" s="183"/>
      <c r="B548" s="183"/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</row>
    <row r="549" spans="1:181" ht="11.25" customHeight="1">
      <c r="A549" s="183"/>
      <c r="B549" s="183"/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</row>
    <row r="550" spans="1:181" ht="11.25" customHeight="1">
      <c r="A550" s="183"/>
      <c r="B550" s="183"/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  <c r="FE550" s="183"/>
      <c r="FF550" s="183"/>
      <c r="FG550" s="183"/>
      <c r="FH550" s="183"/>
      <c r="FI550" s="183"/>
      <c r="FJ550" s="183"/>
      <c r="FK550" s="183"/>
      <c r="FL550" s="183"/>
      <c r="FM550" s="183"/>
      <c r="FN550" s="183"/>
      <c r="FO550" s="183"/>
      <c r="FP550" s="183"/>
      <c r="FQ550" s="183"/>
      <c r="FR550" s="183"/>
      <c r="FS550" s="183"/>
      <c r="FT550" s="183"/>
      <c r="FU550" s="183"/>
      <c r="FV550" s="183"/>
      <c r="FW550" s="183"/>
      <c r="FX550" s="183"/>
      <c r="FY550" s="183"/>
    </row>
    <row r="551" spans="1:181" ht="11.25" customHeight="1">
      <c r="A551" s="183"/>
      <c r="B551" s="183"/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  <c r="FE551" s="183"/>
      <c r="FF551" s="183"/>
      <c r="FG551" s="183"/>
      <c r="FH551" s="183"/>
      <c r="FI551" s="183"/>
      <c r="FJ551" s="183"/>
      <c r="FK551" s="183"/>
      <c r="FL551" s="183"/>
      <c r="FM551" s="183"/>
      <c r="FN551" s="183"/>
      <c r="FO551" s="183"/>
      <c r="FP551" s="183"/>
      <c r="FQ551" s="183"/>
      <c r="FR551" s="183"/>
      <c r="FS551" s="183"/>
      <c r="FT551" s="183"/>
      <c r="FU551" s="183"/>
      <c r="FV551" s="183"/>
      <c r="FW551" s="183"/>
      <c r="FX551" s="183"/>
      <c r="FY551" s="183"/>
    </row>
    <row r="552" spans="1:181" ht="11.25" customHeight="1">
      <c r="A552" s="183"/>
      <c r="B552" s="183"/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  <c r="FE552" s="183"/>
      <c r="FF552" s="183"/>
      <c r="FG552" s="183"/>
      <c r="FH552" s="183"/>
      <c r="FI552" s="183"/>
      <c r="FJ552" s="183"/>
      <c r="FK552" s="183"/>
      <c r="FL552" s="183"/>
      <c r="FM552" s="183"/>
      <c r="FN552" s="183"/>
      <c r="FO552" s="183"/>
      <c r="FP552" s="183"/>
      <c r="FQ552" s="183"/>
      <c r="FR552" s="183"/>
      <c r="FS552" s="183"/>
      <c r="FT552" s="183"/>
      <c r="FU552" s="183"/>
      <c r="FV552" s="183"/>
      <c r="FW552" s="183"/>
      <c r="FX552" s="183"/>
      <c r="FY552" s="183"/>
    </row>
    <row r="553" spans="1:181" ht="11.25" customHeight="1">
      <c r="A553" s="183"/>
      <c r="B553" s="183"/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  <c r="FE553" s="183"/>
      <c r="FF553" s="183"/>
      <c r="FG553" s="183"/>
      <c r="FH553" s="183"/>
      <c r="FI553" s="183"/>
      <c r="FJ553" s="183"/>
      <c r="FK553" s="183"/>
      <c r="FL553" s="183"/>
      <c r="FM553" s="183"/>
      <c r="FN553" s="183"/>
      <c r="FO553" s="183"/>
      <c r="FP553" s="183"/>
      <c r="FQ553" s="183"/>
      <c r="FR553" s="183"/>
      <c r="FS553" s="183"/>
      <c r="FT553" s="183"/>
      <c r="FU553" s="183"/>
      <c r="FV553" s="183"/>
      <c r="FW553" s="183"/>
      <c r="FX553" s="183"/>
      <c r="FY553" s="183"/>
    </row>
    <row r="554" spans="1:181" ht="11.25" customHeight="1">
      <c r="A554" s="183"/>
      <c r="B554" s="183"/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  <c r="FE554" s="183"/>
      <c r="FF554" s="183"/>
      <c r="FG554" s="183"/>
      <c r="FH554" s="183"/>
      <c r="FI554" s="183"/>
      <c r="FJ554" s="183"/>
      <c r="FK554" s="183"/>
      <c r="FL554" s="183"/>
      <c r="FM554" s="183"/>
      <c r="FN554" s="183"/>
      <c r="FO554" s="183"/>
      <c r="FP554" s="183"/>
      <c r="FQ554" s="183"/>
      <c r="FR554" s="183"/>
      <c r="FS554" s="183"/>
      <c r="FT554" s="183"/>
      <c r="FU554" s="183"/>
      <c r="FV554" s="183"/>
      <c r="FW554" s="183"/>
      <c r="FX554" s="183"/>
      <c r="FY554" s="183"/>
    </row>
    <row r="555" spans="1:181" ht="11.25" customHeight="1">
      <c r="A555" s="183"/>
      <c r="B555" s="183"/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  <c r="FE555" s="183"/>
      <c r="FF555" s="183"/>
      <c r="FG555" s="183"/>
      <c r="FH555" s="183"/>
      <c r="FI555" s="183"/>
      <c r="FJ555" s="183"/>
      <c r="FK555" s="183"/>
      <c r="FL555" s="183"/>
      <c r="FM555" s="183"/>
      <c r="FN555" s="183"/>
      <c r="FO555" s="183"/>
      <c r="FP555" s="183"/>
      <c r="FQ555" s="183"/>
      <c r="FR555" s="183"/>
      <c r="FS555" s="183"/>
      <c r="FT555" s="183"/>
      <c r="FU555" s="183"/>
      <c r="FV555" s="183"/>
      <c r="FW555" s="183"/>
      <c r="FX555" s="183"/>
      <c r="FY555" s="183"/>
    </row>
    <row r="556" spans="1:181" ht="11.25" customHeight="1">
      <c r="A556" s="183"/>
      <c r="B556" s="183"/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  <c r="FE556" s="183"/>
      <c r="FF556" s="183"/>
      <c r="FG556" s="183"/>
      <c r="FH556" s="183"/>
      <c r="FI556" s="183"/>
      <c r="FJ556" s="183"/>
      <c r="FK556" s="183"/>
      <c r="FL556" s="183"/>
      <c r="FM556" s="183"/>
      <c r="FN556" s="183"/>
      <c r="FO556" s="183"/>
      <c r="FP556" s="183"/>
      <c r="FQ556" s="183"/>
      <c r="FR556" s="183"/>
      <c r="FS556" s="183"/>
      <c r="FT556" s="183"/>
      <c r="FU556" s="183"/>
      <c r="FV556" s="183"/>
      <c r="FW556" s="183"/>
      <c r="FX556" s="183"/>
      <c r="FY556" s="183"/>
    </row>
    <row r="557" spans="1:181" ht="11.25" customHeight="1">
      <c r="A557" s="183"/>
      <c r="B557" s="183"/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  <c r="FE557" s="183"/>
      <c r="FF557" s="183"/>
      <c r="FG557" s="183"/>
      <c r="FH557" s="183"/>
      <c r="FI557" s="183"/>
      <c r="FJ557" s="183"/>
      <c r="FK557" s="183"/>
      <c r="FL557" s="183"/>
      <c r="FM557" s="183"/>
      <c r="FN557" s="183"/>
      <c r="FO557" s="183"/>
      <c r="FP557" s="183"/>
      <c r="FQ557" s="183"/>
      <c r="FR557" s="183"/>
      <c r="FS557" s="183"/>
      <c r="FT557" s="183"/>
      <c r="FU557" s="183"/>
      <c r="FV557" s="183"/>
      <c r="FW557" s="183"/>
      <c r="FX557" s="183"/>
      <c r="FY557" s="183"/>
    </row>
    <row r="558" spans="1:181" ht="11.25" customHeight="1">
      <c r="A558" s="183"/>
      <c r="B558" s="183"/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  <c r="FE558" s="183"/>
      <c r="FF558" s="183"/>
      <c r="FG558" s="183"/>
      <c r="FH558" s="183"/>
      <c r="FI558" s="183"/>
      <c r="FJ558" s="183"/>
      <c r="FK558" s="183"/>
      <c r="FL558" s="183"/>
      <c r="FM558" s="183"/>
      <c r="FN558" s="183"/>
      <c r="FO558" s="183"/>
      <c r="FP558" s="183"/>
      <c r="FQ558" s="183"/>
      <c r="FR558" s="183"/>
      <c r="FS558" s="183"/>
      <c r="FT558" s="183"/>
      <c r="FU558" s="183"/>
      <c r="FV558" s="183"/>
      <c r="FW558" s="183"/>
      <c r="FX558" s="183"/>
      <c r="FY558" s="183"/>
    </row>
    <row r="559" spans="1:181" ht="11.25" customHeight="1">
      <c r="A559" s="183"/>
      <c r="B559" s="183"/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  <c r="FE559" s="183"/>
      <c r="FF559" s="183"/>
      <c r="FG559" s="183"/>
      <c r="FH559" s="183"/>
      <c r="FI559" s="183"/>
      <c r="FJ559" s="183"/>
      <c r="FK559" s="183"/>
      <c r="FL559" s="183"/>
      <c r="FM559" s="183"/>
      <c r="FN559" s="183"/>
      <c r="FO559" s="183"/>
      <c r="FP559" s="183"/>
      <c r="FQ559" s="183"/>
      <c r="FR559" s="183"/>
      <c r="FS559" s="183"/>
      <c r="FT559" s="183"/>
      <c r="FU559" s="183"/>
      <c r="FV559" s="183"/>
      <c r="FW559" s="183"/>
      <c r="FX559" s="183"/>
      <c r="FY559" s="183"/>
    </row>
    <row r="560" spans="1:181" ht="11.25" customHeight="1">
      <c r="A560" s="183"/>
      <c r="B560" s="183"/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  <c r="FE560" s="183"/>
      <c r="FF560" s="183"/>
      <c r="FG560" s="183"/>
      <c r="FH560" s="183"/>
      <c r="FI560" s="183"/>
      <c r="FJ560" s="183"/>
      <c r="FK560" s="183"/>
      <c r="FL560" s="183"/>
      <c r="FM560" s="183"/>
      <c r="FN560" s="183"/>
      <c r="FO560" s="183"/>
      <c r="FP560" s="183"/>
      <c r="FQ560" s="183"/>
      <c r="FR560" s="183"/>
      <c r="FS560" s="183"/>
      <c r="FT560" s="183"/>
      <c r="FU560" s="183"/>
      <c r="FV560" s="183"/>
      <c r="FW560" s="183"/>
      <c r="FX560" s="183"/>
      <c r="FY560" s="183"/>
    </row>
    <row r="561" spans="1:181" ht="11.25" customHeight="1">
      <c r="A561" s="183"/>
      <c r="B561" s="183"/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</row>
    <row r="562" spans="1:181" ht="11.25" customHeight="1">
      <c r="A562" s="183"/>
      <c r="B562" s="183"/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</row>
    <row r="563" spans="1:181" ht="11.25" customHeight="1">
      <c r="A563" s="183"/>
      <c r="B563" s="183"/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  <c r="FE563" s="183"/>
      <c r="FF563" s="183"/>
      <c r="FG563" s="183"/>
      <c r="FH563" s="183"/>
      <c r="FI563" s="183"/>
      <c r="FJ563" s="183"/>
      <c r="FK563" s="183"/>
      <c r="FL563" s="183"/>
      <c r="FM563" s="183"/>
      <c r="FN563" s="183"/>
      <c r="FO563" s="183"/>
      <c r="FP563" s="183"/>
      <c r="FQ563" s="183"/>
      <c r="FR563" s="183"/>
      <c r="FS563" s="183"/>
      <c r="FT563" s="183"/>
      <c r="FU563" s="183"/>
      <c r="FV563" s="183"/>
      <c r="FW563" s="183"/>
      <c r="FX563" s="183"/>
      <c r="FY563" s="183"/>
    </row>
    <row r="564" spans="1:181" ht="11.25" customHeight="1">
      <c r="A564" s="183"/>
      <c r="B564" s="183"/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  <c r="FE564" s="183"/>
      <c r="FF564" s="183"/>
      <c r="FG564" s="183"/>
      <c r="FH564" s="183"/>
      <c r="FI564" s="183"/>
      <c r="FJ564" s="183"/>
      <c r="FK564" s="183"/>
      <c r="FL564" s="183"/>
      <c r="FM564" s="183"/>
      <c r="FN564" s="183"/>
      <c r="FO564" s="183"/>
      <c r="FP564" s="183"/>
      <c r="FQ564" s="183"/>
      <c r="FR564" s="183"/>
      <c r="FS564" s="183"/>
      <c r="FT564" s="183"/>
      <c r="FU564" s="183"/>
      <c r="FV564" s="183"/>
      <c r="FW564" s="183"/>
      <c r="FX564" s="183"/>
      <c r="FY564" s="183"/>
    </row>
    <row r="565" spans="1:181" ht="11.25" customHeight="1">
      <c r="A565" s="183"/>
      <c r="B565" s="183"/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  <c r="FE565" s="183"/>
      <c r="FF565" s="183"/>
      <c r="FG565" s="183"/>
      <c r="FH565" s="183"/>
      <c r="FI565" s="183"/>
      <c r="FJ565" s="183"/>
      <c r="FK565" s="183"/>
      <c r="FL565" s="183"/>
      <c r="FM565" s="183"/>
      <c r="FN565" s="183"/>
      <c r="FO565" s="183"/>
      <c r="FP565" s="183"/>
      <c r="FQ565" s="183"/>
      <c r="FR565" s="183"/>
      <c r="FS565" s="183"/>
      <c r="FT565" s="183"/>
      <c r="FU565" s="183"/>
      <c r="FV565" s="183"/>
      <c r="FW565" s="183"/>
      <c r="FX565" s="183"/>
      <c r="FY565" s="183"/>
    </row>
    <row r="566" spans="1:181" ht="11.25" customHeight="1">
      <c r="A566" s="183"/>
      <c r="B566" s="183"/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  <c r="FE566" s="183"/>
      <c r="FF566" s="183"/>
      <c r="FG566" s="183"/>
      <c r="FH566" s="183"/>
      <c r="FI566" s="183"/>
      <c r="FJ566" s="183"/>
      <c r="FK566" s="183"/>
      <c r="FL566" s="183"/>
      <c r="FM566" s="183"/>
      <c r="FN566" s="183"/>
      <c r="FO566" s="183"/>
      <c r="FP566" s="183"/>
      <c r="FQ566" s="183"/>
      <c r="FR566" s="183"/>
      <c r="FS566" s="183"/>
      <c r="FT566" s="183"/>
      <c r="FU566" s="183"/>
      <c r="FV566" s="183"/>
      <c r="FW566" s="183"/>
      <c r="FX566" s="183"/>
      <c r="FY566" s="183"/>
    </row>
    <row r="567" spans="1:181" ht="11.25" customHeight="1">
      <c r="A567" s="183"/>
      <c r="B567" s="183"/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  <c r="FE567" s="183"/>
      <c r="FF567" s="183"/>
      <c r="FG567" s="183"/>
      <c r="FH567" s="183"/>
      <c r="FI567" s="183"/>
      <c r="FJ567" s="183"/>
      <c r="FK567" s="183"/>
      <c r="FL567" s="183"/>
      <c r="FM567" s="183"/>
      <c r="FN567" s="183"/>
      <c r="FO567" s="183"/>
      <c r="FP567" s="183"/>
      <c r="FQ567" s="183"/>
      <c r="FR567" s="183"/>
      <c r="FS567" s="183"/>
      <c r="FT567" s="183"/>
      <c r="FU567" s="183"/>
      <c r="FV567" s="183"/>
      <c r="FW567" s="183"/>
      <c r="FX567" s="183"/>
      <c r="FY567" s="183"/>
    </row>
    <row r="568" spans="1:181" ht="11.25" customHeight="1">
      <c r="A568" s="183"/>
      <c r="B568" s="183"/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  <c r="FE568" s="183"/>
      <c r="FF568" s="183"/>
      <c r="FG568" s="183"/>
      <c r="FH568" s="183"/>
      <c r="FI568" s="183"/>
      <c r="FJ568" s="183"/>
      <c r="FK568" s="183"/>
      <c r="FL568" s="183"/>
      <c r="FM568" s="183"/>
      <c r="FN568" s="183"/>
      <c r="FO568" s="183"/>
      <c r="FP568" s="183"/>
      <c r="FQ568" s="183"/>
      <c r="FR568" s="183"/>
      <c r="FS568" s="183"/>
      <c r="FT568" s="183"/>
      <c r="FU568" s="183"/>
      <c r="FV568" s="183"/>
      <c r="FW568" s="183"/>
      <c r="FX568" s="183"/>
      <c r="FY568" s="183"/>
    </row>
    <row r="569" spans="1:181" ht="11.25" customHeight="1">
      <c r="A569" s="183"/>
      <c r="B569" s="183"/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  <c r="FE569" s="183"/>
      <c r="FF569" s="183"/>
      <c r="FG569" s="183"/>
      <c r="FH569" s="183"/>
      <c r="FI569" s="183"/>
      <c r="FJ569" s="183"/>
      <c r="FK569" s="183"/>
      <c r="FL569" s="183"/>
      <c r="FM569" s="183"/>
      <c r="FN569" s="183"/>
      <c r="FO569" s="183"/>
      <c r="FP569" s="183"/>
      <c r="FQ569" s="183"/>
      <c r="FR569" s="183"/>
      <c r="FS569" s="183"/>
      <c r="FT569" s="183"/>
      <c r="FU569" s="183"/>
      <c r="FV569" s="183"/>
      <c r="FW569" s="183"/>
      <c r="FX569" s="183"/>
      <c r="FY569" s="183"/>
    </row>
    <row r="570" spans="1:181" ht="11.25" customHeight="1">
      <c r="A570" s="183"/>
      <c r="B570" s="183"/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  <c r="FE570" s="183"/>
      <c r="FF570" s="183"/>
      <c r="FG570" s="183"/>
      <c r="FH570" s="183"/>
      <c r="FI570" s="183"/>
      <c r="FJ570" s="183"/>
      <c r="FK570" s="183"/>
      <c r="FL570" s="183"/>
      <c r="FM570" s="183"/>
      <c r="FN570" s="183"/>
      <c r="FO570" s="183"/>
      <c r="FP570" s="183"/>
      <c r="FQ570" s="183"/>
      <c r="FR570" s="183"/>
      <c r="FS570" s="183"/>
      <c r="FT570" s="183"/>
      <c r="FU570" s="183"/>
      <c r="FV570" s="183"/>
      <c r="FW570" s="183"/>
      <c r="FX570" s="183"/>
      <c r="FY570" s="183"/>
    </row>
    <row r="571" spans="1:181" ht="11.25" customHeight="1">
      <c r="A571" s="183"/>
      <c r="B571" s="183"/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  <c r="FE571" s="183"/>
      <c r="FF571" s="183"/>
      <c r="FG571" s="183"/>
      <c r="FH571" s="183"/>
      <c r="FI571" s="183"/>
      <c r="FJ571" s="183"/>
      <c r="FK571" s="183"/>
      <c r="FL571" s="183"/>
      <c r="FM571" s="183"/>
      <c r="FN571" s="183"/>
      <c r="FO571" s="183"/>
      <c r="FP571" s="183"/>
      <c r="FQ571" s="183"/>
      <c r="FR571" s="183"/>
      <c r="FS571" s="183"/>
      <c r="FT571" s="183"/>
      <c r="FU571" s="183"/>
      <c r="FV571" s="183"/>
      <c r="FW571" s="183"/>
      <c r="FX571" s="183"/>
      <c r="FY571" s="183"/>
    </row>
    <row r="572" spans="1:181" ht="11.25" customHeight="1">
      <c r="A572" s="183"/>
      <c r="B572" s="183"/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  <c r="FE572" s="183"/>
      <c r="FF572" s="183"/>
      <c r="FG572" s="183"/>
      <c r="FH572" s="183"/>
      <c r="FI572" s="183"/>
      <c r="FJ572" s="183"/>
      <c r="FK572" s="183"/>
      <c r="FL572" s="183"/>
      <c r="FM572" s="183"/>
      <c r="FN572" s="183"/>
      <c r="FO572" s="183"/>
      <c r="FP572" s="183"/>
      <c r="FQ572" s="183"/>
      <c r="FR572" s="183"/>
      <c r="FS572" s="183"/>
      <c r="FT572" s="183"/>
      <c r="FU572" s="183"/>
      <c r="FV572" s="183"/>
      <c r="FW572" s="183"/>
      <c r="FX572" s="183"/>
      <c r="FY572" s="183"/>
    </row>
    <row r="573" spans="1:181" ht="11.25" customHeight="1">
      <c r="A573" s="183"/>
      <c r="B573" s="183"/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  <c r="FE573" s="183"/>
      <c r="FF573" s="183"/>
      <c r="FG573" s="183"/>
      <c r="FH573" s="183"/>
      <c r="FI573" s="183"/>
      <c r="FJ573" s="183"/>
      <c r="FK573" s="183"/>
      <c r="FL573" s="183"/>
      <c r="FM573" s="183"/>
      <c r="FN573" s="183"/>
      <c r="FO573" s="183"/>
      <c r="FP573" s="183"/>
      <c r="FQ573" s="183"/>
      <c r="FR573" s="183"/>
      <c r="FS573" s="183"/>
      <c r="FT573" s="183"/>
      <c r="FU573" s="183"/>
      <c r="FV573" s="183"/>
      <c r="FW573" s="183"/>
      <c r="FX573" s="183"/>
      <c r="FY573" s="183"/>
    </row>
    <row r="574" spans="1:181" ht="11.25" customHeight="1">
      <c r="A574" s="183"/>
      <c r="B574" s="183"/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  <c r="FE574" s="183"/>
      <c r="FF574" s="183"/>
      <c r="FG574" s="183"/>
      <c r="FH574" s="183"/>
      <c r="FI574" s="183"/>
      <c r="FJ574" s="183"/>
      <c r="FK574" s="183"/>
      <c r="FL574" s="183"/>
      <c r="FM574" s="183"/>
      <c r="FN574" s="183"/>
      <c r="FO574" s="183"/>
      <c r="FP574" s="183"/>
      <c r="FQ574" s="183"/>
      <c r="FR574" s="183"/>
      <c r="FS574" s="183"/>
      <c r="FT574" s="183"/>
      <c r="FU574" s="183"/>
      <c r="FV574" s="183"/>
      <c r="FW574" s="183"/>
      <c r="FX574" s="183"/>
      <c r="FY574" s="183"/>
    </row>
    <row r="575" spans="1:181" ht="11.25" customHeight="1">
      <c r="A575" s="183"/>
      <c r="B575" s="183"/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  <c r="FE575" s="183"/>
      <c r="FF575" s="183"/>
      <c r="FG575" s="183"/>
      <c r="FH575" s="183"/>
      <c r="FI575" s="183"/>
      <c r="FJ575" s="183"/>
      <c r="FK575" s="183"/>
      <c r="FL575" s="183"/>
      <c r="FM575" s="183"/>
      <c r="FN575" s="183"/>
      <c r="FO575" s="183"/>
      <c r="FP575" s="183"/>
      <c r="FQ575" s="183"/>
      <c r="FR575" s="183"/>
      <c r="FS575" s="183"/>
      <c r="FT575" s="183"/>
      <c r="FU575" s="183"/>
      <c r="FV575" s="183"/>
      <c r="FW575" s="183"/>
      <c r="FX575" s="183"/>
      <c r="FY575" s="183"/>
    </row>
    <row r="576" spans="1:181" ht="11.25" customHeight="1">
      <c r="A576" s="183"/>
      <c r="B576" s="183"/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  <c r="FE576" s="183"/>
      <c r="FF576" s="183"/>
      <c r="FG576" s="183"/>
      <c r="FH576" s="183"/>
      <c r="FI576" s="183"/>
      <c r="FJ576" s="183"/>
      <c r="FK576" s="183"/>
      <c r="FL576" s="183"/>
      <c r="FM576" s="183"/>
      <c r="FN576" s="183"/>
      <c r="FO576" s="183"/>
      <c r="FP576" s="183"/>
      <c r="FQ576" s="183"/>
      <c r="FR576" s="183"/>
      <c r="FS576" s="183"/>
      <c r="FT576" s="183"/>
      <c r="FU576" s="183"/>
      <c r="FV576" s="183"/>
      <c r="FW576" s="183"/>
      <c r="FX576" s="183"/>
      <c r="FY576" s="183"/>
    </row>
    <row r="577" spans="1:181" ht="11.25" customHeight="1">
      <c r="A577" s="183"/>
      <c r="B577" s="183"/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  <c r="FE577" s="183"/>
      <c r="FF577" s="183"/>
      <c r="FG577" s="183"/>
      <c r="FH577" s="183"/>
      <c r="FI577" s="183"/>
      <c r="FJ577" s="183"/>
      <c r="FK577" s="183"/>
      <c r="FL577" s="183"/>
      <c r="FM577" s="183"/>
      <c r="FN577" s="183"/>
      <c r="FO577" s="183"/>
      <c r="FP577" s="183"/>
      <c r="FQ577" s="183"/>
      <c r="FR577" s="183"/>
      <c r="FS577" s="183"/>
      <c r="FT577" s="183"/>
      <c r="FU577" s="183"/>
      <c r="FV577" s="183"/>
      <c r="FW577" s="183"/>
      <c r="FX577" s="183"/>
      <c r="FY577" s="183"/>
    </row>
    <row r="578" spans="1:181" ht="11.25" customHeight="1">
      <c r="A578" s="183"/>
      <c r="B578" s="183"/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  <c r="FE578" s="183"/>
      <c r="FF578" s="183"/>
      <c r="FG578" s="183"/>
      <c r="FH578" s="183"/>
      <c r="FI578" s="183"/>
      <c r="FJ578" s="183"/>
      <c r="FK578" s="183"/>
      <c r="FL578" s="183"/>
      <c r="FM578" s="183"/>
      <c r="FN578" s="183"/>
      <c r="FO578" s="183"/>
      <c r="FP578" s="183"/>
      <c r="FQ578" s="183"/>
      <c r="FR578" s="183"/>
      <c r="FS578" s="183"/>
      <c r="FT578" s="183"/>
      <c r="FU578" s="183"/>
      <c r="FV578" s="183"/>
      <c r="FW578" s="183"/>
      <c r="FX578" s="183"/>
      <c r="FY578" s="183"/>
    </row>
    <row r="579" spans="1:181" ht="11.25" customHeight="1">
      <c r="A579" s="183"/>
      <c r="B579" s="183"/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  <c r="FE579" s="183"/>
      <c r="FF579" s="183"/>
      <c r="FG579" s="183"/>
      <c r="FH579" s="183"/>
      <c r="FI579" s="183"/>
      <c r="FJ579" s="183"/>
      <c r="FK579" s="183"/>
      <c r="FL579" s="183"/>
      <c r="FM579" s="183"/>
      <c r="FN579" s="183"/>
      <c r="FO579" s="183"/>
      <c r="FP579" s="183"/>
      <c r="FQ579" s="183"/>
      <c r="FR579" s="183"/>
      <c r="FS579" s="183"/>
      <c r="FT579" s="183"/>
      <c r="FU579" s="183"/>
      <c r="FV579" s="183"/>
      <c r="FW579" s="183"/>
      <c r="FX579" s="183"/>
      <c r="FY579" s="183"/>
    </row>
    <row r="580" spans="1:181" ht="11.25" customHeight="1">
      <c r="A580" s="183"/>
      <c r="B580" s="183"/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  <c r="FE580" s="183"/>
      <c r="FF580" s="183"/>
      <c r="FG580" s="183"/>
      <c r="FH580" s="183"/>
      <c r="FI580" s="183"/>
      <c r="FJ580" s="183"/>
      <c r="FK580" s="183"/>
      <c r="FL580" s="183"/>
      <c r="FM580" s="183"/>
      <c r="FN580" s="183"/>
      <c r="FO580" s="183"/>
      <c r="FP580" s="183"/>
      <c r="FQ580" s="183"/>
      <c r="FR580" s="183"/>
      <c r="FS580" s="183"/>
      <c r="FT580" s="183"/>
      <c r="FU580" s="183"/>
      <c r="FV580" s="183"/>
      <c r="FW580" s="183"/>
      <c r="FX580" s="183"/>
      <c r="FY580" s="183"/>
    </row>
    <row r="581" spans="1:181" ht="11.25" customHeight="1">
      <c r="A581" s="183"/>
      <c r="B581" s="183"/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  <c r="FE581" s="183"/>
      <c r="FF581" s="183"/>
      <c r="FG581" s="183"/>
      <c r="FH581" s="183"/>
      <c r="FI581" s="183"/>
      <c r="FJ581" s="183"/>
      <c r="FK581" s="183"/>
      <c r="FL581" s="183"/>
      <c r="FM581" s="183"/>
      <c r="FN581" s="183"/>
      <c r="FO581" s="183"/>
      <c r="FP581" s="183"/>
      <c r="FQ581" s="183"/>
      <c r="FR581" s="183"/>
      <c r="FS581" s="183"/>
      <c r="FT581" s="183"/>
      <c r="FU581" s="183"/>
      <c r="FV581" s="183"/>
      <c r="FW581" s="183"/>
      <c r="FX581" s="183"/>
      <c r="FY581" s="183"/>
    </row>
    <row r="582" spans="1:181" ht="11.25" customHeight="1">
      <c r="A582" s="183"/>
      <c r="B582" s="183"/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  <c r="FE582" s="183"/>
      <c r="FF582" s="183"/>
      <c r="FG582" s="183"/>
      <c r="FH582" s="183"/>
      <c r="FI582" s="183"/>
      <c r="FJ582" s="183"/>
      <c r="FK582" s="183"/>
      <c r="FL582" s="183"/>
      <c r="FM582" s="183"/>
      <c r="FN582" s="183"/>
      <c r="FO582" s="183"/>
      <c r="FP582" s="183"/>
      <c r="FQ582" s="183"/>
      <c r="FR582" s="183"/>
      <c r="FS582" s="183"/>
      <c r="FT582" s="183"/>
      <c r="FU582" s="183"/>
      <c r="FV582" s="183"/>
      <c r="FW582" s="183"/>
      <c r="FX582" s="183"/>
      <c r="FY582" s="183"/>
    </row>
    <row r="583" spans="1:181" ht="11.25" customHeight="1">
      <c r="A583" s="183"/>
      <c r="B583" s="183"/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  <c r="FE583" s="183"/>
      <c r="FF583" s="183"/>
      <c r="FG583" s="183"/>
      <c r="FH583" s="183"/>
      <c r="FI583" s="183"/>
      <c r="FJ583" s="183"/>
      <c r="FK583" s="183"/>
      <c r="FL583" s="183"/>
      <c r="FM583" s="183"/>
      <c r="FN583" s="183"/>
      <c r="FO583" s="183"/>
      <c r="FP583" s="183"/>
      <c r="FQ583" s="183"/>
      <c r="FR583" s="183"/>
      <c r="FS583" s="183"/>
      <c r="FT583" s="183"/>
      <c r="FU583" s="183"/>
      <c r="FV583" s="183"/>
      <c r="FW583" s="183"/>
      <c r="FX583" s="183"/>
      <c r="FY583" s="183"/>
    </row>
    <row r="584" spans="1:181" ht="11.25" customHeight="1">
      <c r="A584" s="183"/>
      <c r="B584" s="183"/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  <c r="FE584" s="183"/>
      <c r="FF584" s="183"/>
      <c r="FG584" s="183"/>
      <c r="FH584" s="183"/>
      <c r="FI584" s="183"/>
      <c r="FJ584" s="183"/>
      <c r="FK584" s="183"/>
      <c r="FL584" s="183"/>
      <c r="FM584" s="183"/>
      <c r="FN584" s="183"/>
      <c r="FO584" s="183"/>
      <c r="FP584" s="183"/>
      <c r="FQ584" s="183"/>
      <c r="FR584" s="183"/>
      <c r="FS584" s="183"/>
      <c r="FT584" s="183"/>
      <c r="FU584" s="183"/>
      <c r="FV584" s="183"/>
      <c r="FW584" s="183"/>
      <c r="FX584" s="183"/>
      <c r="FY584" s="183"/>
    </row>
    <row r="585" spans="1:181" ht="11.25" customHeight="1">
      <c r="A585" s="183"/>
      <c r="B585" s="183"/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  <c r="FE585" s="183"/>
      <c r="FF585" s="183"/>
      <c r="FG585" s="183"/>
      <c r="FH585" s="183"/>
      <c r="FI585" s="183"/>
      <c r="FJ585" s="183"/>
      <c r="FK585" s="183"/>
      <c r="FL585" s="183"/>
      <c r="FM585" s="183"/>
      <c r="FN585" s="183"/>
      <c r="FO585" s="183"/>
      <c r="FP585" s="183"/>
      <c r="FQ585" s="183"/>
      <c r="FR585" s="183"/>
      <c r="FS585" s="183"/>
      <c r="FT585" s="183"/>
      <c r="FU585" s="183"/>
      <c r="FV585" s="183"/>
      <c r="FW585" s="183"/>
      <c r="FX585" s="183"/>
      <c r="FY585" s="183"/>
    </row>
    <row r="586" spans="1:181" ht="11.25" customHeight="1">
      <c r="A586" s="183"/>
      <c r="B586" s="183"/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  <c r="FE586" s="183"/>
      <c r="FF586" s="183"/>
      <c r="FG586" s="183"/>
      <c r="FH586" s="183"/>
      <c r="FI586" s="183"/>
      <c r="FJ586" s="183"/>
      <c r="FK586" s="183"/>
      <c r="FL586" s="183"/>
      <c r="FM586" s="183"/>
      <c r="FN586" s="183"/>
      <c r="FO586" s="183"/>
      <c r="FP586" s="183"/>
      <c r="FQ586" s="183"/>
      <c r="FR586" s="183"/>
      <c r="FS586" s="183"/>
      <c r="FT586" s="183"/>
      <c r="FU586" s="183"/>
      <c r="FV586" s="183"/>
      <c r="FW586" s="183"/>
      <c r="FX586" s="183"/>
      <c r="FY586" s="183"/>
    </row>
    <row r="587" spans="1:181" ht="11.25" customHeight="1">
      <c r="A587" s="183"/>
      <c r="B587" s="183"/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  <c r="FE587" s="183"/>
      <c r="FF587" s="183"/>
      <c r="FG587" s="183"/>
      <c r="FH587" s="183"/>
      <c r="FI587" s="183"/>
      <c r="FJ587" s="183"/>
      <c r="FK587" s="183"/>
      <c r="FL587" s="183"/>
      <c r="FM587" s="183"/>
      <c r="FN587" s="183"/>
      <c r="FO587" s="183"/>
      <c r="FP587" s="183"/>
      <c r="FQ587" s="183"/>
      <c r="FR587" s="183"/>
      <c r="FS587" s="183"/>
      <c r="FT587" s="183"/>
      <c r="FU587" s="183"/>
      <c r="FV587" s="183"/>
      <c r="FW587" s="183"/>
      <c r="FX587" s="183"/>
      <c r="FY587" s="183"/>
    </row>
    <row r="588" spans="1:181" ht="11.25" customHeight="1">
      <c r="A588" s="183"/>
      <c r="B588" s="183"/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  <c r="FE588" s="183"/>
      <c r="FF588" s="183"/>
      <c r="FG588" s="183"/>
      <c r="FH588" s="183"/>
      <c r="FI588" s="183"/>
      <c r="FJ588" s="183"/>
      <c r="FK588" s="183"/>
      <c r="FL588" s="183"/>
      <c r="FM588" s="183"/>
      <c r="FN588" s="183"/>
      <c r="FO588" s="183"/>
      <c r="FP588" s="183"/>
      <c r="FQ588" s="183"/>
      <c r="FR588" s="183"/>
      <c r="FS588" s="183"/>
      <c r="FT588" s="183"/>
      <c r="FU588" s="183"/>
      <c r="FV588" s="183"/>
      <c r="FW588" s="183"/>
      <c r="FX588" s="183"/>
      <c r="FY588" s="183"/>
    </row>
    <row r="589" spans="1:181" ht="11.25" customHeight="1">
      <c r="A589" s="183"/>
      <c r="B589" s="183"/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  <c r="FE589" s="183"/>
      <c r="FF589" s="183"/>
      <c r="FG589" s="183"/>
      <c r="FH589" s="183"/>
      <c r="FI589" s="183"/>
      <c r="FJ589" s="183"/>
      <c r="FK589" s="183"/>
      <c r="FL589" s="183"/>
      <c r="FM589" s="183"/>
      <c r="FN589" s="183"/>
      <c r="FO589" s="183"/>
      <c r="FP589" s="183"/>
      <c r="FQ589" s="183"/>
      <c r="FR589" s="183"/>
      <c r="FS589" s="183"/>
      <c r="FT589" s="183"/>
      <c r="FU589" s="183"/>
      <c r="FV589" s="183"/>
      <c r="FW589" s="183"/>
      <c r="FX589" s="183"/>
      <c r="FY589" s="183"/>
    </row>
    <row r="590" spans="1:181" ht="11.25" customHeight="1">
      <c r="A590" s="183"/>
      <c r="B590" s="183"/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  <c r="FE590" s="183"/>
      <c r="FF590" s="183"/>
      <c r="FG590" s="183"/>
      <c r="FH590" s="183"/>
      <c r="FI590" s="183"/>
      <c r="FJ590" s="183"/>
      <c r="FK590" s="183"/>
      <c r="FL590" s="183"/>
      <c r="FM590" s="183"/>
      <c r="FN590" s="183"/>
      <c r="FO590" s="183"/>
      <c r="FP590" s="183"/>
      <c r="FQ590" s="183"/>
      <c r="FR590" s="183"/>
      <c r="FS590" s="183"/>
      <c r="FT590" s="183"/>
      <c r="FU590" s="183"/>
      <c r="FV590" s="183"/>
      <c r="FW590" s="183"/>
      <c r="FX590" s="183"/>
      <c r="FY590" s="183"/>
    </row>
    <row r="591" spans="1:181" ht="11.25" customHeight="1">
      <c r="A591" s="183"/>
      <c r="B591" s="183"/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  <c r="FE591" s="183"/>
      <c r="FF591" s="183"/>
      <c r="FG591" s="183"/>
      <c r="FH591" s="183"/>
      <c r="FI591" s="183"/>
      <c r="FJ591" s="183"/>
      <c r="FK591" s="183"/>
      <c r="FL591" s="183"/>
      <c r="FM591" s="183"/>
      <c r="FN591" s="183"/>
      <c r="FO591" s="183"/>
      <c r="FP591" s="183"/>
      <c r="FQ591" s="183"/>
      <c r="FR591" s="183"/>
      <c r="FS591" s="183"/>
      <c r="FT591" s="183"/>
      <c r="FU591" s="183"/>
      <c r="FV591" s="183"/>
      <c r="FW591" s="183"/>
      <c r="FX591" s="183"/>
      <c r="FY591" s="183"/>
    </row>
    <row r="592" spans="1:181" ht="11.25" customHeight="1">
      <c r="A592" s="183"/>
      <c r="B592" s="183"/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  <c r="FE592" s="183"/>
      <c r="FF592" s="183"/>
      <c r="FG592" s="183"/>
      <c r="FH592" s="183"/>
      <c r="FI592" s="183"/>
      <c r="FJ592" s="183"/>
      <c r="FK592" s="183"/>
      <c r="FL592" s="183"/>
      <c r="FM592" s="183"/>
      <c r="FN592" s="183"/>
      <c r="FO592" s="183"/>
      <c r="FP592" s="183"/>
      <c r="FQ592" s="183"/>
      <c r="FR592" s="183"/>
      <c r="FS592" s="183"/>
      <c r="FT592" s="183"/>
      <c r="FU592" s="183"/>
      <c r="FV592" s="183"/>
      <c r="FW592" s="183"/>
      <c r="FX592" s="183"/>
      <c r="FY592" s="183"/>
    </row>
    <row r="593" spans="1:181" ht="11.25" customHeight="1">
      <c r="A593" s="183"/>
      <c r="B593" s="183"/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  <c r="FE593" s="183"/>
      <c r="FF593" s="183"/>
      <c r="FG593" s="183"/>
      <c r="FH593" s="183"/>
      <c r="FI593" s="183"/>
      <c r="FJ593" s="183"/>
      <c r="FK593" s="183"/>
      <c r="FL593" s="183"/>
      <c r="FM593" s="183"/>
      <c r="FN593" s="183"/>
      <c r="FO593" s="183"/>
      <c r="FP593" s="183"/>
      <c r="FQ593" s="183"/>
      <c r="FR593" s="183"/>
      <c r="FS593" s="183"/>
      <c r="FT593" s="183"/>
      <c r="FU593" s="183"/>
      <c r="FV593" s="183"/>
      <c r="FW593" s="183"/>
      <c r="FX593" s="183"/>
      <c r="FY593" s="183"/>
    </row>
    <row r="594" spans="1:181" ht="11.25" customHeight="1">
      <c r="A594" s="183"/>
      <c r="B594" s="183"/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  <c r="FE594" s="183"/>
      <c r="FF594" s="183"/>
      <c r="FG594" s="183"/>
      <c r="FH594" s="183"/>
      <c r="FI594" s="183"/>
      <c r="FJ594" s="183"/>
      <c r="FK594" s="183"/>
      <c r="FL594" s="183"/>
      <c r="FM594" s="183"/>
      <c r="FN594" s="183"/>
      <c r="FO594" s="183"/>
      <c r="FP594" s="183"/>
      <c r="FQ594" s="183"/>
      <c r="FR594" s="183"/>
      <c r="FS594" s="183"/>
      <c r="FT594" s="183"/>
      <c r="FU594" s="183"/>
      <c r="FV594" s="183"/>
      <c r="FW594" s="183"/>
      <c r="FX594" s="183"/>
      <c r="FY594" s="183"/>
    </row>
    <row r="595" spans="1:181" ht="11.25" customHeight="1">
      <c r="A595" s="183"/>
      <c r="B595" s="183"/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  <c r="FE595" s="183"/>
      <c r="FF595" s="183"/>
      <c r="FG595" s="183"/>
      <c r="FH595" s="183"/>
      <c r="FI595" s="183"/>
      <c r="FJ595" s="183"/>
      <c r="FK595" s="183"/>
      <c r="FL595" s="183"/>
      <c r="FM595" s="183"/>
      <c r="FN595" s="183"/>
      <c r="FO595" s="183"/>
      <c r="FP595" s="183"/>
      <c r="FQ595" s="183"/>
      <c r="FR595" s="183"/>
      <c r="FS595" s="183"/>
      <c r="FT595" s="183"/>
      <c r="FU595" s="183"/>
      <c r="FV595" s="183"/>
      <c r="FW595" s="183"/>
      <c r="FX595" s="183"/>
      <c r="FY595" s="183"/>
    </row>
    <row r="596" spans="1:181" ht="11.25" customHeight="1">
      <c r="A596" s="183"/>
      <c r="B596" s="183"/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  <c r="FE596" s="183"/>
      <c r="FF596" s="183"/>
      <c r="FG596" s="183"/>
      <c r="FH596" s="183"/>
      <c r="FI596" s="183"/>
      <c r="FJ596" s="183"/>
      <c r="FK596" s="183"/>
      <c r="FL596" s="183"/>
      <c r="FM596" s="183"/>
      <c r="FN596" s="183"/>
      <c r="FO596" s="183"/>
      <c r="FP596" s="183"/>
      <c r="FQ596" s="183"/>
      <c r="FR596" s="183"/>
      <c r="FS596" s="183"/>
      <c r="FT596" s="183"/>
      <c r="FU596" s="183"/>
      <c r="FV596" s="183"/>
      <c r="FW596" s="183"/>
      <c r="FX596" s="183"/>
      <c r="FY596" s="183"/>
    </row>
    <row r="597" spans="1:181" ht="11.25" customHeight="1">
      <c r="A597" s="183"/>
      <c r="B597" s="183"/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  <c r="FE597" s="183"/>
      <c r="FF597" s="183"/>
      <c r="FG597" s="183"/>
      <c r="FH597" s="183"/>
      <c r="FI597" s="183"/>
      <c r="FJ597" s="183"/>
      <c r="FK597" s="183"/>
      <c r="FL597" s="183"/>
      <c r="FM597" s="183"/>
      <c r="FN597" s="183"/>
      <c r="FO597" s="183"/>
      <c r="FP597" s="183"/>
      <c r="FQ597" s="183"/>
      <c r="FR597" s="183"/>
      <c r="FS597" s="183"/>
      <c r="FT597" s="183"/>
      <c r="FU597" s="183"/>
      <c r="FV597" s="183"/>
      <c r="FW597" s="183"/>
      <c r="FX597" s="183"/>
      <c r="FY597" s="183"/>
    </row>
    <row r="598" spans="1:181" ht="11.25" customHeight="1">
      <c r="A598" s="183"/>
      <c r="B598" s="183"/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  <c r="FE598" s="183"/>
      <c r="FF598" s="183"/>
      <c r="FG598" s="183"/>
      <c r="FH598" s="183"/>
      <c r="FI598" s="183"/>
      <c r="FJ598" s="183"/>
      <c r="FK598" s="183"/>
      <c r="FL598" s="183"/>
      <c r="FM598" s="183"/>
      <c r="FN598" s="183"/>
      <c r="FO598" s="183"/>
      <c r="FP598" s="183"/>
      <c r="FQ598" s="183"/>
      <c r="FR598" s="183"/>
      <c r="FS598" s="183"/>
      <c r="FT598" s="183"/>
      <c r="FU598" s="183"/>
      <c r="FV598" s="183"/>
      <c r="FW598" s="183"/>
      <c r="FX598" s="183"/>
      <c r="FY598" s="183"/>
    </row>
    <row r="599" spans="1:181" ht="11.25" customHeight="1">
      <c r="A599" s="183"/>
      <c r="B599" s="183"/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  <c r="FE599" s="183"/>
      <c r="FF599" s="183"/>
      <c r="FG599" s="183"/>
      <c r="FH599" s="183"/>
      <c r="FI599" s="183"/>
      <c r="FJ599" s="183"/>
      <c r="FK599" s="183"/>
      <c r="FL599" s="183"/>
      <c r="FM599" s="183"/>
      <c r="FN599" s="183"/>
      <c r="FO599" s="183"/>
      <c r="FP599" s="183"/>
      <c r="FQ599" s="183"/>
      <c r="FR599" s="183"/>
      <c r="FS599" s="183"/>
      <c r="FT599" s="183"/>
      <c r="FU599" s="183"/>
      <c r="FV599" s="183"/>
      <c r="FW599" s="183"/>
      <c r="FX599" s="183"/>
      <c r="FY599" s="183"/>
    </row>
    <row r="600" spans="1:181" ht="11.25" customHeight="1">
      <c r="A600" s="183"/>
      <c r="B600" s="183"/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  <c r="FE600" s="183"/>
      <c r="FF600" s="183"/>
      <c r="FG600" s="183"/>
      <c r="FH600" s="183"/>
      <c r="FI600" s="183"/>
      <c r="FJ600" s="183"/>
      <c r="FK600" s="183"/>
      <c r="FL600" s="183"/>
      <c r="FM600" s="183"/>
      <c r="FN600" s="183"/>
      <c r="FO600" s="183"/>
      <c r="FP600" s="183"/>
      <c r="FQ600" s="183"/>
      <c r="FR600" s="183"/>
      <c r="FS600" s="183"/>
      <c r="FT600" s="183"/>
      <c r="FU600" s="183"/>
      <c r="FV600" s="183"/>
      <c r="FW600" s="183"/>
      <c r="FX600" s="183"/>
      <c r="FY600" s="183"/>
    </row>
    <row r="601" spans="1:181" ht="11.25" customHeight="1">
      <c r="A601" s="183"/>
      <c r="B601" s="183"/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  <c r="FE601" s="183"/>
      <c r="FF601" s="183"/>
      <c r="FG601" s="183"/>
      <c r="FH601" s="183"/>
      <c r="FI601" s="183"/>
      <c r="FJ601" s="183"/>
      <c r="FK601" s="183"/>
      <c r="FL601" s="183"/>
      <c r="FM601" s="183"/>
      <c r="FN601" s="183"/>
      <c r="FO601" s="183"/>
      <c r="FP601" s="183"/>
      <c r="FQ601" s="183"/>
      <c r="FR601" s="183"/>
      <c r="FS601" s="183"/>
      <c r="FT601" s="183"/>
      <c r="FU601" s="183"/>
      <c r="FV601" s="183"/>
      <c r="FW601" s="183"/>
      <c r="FX601" s="183"/>
      <c r="FY601" s="183"/>
    </row>
    <row r="602" spans="1:181" ht="11.25" customHeight="1">
      <c r="A602" s="183"/>
      <c r="B602" s="183"/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  <c r="FE602" s="183"/>
      <c r="FF602" s="183"/>
      <c r="FG602" s="183"/>
      <c r="FH602" s="183"/>
      <c r="FI602" s="183"/>
      <c r="FJ602" s="183"/>
      <c r="FK602" s="183"/>
      <c r="FL602" s="183"/>
      <c r="FM602" s="183"/>
      <c r="FN602" s="183"/>
      <c r="FO602" s="183"/>
      <c r="FP602" s="183"/>
      <c r="FQ602" s="183"/>
      <c r="FR602" s="183"/>
      <c r="FS602" s="183"/>
      <c r="FT602" s="183"/>
      <c r="FU602" s="183"/>
      <c r="FV602" s="183"/>
      <c r="FW602" s="183"/>
      <c r="FX602" s="183"/>
      <c r="FY602" s="183"/>
    </row>
    <row r="603" spans="1:181" ht="11.25" customHeight="1">
      <c r="A603" s="183"/>
      <c r="B603" s="183"/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  <c r="FE603" s="183"/>
      <c r="FF603" s="183"/>
      <c r="FG603" s="183"/>
      <c r="FH603" s="183"/>
      <c r="FI603" s="183"/>
      <c r="FJ603" s="183"/>
      <c r="FK603" s="183"/>
      <c r="FL603" s="183"/>
      <c r="FM603" s="183"/>
      <c r="FN603" s="183"/>
      <c r="FO603" s="183"/>
      <c r="FP603" s="183"/>
      <c r="FQ603" s="183"/>
      <c r="FR603" s="183"/>
      <c r="FS603" s="183"/>
      <c r="FT603" s="183"/>
      <c r="FU603" s="183"/>
      <c r="FV603" s="183"/>
      <c r="FW603" s="183"/>
      <c r="FX603" s="183"/>
      <c r="FY603" s="183"/>
    </row>
    <row r="604" spans="1:181" ht="11.25" customHeight="1">
      <c r="A604" s="183"/>
      <c r="B604" s="183"/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  <c r="FE604" s="183"/>
      <c r="FF604" s="183"/>
      <c r="FG604" s="183"/>
      <c r="FH604" s="183"/>
      <c r="FI604" s="183"/>
      <c r="FJ604" s="183"/>
      <c r="FK604" s="183"/>
      <c r="FL604" s="183"/>
      <c r="FM604" s="183"/>
      <c r="FN604" s="183"/>
      <c r="FO604" s="183"/>
      <c r="FP604" s="183"/>
      <c r="FQ604" s="183"/>
      <c r="FR604" s="183"/>
      <c r="FS604" s="183"/>
      <c r="FT604" s="183"/>
      <c r="FU604" s="183"/>
      <c r="FV604" s="183"/>
      <c r="FW604" s="183"/>
      <c r="FX604" s="183"/>
      <c r="FY604" s="183"/>
    </row>
    <row r="605" spans="1:181" ht="11.25" customHeight="1">
      <c r="A605" s="183"/>
      <c r="B605" s="183"/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  <c r="FE605" s="183"/>
      <c r="FF605" s="183"/>
      <c r="FG605" s="183"/>
      <c r="FH605" s="183"/>
      <c r="FI605" s="183"/>
      <c r="FJ605" s="183"/>
      <c r="FK605" s="183"/>
      <c r="FL605" s="183"/>
      <c r="FM605" s="183"/>
      <c r="FN605" s="183"/>
      <c r="FO605" s="183"/>
      <c r="FP605" s="183"/>
      <c r="FQ605" s="183"/>
      <c r="FR605" s="183"/>
      <c r="FS605" s="183"/>
      <c r="FT605" s="183"/>
      <c r="FU605" s="183"/>
      <c r="FV605" s="183"/>
      <c r="FW605" s="183"/>
      <c r="FX605" s="183"/>
      <c r="FY605" s="183"/>
    </row>
    <row r="606" spans="1:181" ht="11.25" customHeight="1">
      <c r="A606" s="183"/>
      <c r="B606" s="183"/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  <c r="FE606" s="183"/>
      <c r="FF606" s="183"/>
      <c r="FG606" s="183"/>
      <c r="FH606" s="183"/>
      <c r="FI606" s="183"/>
      <c r="FJ606" s="183"/>
      <c r="FK606" s="183"/>
      <c r="FL606" s="183"/>
      <c r="FM606" s="183"/>
      <c r="FN606" s="183"/>
      <c r="FO606" s="183"/>
      <c r="FP606" s="183"/>
      <c r="FQ606" s="183"/>
      <c r="FR606" s="183"/>
      <c r="FS606" s="183"/>
      <c r="FT606" s="183"/>
      <c r="FU606" s="183"/>
      <c r="FV606" s="183"/>
      <c r="FW606" s="183"/>
      <c r="FX606" s="183"/>
      <c r="FY606" s="183"/>
    </row>
    <row r="607" spans="1:181" ht="11.25" customHeight="1">
      <c r="A607" s="183"/>
      <c r="B607" s="183"/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  <c r="FE607" s="183"/>
      <c r="FF607" s="183"/>
      <c r="FG607" s="183"/>
      <c r="FH607" s="183"/>
      <c r="FI607" s="183"/>
      <c r="FJ607" s="183"/>
      <c r="FK607" s="183"/>
      <c r="FL607" s="183"/>
      <c r="FM607" s="183"/>
      <c r="FN607" s="183"/>
      <c r="FO607" s="183"/>
      <c r="FP607" s="183"/>
      <c r="FQ607" s="183"/>
      <c r="FR607" s="183"/>
      <c r="FS607" s="183"/>
      <c r="FT607" s="183"/>
      <c r="FU607" s="183"/>
      <c r="FV607" s="183"/>
      <c r="FW607" s="183"/>
      <c r="FX607" s="183"/>
      <c r="FY607" s="183"/>
    </row>
    <row r="608" spans="1:181" ht="11.25" customHeight="1">
      <c r="A608" s="183"/>
      <c r="B608" s="183"/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  <c r="FE608" s="183"/>
      <c r="FF608" s="183"/>
      <c r="FG608" s="183"/>
      <c r="FH608" s="183"/>
      <c r="FI608" s="183"/>
      <c r="FJ608" s="183"/>
      <c r="FK608" s="183"/>
      <c r="FL608" s="183"/>
      <c r="FM608" s="183"/>
      <c r="FN608" s="183"/>
      <c r="FO608" s="183"/>
      <c r="FP608" s="183"/>
      <c r="FQ608" s="183"/>
      <c r="FR608" s="183"/>
      <c r="FS608" s="183"/>
      <c r="FT608" s="183"/>
      <c r="FU608" s="183"/>
      <c r="FV608" s="183"/>
      <c r="FW608" s="183"/>
      <c r="FX608" s="183"/>
      <c r="FY608" s="183"/>
    </row>
    <row r="609" spans="1:181" ht="11.25" customHeight="1">
      <c r="A609" s="183"/>
      <c r="B609" s="183"/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  <c r="FE609" s="183"/>
      <c r="FF609" s="183"/>
      <c r="FG609" s="183"/>
      <c r="FH609" s="183"/>
      <c r="FI609" s="183"/>
      <c r="FJ609" s="183"/>
      <c r="FK609" s="183"/>
      <c r="FL609" s="183"/>
      <c r="FM609" s="183"/>
      <c r="FN609" s="183"/>
      <c r="FO609" s="183"/>
      <c r="FP609" s="183"/>
      <c r="FQ609" s="183"/>
      <c r="FR609" s="183"/>
      <c r="FS609" s="183"/>
      <c r="FT609" s="183"/>
      <c r="FU609" s="183"/>
      <c r="FV609" s="183"/>
      <c r="FW609" s="183"/>
      <c r="FX609" s="183"/>
      <c r="FY609" s="183"/>
    </row>
    <row r="610" spans="1:181" ht="11.25" customHeight="1">
      <c r="A610" s="183"/>
      <c r="B610" s="183"/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  <c r="FE610" s="183"/>
      <c r="FF610" s="183"/>
      <c r="FG610" s="183"/>
      <c r="FH610" s="183"/>
      <c r="FI610" s="183"/>
      <c r="FJ610" s="183"/>
      <c r="FK610" s="183"/>
      <c r="FL610" s="183"/>
      <c r="FM610" s="183"/>
      <c r="FN610" s="183"/>
      <c r="FO610" s="183"/>
      <c r="FP610" s="183"/>
      <c r="FQ610" s="183"/>
      <c r="FR610" s="183"/>
      <c r="FS610" s="183"/>
      <c r="FT610" s="183"/>
      <c r="FU610" s="183"/>
      <c r="FV610" s="183"/>
      <c r="FW610" s="183"/>
      <c r="FX610" s="183"/>
      <c r="FY610" s="183"/>
    </row>
    <row r="611" spans="1:181" ht="11.25" customHeight="1">
      <c r="A611" s="183"/>
      <c r="B611" s="183"/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  <c r="FE611" s="183"/>
      <c r="FF611" s="183"/>
      <c r="FG611" s="183"/>
      <c r="FH611" s="183"/>
      <c r="FI611" s="183"/>
      <c r="FJ611" s="183"/>
      <c r="FK611" s="183"/>
      <c r="FL611" s="183"/>
      <c r="FM611" s="183"/>
      <c r="FN611" s="183"/>
      <c r="FO611" s="183"/>
      <c r="FP611" s="183"/>
      <c r="FQ611" s="183"/>
      <c r="FR611" s="183"/>
      <c r="FS611" s="183"/>
      <c r="FT611" s="183"/>
      <c r="FU611" s="183"/>
      <c r="FV611" s="183"/>
      <c r="FW611" s="183"/>
      <c r="FX611" s="183"/>
      <c r="FY611" s="183"/>
    </row>
    <row r="612" spans="1:181" ht="11.25" customHeight="1">
      <c r="A612" s="183"/>
      <c r="B612" s="183"/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  <c r="FE612" s="183"/>
      <c r="FF612" s="183"/>
      <c r="FG612" s="183"/>
      <c r="FH612" s="183"/>
      <c r="FI612" s="183"/>
      <c r="FJ612" s="183"/>
      <c r="FK612" s="183"/>
      <c r="FL612" s="183"/>
      <c r="FM612" s="183"/>
      <c r="FN612" s="183"/>
      <c r="FO612" s="183"/>
      <c r="FP612" s="183"/>
      <c r="FQ612" s="183"/>
      <c r="FR612" s="183"/>
      <c r="FS612" s="183"/>
      <c r="FT612" s="183"/>
      <c r="FU612" s="183"/>
      <c r="FV612" s="183"/>
      <c r="FW612" s="183"/>
      <c r="FX612" s="183"/>
      <c r="FY612" s="183"/>
    </row>
    <row r="613" spans="1:181" ht="11.25" customHeight="1">
      <c r="A613" s="183"/>
      <c r="B613" s="183"/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  <c r="FE613" s="183"/>
      <c r="FF613" s="183"/>
      <c r="FG613" s="183"/>
      <c r="FH613" s="183"/>
      <c r="FI613" s="183"/>
      <c r="FJ613" s="183"/>
      <c r="FK613" s="183"/>
      <c r="FL613" s="183"/>
      <c r="FM613" s="183"/>
      <c r="FN613" s="183"/>
      <c r="FO613" s="183"/>
      <c r="FP613" s="183"/>
      <c r="FQ613" s="183"/>
      <c r="FR613" s="183"/>
      <c r="FS613" s="183"/>
      <c r="FT613" s="183"/>
      <c r="FU613" s="183"/>
      <c r="FV613" s="183"/>
      <c r="FW613" s="183"/>
      <c r="FX613" s="183"/>
      <c r="FY613" s="183"/>
    </row>
    <row r="614" spans="1:181" ht="11.25" customHeight="1">
      <c r="A614" s="183"/>
      <c r="B614" s="183"/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  <c r="FE614" s="183"/>
      <c r="FF614" s="183"/>
      <c r="FG614" s="183"/>
      <c r="FH614" s="183"/>
      <c r="FI614" s="183"/>
      <c r="FJ614" s="183"/>
      <c r="FK614" s="183"/>
      <c r="FL614" s="183"/>
      <c r="FM614" s="183"/>
      <c r="FN614" s="183"/>
      <c r="FO614" s="183"/>
      <c r="FP614" s="183"/>
      <c r="FQ614" s="183"/>
      <c r="FR614" s="183"/>
      <c r="FS614" s="183"/>
      <c r="FT614" s="183"/>
      <c r="FU614" s="183"/>
      <c r="FV614" s="183"/>
      <c r="FW614" s="183"/>
      <c r="FX614" s="183"/>
      <c r="FY614" s="183"/>
    </row>
    <row r="615" spans="1:181" ht="11.25" customHeight="1">
      <c r="A615" s="183"/>
      <c r="B615" s="183"/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  <c r="FE615" s="183"/>
      <c r="FF615" s="183"/>
      <c r="FG615" s="183"/>
      <c r="FH615" s="183"/>
      <c r="FI615" s="183"/>
      <c r="FJ615" s="183"/>
      <c r="FK615" s="183"/>
      <c r="FL615" s="183"/>
      <c r="FM615" s="183"/>
      <c r="FN615" s="183"/>
      <c r="FO615" s="183"/>
      <c r="FP615" s="183"/>
      <c r="FQ615" s="183"/>
      <c r="FR615" s="183"/>
      <c r="FS615" s="183"/>
      <c r="FT615" s="183"/>
      <c r="FU615" s="183"/>
      <c r="FV615" s="183"/>
      <c r="FW615" s="183"/>
      <c r="FX615" s="183"/>
      <c r="FY615" s="183"/>
    </row>
    <row r="616" spans="1:181" ht="11.25" customHeight="1">
      <c r="A616" s="183"/>
      <c r="B616" s="183"/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  <c r="FE616" s="183"/>
      <c r="FF616" s="183"/>
      <c r="FG616" s="183"/>
      <c r="FH616" s="183"/>
      <c r="FI616" s="183"/>
      <c r="FJ616" s="183"/>
      <c r="FK616" s="183"/>
      <c r="FL616" s="183"/>
      <c r="FM616" s="183"/>
      <c r="FN616" s="183"/>
      <c r="FO616" s="183"/>
      <c r="FP616" s="183"/>
      <c r="FQ616" s="183"/>
      <c r="FR616" s="183"/>
      <c r="FS616" s="183"/>
      <c r="FT616" s="183"/>
      <c r="FU616" s="183"/>
      <c r="FV616" s="183"/>
      <c r="FW616" s="183"/>
      <c r="FX616" s="183"/>
      <c r="FY616" s="183"/>
    </row>
    <row r="617" spans="1:181" ht="11.25" customHeight="1">
      <c r="A617" s="183"/>
      <c r="B617" s="183"/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  <c r="FE617" s="183"/>
      <c r="FF617" s="183"/>
      <c r="FG617" s="183"/>
      <c r="FH617" s="183"/>
      <c r="FI617" s="183"/>
      <c r="FJ617" s="183"/>
      <c r="FK617" s="183"/>
      <c r="FL617" s="183"/>
      <c r="FM617" s="183"/>
      <c r="FN617" s="183"/>
      <c r="FO617" s="183"/>
      <c r="FP617" s="183"/>
      <c r="FQ617" s="183"/>
      <c r="FR617" s="183"/>
      <c r="FS617" s="183"/>
      <c r="FT617" s="183"/>
      <c r="FU617" s="183"/>
      <c r="FV617" s="183"/>
      <c r="FW617" s="183"/>
      <c r="FX617" s="183"/>
      <c r="FY617" s="183"/>
    </row>
    <row r="618" spans="1:181" ht="11.25" customHeight="1">
      <c r="A618" s="183"/>
      <c r="B618" s="183"/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  <c r="FE618" s="183"/>
      <c r="FF618" s="183"/>
      <c r="FG618" s="183"/>
      <c r="FH618" s="183"/>
      <c r="FI618" s="183"/>
      <c r="FJ618" s="183"/>
      <c r="FK618" s="183"/>
      <c r="FL618" s="183"/>
      <c r="FM618" s="183"/>
      <c r="FN618" s="183"/>
      <c r="FO618" s="183"/>
      <c r="FP618" s="183"/>
      <c r="FQ618" s="183"/>
      <c r="FR618" s="183"/>
      <c r="FS618" s="183"/>
      <c r="FT618" s="183"/>
      <c r="FU618" s="183"/>
      <c r="FV618" s="183"/>
      <c r="FW618" s="183"/>
      <c r="FX618" s="183"/>
      <c r="FY618" s="183"/>
    </row>
    <row r="619" spans="1:181" ht="11.25" customHeight="1">
      <c r="A619" s="183"/>
      <c r="B619" s="183"/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  <c r="FE619" s="183"/>
      <c r="FF619" s="183"/>
      <c r="FG619" s="183"/>
      <c r="FH619" s="183"/>
      <c r="FI619" s="183"/>
      <c r="FJ619" s="183"/>
      <c r="FK619" s="183"/>
      <c r="FL619" s="183"/>
      <c r="FM619" s="183"/>
      <c r="FN619" s="183"/>
      <c r="FO619" s="183"/>
      <c r="FP619" s="183"/>
      <c r="FQ619" s="183"/>
      <c r="FR619" s="183"/>
      <c r="FS619" s="183"/>
      <c r="FT619" s="183"/>
      <c r="FU619" s="183"/>
      <c r="FV619" s="183"/>
      <c r="FW619" s="183"/>
      <c r="FX619" s="183"/>
      <c r="FY619" s="183"/>
    </row>
    <row r="620" spans="1:181" ht="11.25" customHeight="1">
      <c r="A620" s="183"/>
      <c r="B620" s="183"/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  <c r="FE620" s="183"/>
      <c r="FF620" s="183"/>
      <c r="FG620" s="183"/>
      <c r="FH620" s="183"/>
      <c r="FI620" s="183"/>
      <c r="FJ620" s="183"/>
      <c r="FK620" s="183"/>
      <c r="FL620" s="183"/>
      <c r="FM620" s="183"/>
      <c r="FN620" s="183"/>
      <c r="FO620" s="183"/>
      <c r="FP620" s="183"/>
      <c r="FQ620" s="183"/>
      <c r="FR620" s="183"/>
      <c r="FS620" s="183"/>
      <c r="FT620" s="183"/>
      <c r="FU620" s="183"/>
      <c r="FV620" s="183"/>
      <c r="FW620" s="183"/>
      <c r="FX620" s="183"/>
      <c r="FY620" s="183"/>
    </row>
    <row r="621" spans="1:181" ht="11.25" customHeight="1">
      <c r="A621" s="183"/>
      <c r="B621" s="183"/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  <c r="FE621" s="183"/>
      <c r="FF621" s="183"/>
      <c r="FG621" s="183"/>
      <c r="FH621" s="183"/>
      <c r="FI621" s="183"/>
      <c r="FJ621" s="183"/>
      <c r="FK621" s="183"/>
      <c r="FL621" s="183"/>
      <c r="FM621" s="183"/>
      <c r="FN621" s="183"/>
      <c r="FO621" s="183"/>
      <c r="FP621" s="183"/>
      <c r="FQ621" s="183"/>
      <c r="FR621" s="183"/>
      <c r="FS621" s="183"/>
      <c r="FT621" s="183"/>
      <c r="FU621" s="183"/>
      <c r="FV621" s="183"/>
      <c r="FW621" s="183"/>
      <c r="FX621" s="183"/>
      <c r="FY621" s="183"/>
    </row>
    <row r="622" spans="1:181" ht="11.25" customHeight="1">
      <c r="A622" s="183"/>
      <c r="B622" s="183"/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  <c r="FE622" s="183"/>
      <c r="FF622" s="183"/>
      <c r="FG622" s="183"/>
      <c r="FH622" s="183"/>
      <c r="FI622" s="183"/>
      <c r="FJ622" s="183"/>
      <c r="FK622" s="183"/>
      <c r="FL622" s="183"/>
      <c r="FM622" s="183"/>
      <c r="FN622" s="183"/>
      <c r="FO622" s="183"/>
      <c r="FP622" s="183"/>
      <c r="FQ622" s="183"/>
      <c r="FR622" s="183"/>
      <c r="FS622" s="183"/>
      <c r="FT622" s="183"/>
      <c r="FU622" s="183"/>
      <c r="FV622" s="183"/>
      <c r="FW622" s="183"/>
      <c r="FX622" s="183"/>
      <c r="FY622" s="183"/>
    </row>
    <row r="623" spans="1:181" ht="11.25" customHeight="1">
      <c r="A623" s="183"/>
      <c r="B623" s="183"/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  <c r="FE623" s="183"/>
      <c r="FF623" s="183"/>
      <c r="FG623" s="183"/>
      <c r="FH623" s="183"/>
      <c r="FI623" s="183"/>
      <c r="FJ623" s="183"/>
      <c r="FK623" s="183"/>
      <c r="FL623" s="183"/>
      <c r="FM623" s="183"/>
      <c r="FN623" s="183"/>
      <c r="FO623" s="183"/>
      <c r="FP623" s="183"/>
      <c r="FQ623" s="183"/>
      <c r="FR623" s="183"/>
      <c r="FS623" s="183"/>
      <c r="FT623" s="183"/>
      <c r="FU623" s="183"/>
      <c r="FV623" s="183"/>
      <c r="FW623" s="183"/>
      <c r="FX623" s="183"/>
      <c r="FY623" s="183"/>
    </row>
    <row r="624" spans="1:181" ht="11.25" customHeight="1">
      <c r="A624" s="183"/>
      <c r="B624" s="183"/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  <c r="FE624" s="183"/>
      <c r="FF624" s="183"/>
      <c r="FG624" s="183"/>
      <c r="FH624" s="183"/>
      <c r="FI624" s="183"/>
      <c r="FJ624" s="183"/>
      <c r="FK624" s="183"/>
      <c r="FL624" s="183"/>
      <c r="FM624" s="183"/>
      <c r="FN624" s="183"/>
      <c r="FO624" s="183"/>
      <c r="FP624" s="183"/>
      <c r="FQ624" s="183"/>
      <c r="FR624" s="183"/>
      <c r="FS624" s="183"/>
      <c r="FT624" s="183"/>
      <c r="FU624" s="183"/>
      <c r="FV624" s="183"/>
      <c r="FW624" s="183"/>
      <c r="FX624" s="183"/>
      <c r="FY624" s="183"/>
    </row>
    <row r="625" spans="1:181" ht="11.25" customHeight="1">
      <c r="A625" s="183"/>
      <c r="B625" s="183"/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  <c r="FE625" s="183"/>
      <c r="FF625" s="183"/>
      <c r="FG625" s="183"/>
      <c r="FH625" s="183"/>
      <c r="FI625" s="183"/>
      <c r="FJ625" s="183"/>
      <c r="FK625" s="183"/>
      <c r="FL625" s="183"/>
      <c r="FM625" s="183"/>
      <c r="FN625" s="183"/>
      <c r="FO625" s="183"/>
      <c r="FP625" s="183"/>
      <c r="FQ625" s="183"/>
      <c r="FR625" s="183"/>
      <c r="FS625" s="183"/>
      <c r="FT625" s="183"/>
      <c r="FU625" s="183"/>
      <c r="FV625" s="183"/>
      <c r="FW625" s="183"/>
      <c r="FX625" s="183"/>
      <c r="FY625" s="183"/>
    </row>
    <row r="626" spans="1:181" ht="11.25" customHeight="1">
      <c r="A626" s="183"/>
      <c r="B626" s="183"/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  <c r="FE626" s="183"/>
      <c r="FF626" s="183"/>
      <c r="FG626" s="183"/>
      <c r="FH626" s="183"/>
      <c r="FI626" s="183"/>
      <c r="FJ626" s="183"/>
      <c r="FK626" s="183"/>
      <c r="FL626" s="183"/>
      <c r="FM626" s="183"/>
      <c r="FN626" s="183"/>
      <c r="FO626" s="183"/>
      <c r="FP626" s="183"/>
      <c r="FQ626" s="183"/>
      <c r="FR626" s="183"/>
      <c r="FS626" s="183"/>
      <c r="FT626" s="183"/>
      <c r="FU626" s="183"/>
      <c r="FV626" s="183"/>
      <c r="FW626" s="183"/>
      <c r="FX626" s="183"/>
      <c r="FY626" s="183"/>
    </row>
    <row r="627" spans="1:181" ht="11.25" customHeight="1">
      <c r="A627" s="183"/>
      <c r="B627" s="183"/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  <c r="FE627" s="183"/>
      <c r="FF627" s="183"/>
      <c r="FG627" s="183"/>
      <c r="FH627" s="183"/>
      <c r="FI627" s="183"/>
      <c r="FJ627" s="183"/>
      <c r="FK627" s="183"/>
      <c r="FL627" s="183"/>
      <c r="FM627" s="183"/>
      <c r="FN627" s="183"/>
      <c r="FO627" s="183"/>
      <c r="FP627" s="183"/>
      <c r="FQ627" s="183"/>
      <c r="FR627" s="183"/>
      <c r="FS627" s="183"/>
      <c r="FT627" s="183"/>
      <c r="FU627" s="183"/>
      <c r="FV627" s="183"/>
      <c r="FW627" s="183"/>
      <c r="FX627" s="183"/>
      <c r="FY627" s="183"/>
    </row>
    <row r="628" spans="1:181" ht="11.25" customHeight="1">
      <c r="A628" s="183"/>
      <c r="B628" s="183"/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  <c r="FE628" s="183"/>
      <c r="FF628" s="183"/>
      <c r="FG628" s="183"/>
      <c r="FH628" s="183"/>
      <c r="FI628" s="183"/>
      <c r="FJ628" s="183"/>
      <c r="FK628" s="183"/>
      <c r="FL628" s="183"/>
      <c r="FM628" s="183"/>
      <c r="FN628" s="183"/>
      <c r="FO628" s="183"/>
      <c r="FP628" s="183"/>
      <c r="FQ628" s="183"/>
      <c r="FR628" s="183"/>
      <c r="FS628" s="183"/>
      <c r="FT628" s="183"/>
      <c r="FU628" s="183"/>
      <c r="FV628" s="183"/>
      <c r="FW628" s="183"/>
      <c r="FX628" s="183"/>
      <c r="FY628" s="183"/>
    </row>
    <row r="629" spans="1:181" ht="11.25" customHeight="1">
      <c r="A629" s="183"/>
      <c r="B629" s="183"/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  <c r="FE629" s="183"/>
      <c r="FF629" s="183"/>
      <c r="FG629" s="183"/>
      <c r="FH629" s="183"/>
      <c r="FI629" s="183"/>
      <c r="FJ629" s="183"/>
      <c r="FK629" s="183"/>
      <c r="FL629" s="183"/>
      <c r="FM629" s="183"/>
      <c r="FN629" s="183"/>
      <c r="FO629" s="183"/>
      <c r="FP629" s="183"/>
      <c r="FQ629" s="183"/>
      <c r="FR629" s="183"/>
      <c r="FS629" s="183"/>
      <c r="FT629" s="183"/>
      <c r="FU629" s="183"/>
      <c r="FV629" s="183"/>
      <c r="FW629" s="183"/>
      <c r="FX629" s="183"/>
      <c r="FY629" s="183"/>
    </row>
    <row r="630" spans="1:181" ht="11.25" customHeight="1">
      <c r="A630" s="183"/>
      <c r="B630" s="183"/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  <c r="FE630" s="183"/>
      <c r="FF630" s="183"/>
      <c r="FG630" s="183"/>
      <c r="FH630" s="183"/>
      <c r="FI630" s="183"/>
      <c r="FJ630" s="183"/>
      <c r="FK630" s="183"/>
      <c r="FL630" s="183"/>
      <c r="FM630" s="183"/>
      <c r="FN630" s="183"/>
      <c r="FO630" s="183"/>
      <c r="FP630" s="183"/>
      <c r="FQ630" s="183"/>
      <c r="FR630" s="183"/>
      <c r="FS630" s="183"/>
      <c r="FT630" s="183"/>
      <c r="FU630" s="183"/>
      <c r="FV630" s="183"/>
      <c r="FW630" s="183"/>
      <c r="FX630" s="183"/>
      <c r="FY630" s="183"/>
    </row>
    <row r="631" spans="1:181" ht="11.25" customHeight="1">
      <c r="A631" s="183"/>
      <c r="B631" s="183"/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  <c r="FE631" s="183"/>
      <c r="FF631" s="183"/>
      <c r="FG631" s="183"/>
      <c r="FH631" s="183"/>
      <c r="FI631" s="183"/>
      <c r="FJ631" s="183"/>
      <c r="FK631" s="183"/>
      <c r="FL631" s="183"/>
      <c r="FM631" s="183"/>
      <c r="FN631" s="183"/>
      <c r="FO631" s="183"/>
      <c r="FP631" s="183"/>
      <c r="FQ631" s="183"/>
      <c r="FR631" s="183"/>
      <c r="FS631" s="183"/>
      <c r="FT631" s="183"/>
      <c r="FU631" s="183"/>
      <c r="FV631" s="183"/>
      <c r="FW631" s="183"/>
      <c r="FX631" s="183"/>
      <c r="FY631" s="183"/>
    </row>
    <row r="632" spans="1:181" ht="11.25" customHeight="1">
      <c r="A632" s="183"/>
      <c r="B632" s="183"/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  <c r="FE632" s="183"/>
      <c r="FF632" s="183"/>
      <c r="FG632" s="183"/>
      <c r="FH632" s="183"/>
      <c r="FI632" s="183"/>
      <c r="FJ632" s="183"/>
      <c r="FK632" s="183"/>
      <c r="FL632" s="183"/>
      <c r="FM632" s="183"/>
      <c r="FN632" s="183"/>
      <c r="FO632" s="183"/>
      <c r="FP632" s="183"/>
      <c r="FQ632" s="183"/>
      <c r="FR632" s="183"/>
      <c r="FS632" s="183"/>
      <c r="FT632" s="183"/>
      <c r="FU632" s="183"/>
      <c r="FV632" s="183"/>
      <c r="FW632" s="183"/>
      <c r="FX632" s="183"/>
      <c r="FY632" s="183"/>
    </row>
    <row r="633" spans="1:181" ht="11.25" customHeight="1">
      <c r="A633" s="183"/>
      <c r="B633" s="183"/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  <c r="FE633" s="183"/>
      <c r="FF633" s="183"/>
      <c r="FG633" s="183"/>
      <c r="FH633" s="183"/>
      <c r="FI633" s="183"/>
      <c r="FJ633" s="183"/>
      <c r="FK633" s="183"/>
      <c r="FL633" s="183"/>
      <c r="FM633" s="183"/>
      <c r="FN633" s="183"/>
      <c r="FO633" s="183"/>
      <c r="FP633" s="183"/>
      <c r="FQ633" s="183"/>
      <c r="FR633" s="183"/>
      <c r="FS633" s="183"/>
      <c r="FT633" s="183"/>
      <c r="FU633" s="183"/>
      <c r="FV633" s="183"/>
      <c r="FW633" s="183"/>
      <c r="FX633" s="183"/>
      <c r="FY633" s="183"/>
    </row>
    <row r="634" spans="1:181" ht="11.25" customHeight="1">
      <c r="A634" s="183"/>
      <c r="B634" s="183"/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  <c r="FE634" s="183"/>
      <c r="FF634" s="183"/>
      <c r="FG634" s="183"/>
      <c r="FH634" s="183"/>
      <c r="FI634" s="183"/>
      <c r="FJ634" s="183"/>
      <c r="FK634" s="183"/>
      <c r="FL634" s="183"/>
      <c r="FM634" s="183"/>
      <c r="FN634" s="183"/>
      <c r="FO634" s="183"/>
      <c r="FP634" s="183"/>
      <c r="FQ634" s="183"/>
      <c r="FR634" s="183"/>
      <c r="FS634" s="183"/>
      <c r="FT634" s="183"/>
      <c r="FU634" s="183"/>
      <c r="FV634" s="183"/>
      <c r="FW634" s="183"/>
      <c r="FX634" s="183"/>
      <c r="FY634" s="183"/>
    </row>
    <row r="635" spans="1:181" ht="11.25" customHeight="1">
      <c r="A635" s="183"/>
      <c r="B635" s="183"/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  <c r="FE635" s="183"/>
      <c r="FF635" s="183"/>
      <c r="FG635" s="183"/>
      <c r="FH635" s="183"/>
      <c r="FI635" s="183"/>
      <c r="FJ635" s="183"/>
      <c r="FK635" s="183"/>
      <c r="FL635" s="183"/>
      <c r="FM635" s="183"/>
      <c r="FN635" s="183"/>
      <c r="FO635" s="183"/>
      <c r="FP635" s="183"/>
      <c r="FQ635" s="183"/>
      <c r="FR635" s="183"/>
      <c r="FS635" s="183"/>
      <c r="FT635" s="183"/>
      <c r="FU635" s="183"/>
      <c r="FV635" s="183"/>
      <c r="FW635" s="183"/>
      <c r="FX635" s="183"/>
      <c r="FY635" s="183"/>
    </row>
    <row r="636" spans="1:181" ht="11.25" customHeight="1">
      <c r="A636" s="183"/>
      <c r="B636" s="183"/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  <c r="FE636" s="183"/>
      <c r="FF636" s="183"/>
      <c r="FG636" s="183"/>
      <c r="FH636" s="183"/>
      <c r="FI636" s="183"/>
      <c r="FJ636" s="183"/>
      <c r="FK636" s="183"/>
      <c r="FL636" s="183"/>
      <c r="FM636" s="183"/>
      <c r="FN636" s="183"/>
      <c r="FO636" s="183"/>
      <c r="FP636" s="183"/>
      <c r="FQ636" s="183"/>
      <c r="FR636" s="183"/>
      <c r="FS636" s="183"/>
      <c r="FT636" s="183"/>
      <c r="FU636" s="183"/>
      <c r="FV636" s="183"/>
      <c r="FW636" s="183"/>
      <c r="FX636" s="183"/>
      <c r="FY636" s="183"/>
    </row>
    <row r="637" spans="1:181" ht="11.25" customHeight="1">
      <c r="A637" s="183"/>
      <c r="B637" s="183"/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  <c r="FE637" s="183"/>
      <c r="FF637" s="183"/>
      <c r="FG637" s="183"/>
      <c r="FH637" s="183"/>
      <c r="FI637" s="183"/>
      <c r="FJ637" s="183"/>
      <c r="FK637" s="183"/>
      <c r="FL637" s="183"/>
      <c r="FM637" s="183"/>
      <c r="FN637" s="183"/>
      <c r="FO637" s="183"/>
      <c r="FP637" s="183"/>
      <c r="FQ637" s="183"/>
      <c r="FR637" s="183"/>
      <c r="FS637" s="183"/>
      <c r="FT637" s="183"/>
      <c r="FU637" s="183"/>
      <c r="FV637" s="183"/>
      <c r="FW637" s="183"/>
      <c r="FX637" s="183"/>
      <c r="FY637" s="183"/>
    </row>
    <row r="638" spans="1:181" ht="11.25" customHeight="1">
      <c r="A638" s="183"/>
      <c r="B638" s="183"/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  <c r="FE638" s="183"/>
      <c r="FF638" s="183"/>
      <c r="FG638" s="183"/>
      <c r="FH638" s="183"/>
      <c r="FI638" s="183"/>
      <c r="FJ638" s="183"/>
      <c r="FK638" s="183"/>
      <c r="FL638" s="183"/>
      <c r="FM638" s="183"/>
      <c r="FN638" s="183"/>
      <c r="FO638" s="183"/>
      <c r="FP638" s="183"/>
      <c r="FQ638" s="183"/>
      <c r="FR638" s="183"/>
      <c r="FS638" s="183"/>
      <c r="FT638" s="183"/>
      <c r="FU638" s="183"/>
      <c r="FV638" s="183"/>
      <c r="FW638" s="183"/>
      <c r="FX638" s="183"/>
      <c r="FY638" s="183"/>
    </row>
    <row r="639" spans="1:181" ht="11.25" customHeight="1">
      <c r="A639" s="183"/>
      <c r="B639" s="183"/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  <c r="FE639" s="183"/>
      <c r="FF639" s="183"/>
      <c r="FG639" s="183"/>
      <c r="FH639" s="183"/>
      <c r="FI639" s="183"/>
      <c r="FJ639" s="183"/>
      <c r="FK639" s="183"/>
      <c r="FL639" s="183"/>
      <c r="FM639" s="183"/>
      <c r="FN639" s="183"/>
      <c r="FO639" s="183"/>
      <c r="FP639" s="183"/>
      <c r="FQ639" s="183"/>
      <c r="FR639" s="183"/>
      <c r="FS639" s="183"/>
      <c r="FT639" s="183"/>
      <c r="FU639" s="183"/>
      <c r="FV639" s="183"/>
      <c r="FW639" s="183"/>
      <c r="FX639" s="183"/>
      <c r="FY639" s="183"/>
    </row>
    <row r="640" spans="1:181" ht="11.25" customHeight="1">
      <c r="A640" s="183"/>
      <c r="B640" s="183"/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  <c r="FE640" s="183"/>
      <c r="FF640" s="183"/>
      <c r="FG640" s="183"/>
      <c r="FH640" s="183"/>
      <c r="FI640" s="183"/>
      <c r="FJ640" s="183"/>
      <c r="FK640" s="183"/>
      <c r="FL640" s="183"/>
      <c r="FM640" s="183"/>
      <c r="FN640" s="183"/>
      <c r="FO640" s="183"/>
      <c r="FP640" s="183"/>
      <c r="FQ640" s="183"/>
      <c r="FR640" s="183"/>
      <c r="FS640" s="183"/>
      <c r="FT640" s="183"/>
      <c r="FU640" s="183"/>
      <c r="FV640" s="183"/>
      <c r="FW640" s="183"/>
      <c r="FX640" s="183"/>
      <c r="FY640" s="183"/>
    </row>
    <row r="641" spans="1:181" ht="11.25" customHeight="1">
      <c r="A641" s="183"/>
      <c r="B641" s="183"/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  <c r="FE641" s="183"/>
      <c r="FF641" s="183"/>
      <c r="FG641" s="183"/>
      <c r="FH641" s="183"/>
      <c r="FI641" s="183"/>
      <c r="FJ641" s="183"/>
      <c r="FK641" s="183"/>
      <c r="FL641" s="183"/>
      <c r="FM641" s="183"/>
      <c r="FN641" s="183"/>
      <c r="FO641" s="183"/>
      <c r="FP641" s="183"/>
      <c r="FQ641" s="183"/>
      <c r="FR641" s="183"/>
      <c r="FS641" s="183"/>
      <c r="FT641" s="183"/>
      <c r="FU641" s="183"/>
      <c r="FV641" s="183"/>
      <c r="FW641" s="183"/>
      <c r="FX641" s="183"/>
      <c r="FY641" s="183"/>
    </row>
    <row r="642" spans="1:181" ht="11.25" customHeight="1">
      <c r="A642" s="183"/>
      <c r="B642" s="183"/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  <c r="FE642" s="183"/>
      <c r="FF642" s="183"/>
      <c r="FG642" s="183"/>
      <c r="FH642" s="183"/>
      <c r="FI642" s="183"/>
      <c r="FJ642" s="183"/>
      <c r="FK642" s="183"/>
      <c r="FL642" s="183"/>
      <c r="FM642" s="183"/>
      <c r="FN642" s="183"/>
      <c r="FO642" s="183"/>
      <c r="FP642" s="183"/>
      <c r="FQ642" s="183"/>
      <c r="FR642" s="183"/>
      <c r="FS642" s="183"/>
      <c r="FT642" s="183"/>
      <c r="FU642" s="183"/>
      <c r="FV642" s="183"/>
      <c r="FW642" s="183"/>
      <c r="FX642" s="183"/>
      <c r="FY642" s="183"/>
    </row>
    <row r="643" spans="1:181" ht="11.25" customHeight="1">
      <c r="A643" s="183"/>
      <c r="B643" s="183"/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  <c r="FE643" s="183"/>
      <c r="FF643" s="183"/>
      <c r="FG643" s="183"/>
      <c r="FH643" s="183"/>
      <c r="FI643" s="183"/>
      <c r="FJ643" s="183"/>
      <c r="FK643" s="183"/>
      <c r="FL643" s="183"/>
      <c r="FM643" s="183"/>
      <c r="FN643" s="183"/>
      <c r="FO643" s="183"/>
      <c r="FP643" s="183"/>
      <c r="FQ643" s="183"/>
      <c r="FR643" s="183"/>
      <c r="FS643" s="183"/>
      <c r="FT643" s="183"/>
      <c r="FU643" s="183"/>
      <c r="FV643" s="183"/>
      <c r="FW643" s="183"/>
      <c r="FX643" s="183"/>
      <c r="FY643" s="183"/>
    </row>
    <row r="644" spans="1:181" ht="11.25" customHeight="1">
      <c r="A644" s="183"/>
      <c r="B644" s="183"/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  <c r="FE644" s="183"/>
      <c r="FF644" s="183"/>
      <c r="FG644" s="183"/>
      <c r="FH644" s="183"/>
      <c r="FI644" s="183"/>
      <c r="FJ644" s="183"/>
      <c r="FK644" s="183"/>
      <c r="FL644" s="183"/>
      <c r="FM644" s="183"/>
      <c r="FN644" s="183"/>
      <c r="FO644" s="183"/>
      <c r="FP644" s="183"/>
      <c r="FQ644" s="183"/>
      <c r="FR644" s="183"/>
      <c r="FS644" s="183"/>
      <c r="FT644" s="183"/>
      <c r="FU644" s="183"/>
      <c r="FV644" s="183"/>
      <c r="FW644" s="183"/>
      <c r="FX644" s="183"/>
      <c r="FY644" s="183"/>
    </row>
    <row r="645" spans="1:181" ht="11.25" customHeight="1">
      <c r="A645" s="183"/>
      <c r="B645" s="183"/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  <c r="FE645" s="183"/>
      <c r="FF645" s="183"/>
      <c r="FG645" s="183"/>
      <c r="FH645" s="183"/>
      <c r="FI645" s="183"/>
      <c r="FJ645" s="183"/>
      <c r="FK645" s="183"/>
      <c r="FL645" s="183"/>
      <c r="FM645" s="183"/>
      <c r="FN645" s="183"/>
      <c r="FO645" s="183"/>
      <c r="FP645" s="183"/>
      <c r="FQ645" s="183"/>
      <c r="FR645" s="183"/>
      <c r="FS645" s="183"/>
      <c r="FT645" s="183"/>
      <c r="FU645" s="183"/>
      <c r="FV645" s="183"/>
      <c r="FW645" s="183"/>
      <c r="FX645" s="183"/>
      <c r="FY645" s="183"/>
    </row>
    <row r="646" spans="1:181" ht="11.25" customHeight="1">
      <c r="A646" s="183"/>
      <c r="B646" s="183"/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  <c r="FE646" s="183"/>
      <c r="FF646" s="183"/>
      <c r="FG646" s="183"/>
      <c r="FH646" s="183"/>
      <c r="FI646" s="183"/>
      <c r="FJ646" s="183"/>
      <c r="FK646" s="183"/>
      <c r="FL646" s="183"/>
      <c r="FM646" s="183"/>
      <c r="FN646" s="183"/>
      <c r="FO646" s="183"/>
      <c r="FP646" s="183"/>
      <c r="FQ646" s="183"/>
      <c r="FR646" s="183"/>
      <c r="FS646" s="183"/>
      <c r="FT646" s="183"/>
      <c r="FU646" s="183"/>
      <c r="FV646" s="183"/>
      <c r="FW646" s="183"/>
      <c r="FX646" s="183"/>
      <c r="FY646" s="183"/>
    </row>
    <row r="647" spans="1:181" ht="11.25" customHeight="1">
      <c r="A647" s="183"/>
      <c r="B647" s="183"/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  <c r="FE647" s="183"/>
      <c r="FF647" s="183"/>
      <c r="FG647" s="183"/>
      <c r="FH647" s="183"/>
      <c r="FI647" s="183"/>
      <c r="FJ647" s="183"/>
      <c r="FK647" s="183"/>
      <c r="FL647" s="183"/>
      <c r="FM647" s="183"/>
      <c r="FN647" s="183"/>
      <c r="FO647" s="183"/>
      <c r="FP647" s="183"/>
      <c r="FQ647" s="183"/>
      <c r="FR647" s="183"/>
      <c r="FS647" s="183"/>
      <c r="FT647" s="183"/>
      <c r="FU647" s="183"/>
      <c r="FV647" s="183"/>
      <c r="FW647" s="183"/>
      <c r="FX647" s="183"/>
      <c r="FY647" s="183"/>
    </row>
    <row r="648" spans="1:181" ht="11.25" customHeight="1">
      <c r="A648" s="183"/>
      <c r="B648" s="183"/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  <c r="FE648" s="183"/>
      <c r="FF648" s="183"/>
      <c r="FG648" s="183"/>
      <c r="FH648" s="183"/>
      <c r="FI648" s="183"/>
      <c r="FJ648" s="183"/>
      <c r="FK648" s="183"/>
      <c r="FL648" s="183"/>
      <c r="FM648" s="183"/>
      <c r="FN648" s="183"/>
      <c r="FO648" s="183"/>
      <c r="FP648" s="183"/>
      <c r="FQ648" s="183"/>
      <c r="FR648" s="183"/>
      <c r="FS648" s="183"/>
      <c r="FT648" s="183"/>
      <c r="FU648" s="183"/>
      <c r="FV648" s="183"/>
      <c r="FW648" s="183"/>
      <c r="FX648" s="183"/>
      <c r="FY648" s="183"/>
    </row>
    <row r="649" spans="1:181" ht="11.25" customHeight="1">
      <c r="A649" s="183"/>
      <c r="B649" s="183"/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  <c r="FE649" s="183"/>
      <c r="FF649" s="183"/>
      <c r="FG649" s="183"/>
      <c r="FH649" s="183"/>
      <c r="FI649" s="183"/>
      <c r="FJ649" s="183"/>
      <c r="FK649" s="183"/>
      <c r="FL649" s="183"/>
      <c r="FM649" s="183"/>
      <c r="FN649" s="183"/>
      <c r="FO649" s="183"/>
      <c r="FP649" s="183"/>
      <c r="FQ649" s="183"/>
      <c r="FR649" s="183"/>
      <c r="FS649" s="183"/>
      <c r="FT649" s="183"/>
      <c r="FU649" s="183"/>
      <c r="FV649" s="183"/>
      <c r="FW649" s="183"/>
      <c r="FX649" s="183"/>
      <c r="FY649" s="183"/>
    </row>
    <row r="650" spans="1:181" ht="11.25" customHeight="1">
      <c r="A650" s="183"/>
      <c r="B650" s="183"/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  <c r="FE650" s="183"/>
      <c r="FF650" s="183"/>
      <c r="FG650" s="183"/>
      <c r="FH650" s="183"/>
      <c r="FI650" s="183"/>
      <c r="FJ650" s="183"/>
      <c r="FK650" s="183"/>
      <c r="FL650" s="183"/>
      <c r="FM650" s="183"/>
      <c r="FN650" s="183"/>
      <c r="FO650" s="183"/>
      <c r="FP650" s="183"/>
      <c r="FQ650" s="183"/>
      <c r="FR650" s="183"/>
      <c r="FS650" s="183"/>
      <c r="FT650" s="183"/>
      <c r="FU650" s="183"/>
      <c r="FV650" s="183"/>
      <c r="FW650" s="183"/>
      <c r="FX650" s="183"/>
      <c r="FY650" s="183"/>
    </row>
    <row r="651" spans="1:181" ht="11.25" customHeight="1">
      <c r="A651" s="183"/>
      <c r="B651" s="183"/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  <c r="FE651" s="183"/>
      <c r="FF651" s="183"/>
      <c r="FG651" s="183"/>
      <c r="FH651" s="183"/>
      <c r="FI651" s="183"/>
      <c r="FJ651" s="183"/>
      <c r="FK651" s="183"/>
      <c r="FL651" s="183"/>
      <c r="FM651" s="183"/>
      <c r="FN651" s="183"/>
      <c r="FO651" s="183"/>
      <c r="FP651" s="183"/>
      <c r="FQ651" s="183"/>
      <c r="FR651" s="183"/>
      <c r="FS651" s="183"/>
      <c r="FT651" s="183"/>
      <c r="FU651" s="183"/>
      <c r="FV651" s="183"/>
      <c r="FW651" s="183"/>
      <c r="FX651" s="183"/>
      <c r="FY651" s="183"/>
    </row>
    <row r="652" spans="1:181" ht="11.25" customHeight="1">
      <c r="A652" s="183"/>
      <c r="B652" s="183"/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  <c r="FE652" s="183"/>
      <c r="FF652" s="183"/>
      <c r="FG652" s="183"/>
      <c r="FH652" s="183"/>
      <c r="FI652" s="183"/>
      <c r="FJ652" s="183"/>
      <c r="FK652" s="183"/>
      <c r="FL652" s="183"/>
      <c r="FM652" s="183"/>
      <c r="FN652" s="183"/>
      <c r="FO652" s="183"/>
      <c r="FP652" s="183"/>
      <c r="FQ652" s="183"/>
      <c r="FR652" s="183"/>
      <c r="FS652" s="183"/>
      <c r="FT652" s="183"/>
      <c r="FU652" s="183"/>
      <c r="FV652" s="183"/>
      <c r="FW652" s="183"/>
      <c r="FX652" s="183"/>
      <c r="FY652" s="183"/>
    </row>
    <row r="653" spans="1:181" ht="11.25" customHeight="1">
      <c r="A653" s="183"/>
      <c r="B653" s="183"/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  <c r="FE653" s="183"/>
      <c r="FF653" s="183"/>
      <c r="FG653" s="183"/>
      <c r="FH653" s="183"/>
      <c r="FI653" s="183"/>
      <c r="FJ653" s="183"/>
      <c r="FK653" s="183"/>
      <c r="FL653" s="183"/>
      <c r="FM653" s="183"/>
      <c r="FN653" s="183"/>
      <c r="FO653" s="183"/>
      <c r="FP653" s="183"/>
      <c r="FQ653" s="183"/>
      <c r="FR653" s="183"/>
      <c r="FS653" s="183"/>
      <c r="FT653" s="183"/>
      <c r="FU653" s="183"/>
      <c r="FV653" s="183"/>
      <c r="FW653" s="183"/>
      <c r="FX653" s="183"/>
      <c r="FY653" s="183"/>
    </row>
    <row r="654" spans="1:181" ht="11.25" customHeight="1">
      <c r="A654" s="183"/>
      <c r="B654" s="183"/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  <c r="FE654" s="183"/>
      <c r="FF654" s="183"/>
      <c r="FG654" s="183"/>
      <c r="FH654" s="183"/>
      <c r="FI654" s="183"/>
      <c r="FJ654" s="183"/>
      <c r="FK654" s="183"/>
      <c r="FL654" s="183"/>
      <c r="FM654" s="183"/>
      <c r="FN654" s="183"/>
      <c r="FO654" s="183"/>
      <c r="FP654" s="183"/>
      <c r="FQ654" s="183"/>
      <c r="FR654" s="183"/>
      <c r="FS654" s="183"/>
      <c r="FT654" s="183"/>
      <c r="FU654" s="183"/>
      <c r="FV654" s="183"/>
      <c r="FW654" s="183"/>
      <c r="FX654" s="183"/>
      <c r="FY654" s="183"/>
    </row>
    <row r="655" spans="1:181" ht="11.25" customHeight="1">
      <c r="A655" s="183"/>
      <c r="B655" s="183"/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  <c r="FE655" s="183"/>
      <c r="FF655" s="183"/>
      <c r="FG655" s="183"/>
      <c r="FH655" s="183"/>
      <c r="FI655" s="183"/>
      <c r="FJ655" s="183"/>
      <c r="FK655" s="183"/>
      <c r="FL655" s="183"/>
      <c r="FM655" s="183"/>
      <c r="FN655" s="183"/>
      <c r="FO655" s="183"/>
      <c r="FP655" s="183"/>
      <c r="FQ655" s="183"/>
      <c r="FR655" s="183"/>
      <c r="FS655" s="183"/>
      <c r="FT655" s="183"/>
      <c r="FU655" s="183"/>
      <c r="FV655" s="183"/>
      <c r="FW655" s="183"/>
      <c r="FX655" s="183"/>
      <c r="FY655" s="183"/>
    </row>
    <row r="656" spans="1:181" ht="11.25" customHeight="1">
      <c r="A656" s="183"/>
      <c r="B656" s="183"/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  <c r="FE656" s="183"/>
      <c r="FF656" s="183"/>
      <c r="FG656" s="183"/>
      <c r="FH656" s="183"/>
      <c r="FI656" s="183"/>
      <c r="FJ656" s="183"/>
      <c r="FK656" s="183"/>
      <c r="FL656" s="183"/>
      <c r="FM656" s="183"/>
      <c r="FN656" s="183"/>
      <c r="FO656" s="183"/>
      <c r="FP656" s="183"/>
      <c r="FQ656" s="183"/>
      <c r="FR656" s="183"/>
      <c r="FS656" s="183"/>
      <c r="FT656" s="183"/>
      <c r="FU656" s="183"/>
      <c r="FV656" s="183"/>
      <c r="FW656" s="183"/>
      <c r="FX656" s="183"/>
      <c r="FY656" s="183"/>
    </row>
    <row r="657" spans="1:181" ht="11.25" customHeight="1">
      <c r="A657" s="183"/>
      <c r="B657" s="183"/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  <c r="FE657" s="183"/>
      <c r="FF657" s="183"/>
      <c r="FG657" s="183"/>
      <c r="FH657" s="183"/>
      <c r="FI657" s="183"/>
      <c r="FJ657" s="183"/>
      <c r="FK657" s="183"/>
      <c r="FL657" s="183"/>
      <c r="FM657" s="183"/>
      <c r="FN657" s="183"/>
      <c r="FO657" s="183"/>
      <c r="FP657" s="183"/>
      <c r="FQ657" s="183"/>
      <c r="FR657" s="183"/>
      <c r="FS657" s="183"/>
      <c r="FT657" s="183"/>
      <c r="FU657" s="183"/>
      <c r="FV657" s="183"/>
      <c r="FW657" s="183"/>
      <c r="FX657" s="183"/>
      <c r="FY657" s="183"/>
    </row>
    <row r="658" spans="1:181" ht="11.25" customHeight="1">
      <c r="A658" s="183"/>
      <c r="B658" s="183"/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  <c r="FE658" s="183"/>
      <c r="FF658" s="183"/>
      <c r="FG658" s="183"/>
      <c r="FH658" s="183"/>
      <c r="FI658" s="183"/>
      <c r="FJ658" s="183"/>
      <c r="FK658" s="183"/>
      <c r="FL658" s="183"/>
      <c r="FM658" s="183"/>
      <c r="FN658" s="183"/>
      <c r="FO658" s="183"/>
      <c r="FP658" s="183"/>
      <c r="FQ658" s="183"/>
      <c r="FR658" s="183"/>
      <c r="FS658" s="183"/>
      <c r="FT658" s="183"/>
      <c r="FU658" s="183"/>
      <c r="FV658" s="183"/>
      <c r="FW658" s="183"/>
      <c r="FX658" s="183"/>
      <c r="FY658" s="183"/>
    </row>
    <row r="659" spans="1:181" ht="11.25" customHeight="1">
      <c r="A659" s="183"/>
      <c r="B659" s="183"/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  <c r="FE659" s="183"/>
      <c r="FF659" s="183"/>
      <c r="FG659" s="183"/>
      <c r="FH659" s="183"/>
      <c r="FI659" s="183"/>
      <c r="FJ659" s="183"/>
      <c r="FK659" s="183"/>
      <c r="FL659" s="183"/>
      <c r="FM659" s="183"/>
      <c r="FN659" s="183"/>
      <c r="FO659" s="183"/>
      <c r="FP659" s="183"/>
      <c r="FQ659" s="183"/>
      <c r="FR659" s="183"/>
      <c r="FS659" s="183"/>
      <c r="FT659" s="183"/>
      <c r="FU659" s="183"/>
      <c r="FV659" s="183"/>
      <c r="FW659" s="183"/>
      <c r="FX659" s="183"/>
      <c r="FY659" s="183"/>
    </row>
    <row r="660" spans="1:181" ht="11.25" customHeight="1">
      <c r="A660" s="183"/>
      <c r="B660" s="183"/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  <c r="FE660" s="183"/>
      <c r="FF660" s="183"/>
      <c r="FG660" s="183"/>
      <c r="FH660" s="183"/>
      <c r="FI660" s="183"/>
      <c r="FJ660" s="183"/>
      <c r="FK660" s="183"/>
      <c r="FL660" s="183"/>
      <c r="FM660" s="183"/>
      <c r="FN660" s="183"/>
      <c r="FO660" s="183"/>
      <c r="FP660" s="183"/>
      <c r="FQ660" s="183"/>
      <c r="FR660" s="183"/>
      <c r="FS660" s="183"/>
      <c r="FT660" s="183"/>
      <c r="FU660" s="183"/>
      <c r="FV660" s="183"/>
      <c r="FW660" s="183"/>
      <c r="FX660" s="183"/>
      <c r="FY660" s="183"/>
    </row>
    <row r="661" spans="1:181" ht="11.25" customHeight="1">
      <c r="A661" s="183"/>
      <c r="B661" s="183"/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  <c r="FE661" s="183"/>
      <c r="FF661" s="183"/>
      <c r="FG661" s="183"/>
      <c r="FH661" s="183"/>
      <c r="FI661" s="183"/>
      <c r="FJ661" s="183"/>
      <c r="FK661" s="183"/>
      <c r="FL661" s="183"/>
      <c r="FM661" s="183"/>
      <c r="FN661" s="183"/>
      <c r="FO661" s="183"/>
      <c r="FP661" s="183"/>
      <c r="FQ661" s="183"/>
      <c r="FR661" s="183"/>
      <c r="FS661" s="183"/>
      <c r="FT661" s="183"/>
      <c r="FU661" s="183"/>
      <c r="FV661" s="183"/>
      <c r="FW661" s="183"/>
      <c r="FX661" s="183"/>
      <c r="FY661" s="183"/>
    </row>
    <row r="662" spans="1:181" ht="11.25" customHeight="1">
      <c r="A662" s="183"/>
      <c r="B662" s="183"/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  <c r="FE662" s="183"/>
      <c r="FF662" s="183"/>
      <c r="FG662" s="183"/>
      <c r="FH662" s="183"/>
      <c r="FI662" s="183"/>
      <c r="FJ662" s="183"/>
      <c r="FK662" s="183"/>
      <c r="FL662" s="183"/>
      <c r="FM662" s="183"/>
      <c r="FN662" s="183"/>
      <c r="FO662" s="183"/>
      <c r="FP662" s="183"/>
      <c r="FQ662" s="183"/>
      <c r="FR662" s="183"/>
      <c r="FS662" s="183"/>
      <c r="FT662" s="183"/>
      <c r="FU662" s="183"/>
      <c r="FV662" s="183"/>
      <c r="FW662" s="183"/>
      <c r="FX662" s="183"/>
      <c r="FY662" s="183"/>
    </row>
    <row r="663" spans="1:181" ht="11.25" customHeight="1">
      <c r="A663" s="183"/>
      <c r="B663" s="183"/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  <c r="FE663" s="183"/>
      <c r="FF663" s="183"/>
      <c r="FG663" s="183"/>
      <c r="FH663" s="183"/>
      <c r="FI663" s="183"/>
      <c r="FJ663" s="183"/>
      <c r="FK663" s="183"/>
      <c r="FL663" s="183"/>
      <c r="FM663" s="183"/>
      <c r="FN663" s="183"/>
      <c r="FO663" s="183"/>
      <c r="FP663" s="183"/>
      <c r="FQ663" s="183"/>
      <c r="FR663" s="183"/>
      <c r="FS663" s="183"/>
      <c r="FT663" s="183"/>
      <c r="FU663" s="183"/>
      <c r="FV663" s="183"/>
      <c r="FW663" s="183"/>
      <c r="FX663" s="183"/>
      <c r="FY663" s="183"/>
    </row>
    <row r="664" spans="1:181" ht="11.25" customHeight="1">
      <c r="A664" s="183"/>
      <c r="B664" s="183"/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  <c r="FE664" s="183"/>
      <c r="FF664" s="183"/>
      <c r="FG664" s="183"/>
      <c r="FH664" s="183"/>
      <c r="FI664" s="183"/>
      <c r="FJ664" s="183"/>
      <c r="FK664" s="183"/>
      <c r="FL664" s="183"/>
      <c r="FM664" s="183"/>
      <c r="FN664" s="183"/>
      <c r="FO664" s="183"/>
      <c r="FP664" s="183"/>
      <c r="FQ664" s="183"/>
      <c r="FR664" s="183"/>
      <c r="FS664" s="183"/>
      <c r="FT664" s="183"/>
      <c r="FU664" s="183"/>
      <c r="FV664" s="183"/>
      <c r="FW664" s="183"/>
      <c r="FX664" s="183"/>
      <c r="FY664" s="183"/>
    </row>
    <row r="665" spans="1:181" ht="11.25" customHeight="1">
      <c r="A665" s="183"/>
      <c r="B665" s="183"/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  <c r="FE665" s="183"/>
      <c r="FF665" s="183"/>
      <c r="FG665" s="183"/>
      <c r="FH665" s="183"/>
      <c r="FI665" s="183"/>
      <c r="FJ665" s="183"/>
      <c r="FK665" s="183"/>
      <c r="FL665" s="183"/>
      <c r="FM665" s="183"/>
      <c r="FN665" s="183"/>
      <c r="FO665" s="183"/>
      <c r="FP665" s="183"/>
      <c r="FQ665" s="183"/>
      <c r="FR665" s="183"/>
      <c r="FS665" s="183"/>
      <c r="FT665" s="183"/>
      <c r="FU665" s="183"/>
      <c r="FV665" s="183"/>
      <c r="FW665" s="183"/>
      <c r="FX665" s="183"/>
      <c r="FY665" s="183"/>
    </row>
    <row r="666" spans="1:181" ht="11.25" customHeight="1">
      <c r="A666" s="183"/>
      <c r="B666" s="183"/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  <c r="FE666" s="183"/>
      <c r="FF666" s="183"/>
      <c r="FG666" s="183"/>
      <c r="FH666" s="183"/>
      <c r="FI666" s="183"/>
      <c r="FJ666" s="183"/>
      <c r="FK666" s="183"/>
      <c r="FL666" s="183"/>
      <c r="FM666" s="183"/>
      <c r="FN666" s="183"/>
      <c r="FO666" s="183"/>
      <c r="FP666" s="183"/>
      <c r="FQ666" s="183"/>
      <c r="FR666" s="183"/>
      <c r="FS666" s="183"/>
      <c r="FT666" s="183"/>
      <c r="FU666" s="183"/>
      <c r="FV666" s="183"/>
      <c r="FW666" s="183"/>
      <c r="FX666" s="183"/>
      <c r="FY666" s="183"/>
    </row>
    <row r="667" spans="1:181" ht="11.25" customHeight="1">
      <c r="A667" s="183"/>
      <c r="B667" s="183"/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  <c r="FE667" s="183"/>
      <c r="FF667" s="183"/>
      <c r="FG667" s="183"/>
      <c r="FH667" s="183"/>
      <c r="FI667" s="183"/>
      <c r="FJ667" s="183"/>
      <c r="FK667" s="183"/>
      <c r="FL667" s="183"/>
      <c r="FM667" s="183"/>
      <c r="FN667" s="183"/>
      <c r="FO667" s="183"/>
      <c r="FP667" s="183"/>
      <c r="FQ667" s="183"/>
      <c r="FR667" s="183"/>
      <c r="FS667" s="183"/>
      <c r="FT667" s="183"/>
      <c r="FU667" s="183"/>
      <c r="FV667" s="183"/>
      <c r="FW667" s="183"/>
      <c r="FX667" s="183"/>
      <c r="FY667" s="183"/>
    </row>
    <row r="668" spans="1:181" ht="11.25" customHeight="1">
      <c r="A668" s="183"/>
      <c r="B668" s="183"/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  <c r="FE668" s="183"/>
      <c r="FF668" s="183"/>
      <c r="FG668" s="183"/>
      <c r="FH668" s="183"/>
      <c r="FI668" s="183"/>
      <c r="FJ668" s="183"/>
      <c r="FK668" s="183"/>
      <c r="FL668" s="183"/>
      <c r="FM668" s="183"/>
      <c r="FN668" s="183"/>
      <c r="FO668" s="183"/>
      <c r="FP668" s="183"/>
      <c r="FQ668" s="183"/>
      <c r="FR668" s="183"/>
      <c r="FS668" s="183"/>
      <c r="FT668" s="183"/>
      <c r="FU668" s="183"/>
      <c r="FV668" s="183"/>
      <c r="FW668" s="183"/>
      <c r="FX668" s="183"/>
      <c r="FY668" s="183"/>
    </row>
    <row r="669" spans="1:181" ht="11.25" customHeight="1">
      <c r="A669" s="183"/>
      <c r="B669" s="183"/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  <c r="FE669" s="183"/>
      <c r="FF669" s="183"/>
      <c r="FG669" s="183"/>
      <c r="FH669" s="183"/>
      <c r="FI669" s="183"/>
      <c r="FJ669" s="183"/>
      <c r="FK669" s="183"/>
      <c r="FL669" s="183"/>
      <c r="FM669" s="183"/>
      <c r="FN669" s="183"/>
      <c r="FO669" s="183"/>
      <c r="FP669" s="183"/>
      <c r="FQ669" s="183"/>
      <c r="FR669" s="183"/>
      <c r="FS669" s="183"/>
      <c r="FT669" s="183"/>
      <c r="FU669" s="183"/>
      <c r="FV669" s="183"/>
      <c r="FW669" s="183"/>
      <c r="FX669" s="183"/>
      <c r="FY669" s="183"/>
    </row>
    <row r="670" spans="1:181" ht="11.25" customHeight="1">
      <c r="A670" s="183"/>
      <c r="B670" s="183"/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  <c r="FE670" s="183"/>
      <c r="FF670" s="183"/>
      <c r="FG670" s="183"/>
      <c r="FH670" s="183"/>
      <c r="FI670" s="183"/>
      <c r="FJ670" s="183"/>
      <c r="FK670" s="183"/>
      <c r="FL670" s="183"/>
      <c r="FM670" s="183"/>
      <c r="FN670" s="183"/>
      <c r="FO670" s="183"/>
      <c r="FP670" s="183"/>
      <c r="FQ670" s="183"/>
      <c r="FR670" s="183"/>
      <c r="FS670" s="183"/>
      <c r="FT670" s="183"/>
      <c r="FU670" s="183"/>
      <c r="FV670" s="183"/>
      <c r="FW670" s="183"/>
      <c r="FX670" s="183"/>
      <c r="FY670" s="183"/>
    </row>
    <row r="671" spans="1:181" ht="11.25" customHeight="1">
      <c r="A671" s="183"/>
      <c r="B671" s="183"/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  <c r="FE671" s="183"/>
      <c r="FF671" s="183"/>
      <c r="FG671" s="183"/>
      <c r="FH671" s="183"/>
      <c r="FI671" s="183"/>
      <c r="FJ671" s="183"/>
      <c r="FK671" s="183"/>
      <c r="FL671" s="183"/>
      <c r="FM671" s="183"/>
      <c r="FN671" s="183"/>
      <c r="FO671" s="183"/>
      <c r="FP671" s="183"/>
      <c r="FQ671" s="183"/>
      <c r="FR671" s="183"/>
      <c r="FS671" s="183"/>
      <c r="FT671" s="183"/>
      <c r="FU671" s="183"/>
      <c r="FV671" s="183"/>
      <c r="FW671" s="183"/>
      <c r="FX671" s="183"/>
      <c r="FY671" s="183"/>
    </row>
    <row r="672" spans="1:181" ht="11.25" customHeight="1">
      <c r="A672" s="183"/>
      <c r="B672" s="183"/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  <c r="FE672" s="183"/>
      <c r="FF672" s="183"/>
      <c r="FG672" s="183"/>
      <c r="FH672" s="183"/>
      <c r="FI672" s="183"/>
      <c r="FJ672" s="183"/>
      <c r="FK672" s="183"/>
      <c r="FL672" s="183"/>
      <c r="FM672" s="183"/>
      <c r="FN672" s="183"/>
      <c r="FO672" s="183"/>
      <c r="FP672" s="183"/>
      <c r="FQ672" s="183"/>
      <c r="FR672" s="183"/>
      <c r="FS672" s="183"/>
      <c r="FT672" s="183"/>
      <c r="FU672" s="183"/>
      <c r="FV672" s="183"/>
      <c r="FW672" s="183"/>
      <c r="FX672" s="183"/>
      <c r="FY672" s="183"/>
    </row>
    <row r="673" spans="1:181" ht="11.25" customHeight="1">
      <c r="A673" s="183"/>
      <c r="B673" s="183"/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  <c r="FE673" s="183"/>
      <c r="FF673" s="183"/>
      <c r="FG673" s="183"/>
      <c r="FH673" s="183"/>
      <c r="FI673" s="183"/>
      <c r="FJ673" s="183"/>
      <c r="FK673" s="183"/>
      <c r="FL673" s="183"/>
      <c r="FM673" s="183"/>
      <c r="FN673" s="183"/>
      <c r="FO673" s="183"/>
      <c r="FP673" s="183"/>
      <c r="FQ673" s="183"/>
      <c r="FR673" s="183"/>
      <c r="FS673" s="183"/>
      <c r="FT673" s="183"/>
      <c r="FU673" s="183"/>
      <c r="FV673" s="183"/>
      <c r="FW673" s="183"/>
      <c r="FX673" s="183"/>
      <c r="FY673" s="183"/>
    </row>
    <row r="674" spans="1:181" ht="11.25" customHeight="1">
      <c r="A674" s="183"/>
      <c r="B674" s="183"/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  <c r="FE674" s="183"/>
      <c r="FF674" s="183"/>
      <c r="FG674" s="183"/>
      <c r="FH674" s="183"/>
      <c r="FI674" s="183"/>
      <c r="FJ674" s="183"/>
      <c r="FK674" s="183"/>
      <c r="FL674" s="183"/>
      <c r="FM674" s="183"/>
      <c r="FN674" s="183"/>
      <c r="FO674" s="183"/>
      <c r="FP674" s="183"/>
      <c r="FQ674" s="183"/>
      <c r="FR674" s="183"/>
      <c r="FS674" s="183"/>
      <c r="FT674" s="183"/>
      <c r="FU674" s="183"/>
      <c r="FV674" s="183"/>
      <c r="FW674" s="183"/>
      <c r="FX674" s="183"/>
      <c r="FY674" s="183"/>
    </row>
    <row r="675" spans="1:181" ht="11.25" customHeight="1">
      <c r="A675" s="183"/>
      <c r="B675" s="183"/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  <c r="FE675" s="183"/>
      <c r="FF675" s="183"/>
      <c r="FG675" s="183"/>
      <c r="FH675" s="183"/>
      <c r="FI675" s="183"/>
      <c r="FJ675" s="183"/>
      <c r="FK675" s="183"/>
      <c r="FL675" s="183"/>
      <c r="FM675" s="183"/>
      <c r="FN675" s="183"/>
      <c r="FO675" s="183"/>
      <c r="FP675" s="183"/>
      <c r="FQ675" s="183"/>
      <c r="FR675" s="183"/>
      <c r="FS675" s="183"/>
      <c r="FT675" s="183"/>
      <c r="FU675" s="183"/>
      <c r="FV675" s="183"/>
      <c r="FW675" s="183"/>
      <c r="FX675" s="183"/>
      <c r="FY675" s="183"/>
    </row>
    <row r="676" spans="1:181" ht="11.25" customHeight="1">
      <c r="A676" s="183"/>
      <c r="B676" s="183"/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  <c r="FE676" s="183"/>
      <c r="FF676" s="183"/>
      <c r="FG676" s="183"/>
      <c r="FH676" s="183"/>
      <c r="FI676" s="183"/>
      <c r="FJ676" s="183"/>
      <c r="FK676" s="183"/>
      <c r="FL676" s="183"/>
      <c r="FM676" s="183"/>
      <c r="FN676" s="183"/>
      <c r="FO676" s="183"/>
      <c r="FP676" s="183"/>
      <c r="FQ676" s="183"/>
      <c r="FR676" s="183"/>
      <c r="FS676" s="183"/>
      <c r="FT676" s="183"/>
      <c r="FU676" s="183"/>
      <c r="FV676" s="183"/>
      <c r="FW676" s="183"/>
      <c r="FX676" s="183"/>
      <c r="FY676" s="183"/>
    </row>
    <row r="677" spans="1:181" ht="11.25" customHeight="1">
      <c r="A677" s="183"/>
      <c r="B677" s="183"/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  <c r="FE677" s="183"/>
      <c r="FF677" s="183"/>
      <c r="FG677" s="183"/>
      <c r="FH677" s="183"/>
      <c r="FI677" s="183"/>
      <c r="FJ677" s="183"/>
      <c r="FK677" s="183"/>
      <c r="FL677" s="183"/>
      <c r="FM677" s="183"/>
      <c r="FN677" s="183"/>
      <c r="FO677" s="183"/>
      <c r="FP677" s="183"/>
      <c r="FQ677" s="183"/>
      <c r="FR677" s="183"/>
      <c r="FS677" s="183"/>
      <c r="FT677" s="183"/>
      <c r="FU677" s="183"/>
      <c r="FV677" s="183"/>
      <c r="FW677" s="183"/>
      <c r="FX677" s="183"/>
      <c r="FY677" s="183"/>
    </row>
    <row r="678" spans="1:181" ht="11.25" customHeight="1">
      <c r="A678" s="183"/>
      <c r="B678" s="183"/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  <c r="FE678" s="183"/>
      <c r="FF678" s="183"/>
      <c r="FG678" s="183"/>
      <c r="FH678" s="183"/>
      <c r="FI678" s="183"/>
      <c r="FJ678" s="183"/>
      <c r="FK678" s="183"/>
      <c r="FL678" s="183"/>
      <c r="FM678" s="183"/>
      <c r="FN678" s="183"/>
      <c r="FO678" s="183"/>
      <c r="FP678" s="183"/>
      <c r="FQ678" s="183"/>
      <c r="FR678" s="183"/>
      <c r="FS678" s="183"/>
      <c r="FT678" s="183"/>
      <c r="FU678" s="183"/>
      <c r="FV678" s="183"/>
      <c r="FW678" s="183"/>
      <c r="FX678" s="183"/>
      <c r="FY678" s="183"/>
    </row>
    <row r="679" spans="1:181" ht="11.25" customHeight="1">
      <c r="A679" s="183"/>
      <c r="B679" s="183"/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  <c r="FE679" s="183"/>
      <c r="FF679" s="183"/>
      <c r="FG679" s="183"/>
      <c r="FH679" s="183"/>
      <c r="FI679" s="183"/>
      <c r="FJ679" s="183"/>
      <c r="FK679" s="183"/>
      <c r="FL679" s="183"/>
      <c r="FM679" s="183"/>
      <c r="FN679" s="183"/>
      <c r="FO679" s="183"/>
      <c r="FP679" s="183"/>
      <c r="FQ679" s="183"/>
      <c r="FR679" s="183"/>
      <c r="FS679" s="183"/>
      <c r="FT679" s="183"/>
      <c r="FU679" s="183"/>
      <c r="FV679" s="183"/>
      <c r="FW679" s="183"/>
      <c r="FX679" s="183"/>
      <c r="FY679" s="183"/>
    </row>
    <row r="680" spans="1:181" ht="11.25" customHeight="1">
      <c r="A680" s="183"/>
      <c r="B680" s="183"/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  <c r="FE680" s="183"/>
      <c r="FF680" s="183"/>
      <c r="FG680" s="183"/>
      <c r="FH680" s="183"/>
      <c r="FI680" s="183"/>
      <c r="FJ680" s="183"/>
      <c r="FK680" s="183"/>
      <c r="FL680" s="183"/>
      <c r="FM680" s="183"/>
      <c r="FN680" s="183"/>
      <c r="FO680" s="183"/>
      <c r="FP680" s="183"/>
      <c r="FQ680" s="183"/>
      <c r="FR680" s="183"/>
      <c r="FS680" s="183"/>
      <c r="FT680" s="183"/>
      <c r="FU680" s="183"/>
      <c r="FV680" s="183"/>
      <c r="FW680" s="183"/>
      <c r="FX680" s="183"/>
      <c r="FY680" s="183"/>
    </row>
    <row r="681" spans="1:181" ht="11.25" customHeight="1">
      <c r="A681" s="183"/>
      <c r="B681" s="183"/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  <c r="FE681" s="183"/>
      <c r="FF681" s="183"/>
      <c r="FG681" s="183"/>
      <c r="FH681" s="183"/>
      <c r="FI681" s="183"/>
      <c r="FJ681" s="183"/>
      <c r="FK681" s="183"/>
      <c r="FL681" s="183"/>
      <c r="FM681" s="183"/>
      <c r="FN681" s="183"/>
      <c r="FO681" s="183"/>
      <c r="FP681" s="183"/>
      <c r="FQ681" s="183"/>
      <c r="FR681" s="183"/>
      <c r="FS681" s="183"/>
      <c r="FT681" s="183"/>
      <c r="FU681" s="183"/>
      <c r="FV681" s="183"/>
      <c r="FW681" s="183"/>
      <c r="FX681" s="183"/>
      <c r="FY681" s="183"/>
    </row>
    <row r="682" spans="1:181" ht="11.25" customHeight="1">
      <c r="A682" s="183"/>
      <c r="B682" s="183"/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  <c r="FE682" s="183"/>
      <c r="FF682" s="183"/>
      <c r="FG682" s="183"/>
      <c r="FH682" s="183"/>
      <c r="FI682" s="183"/>
      <c r="FJ682" s="183"/>
      <c r="FK682" s="183"/>
      <c r="FL682" s="183"/>
      <c r="FM682" s="183"/>
      <c r="FN682" s="183"/>
      <c r="FO682" s="183"/>
      <c r="FP682" s="183"/>
      <c r="FQ682" s="183"/>
      <c r="FR682" s="183"/>
      <c r="FS682" s="183"/>
      <c r="FT682" s="183"/>
      <c r="FU682" s="183"/>
      <c r="FV682" s="183"/>
      <c r="FW682" s="183"/>
      <c r="FX682" s="183"/>
      <c r="FY682" s="183"/>
    </row>
    <row r="683" spans="1:181" ht="11.25" customHeight="1">
      <c r="A683" s="183"/>
      <c r="B683" s="183"/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  <c r="FE683" s="183"/>
      <c r="FF683" s="183"/>
      <c r="FG683" s="183"/>
      <c r="FH683" s="183"/>
      <c r="FI683" s="183"/>
      <c r="FJ683" s="183"/>
      <c r="FK683" s="183"/>
      <c r="FL683" s="183"/>
      <c r="FM683" s="183"/>
      <c r="FN683" s="183"/>
      <c r="FO683" s="183"/>
      <c r="FP683" s="183"/>
      <c r="FQ683" s="183"/>
      <c r="FR683" s="183"/>
      <c r="FS683" s="183"/>
      <c r="FT683" s="183"/>
      <c r="FU683" s="183"/>
      <c r="FV683" s="183"/>
      <c r="FW683" s="183"/>
      <c r="FX683" s="183"/>
      <c r="FY683" s="183"/>
    </row>
    <row r="684" spans="1:181" ht="11.25" customHeight="1">
      <c r="A684" s="183"/>
      <c r="B684" s="183"/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  <c r="FE684" s="183"/>
      <c r="FF684" s="183"/>
      <c r="FG684" s="183"/>
      <c r="FH684" s="183"/>
      <c r="FI684" s="183"/>
      <c r="FJ684" s="183"/>
      <c r="FK684" s="183"/>
      <c r="FL684" s="183"/>
      <c r="FM684" s="183"/>
      <c r="FN684" s="183"/>
      <c r="FO684" s="183"/>
      <c r="FP684" s="183"/>
      <c r="FQ684" s="183"/>
      <c r="FR684" s="183"/>
      <c r="FS684" s="183"/>
      <c r="FT684" s="183"/>
      <c r="FU684" s="183"/>
      <c r="FV684" s="183"/>
      <c r="FW684" s="183"/>
      <c r="FX684" s="183"/>
      <c r="FY684" s="183"/>
    </row>
    <row r="685" spans="1:181" ht="11.25" customHeight="1">
      <c r="A685" s="183"/>
      <c r="B685" s="183"/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  <c r="FE685" s="183"/>
      <c r="FF685" s="183"/>
      <c r="FG685" s="183"/>
      <c r="FH685" s="183"/>
      <c r="FI685" s="183"/>
      <c r="FJ685" s="183"/>
      <c r="FK685" s="183"/>
      <c r="FL685" s="183"/>
      <c r="FM685" s="183"/>
      <c r="FN685" s="183"/>
      <c r="FO685" s="183"/>
      <c r="FP685" s="183"/>
      <c r="FQ685" s="183"/>
      <c r="FR685" s="183"/>
      <c r="FS685" s="183"/>
      <c r="FT685" s="183"/>
      <c r="FU685" s="183"/>
      <c r="FV685" s="183"/>
      <c r="FW685" s="183"/>
      <c r="FX685" s="183"/>
      <c r="FY685" s="183"/>
    </row>
    <row r="686" spans="1:181" ht="11.25" customHeight="1">
      <c r="A686" s="183"/>
      <c r="B686" s="183"/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  <c r="FE686" s="183"/>
      <c r="FF686" s="183"/>
      <c r="FG686" s="183"/>
      <c r="FH686" s="183"/>
      <c r="FI686" s="183"/>
      <c r="FJ686" s="183"/>
      <c r="FK686" s="183"/>
      <c r="FL686" s="183"/>
      <c r="FM686" s="183"/>
      <c r="FN686" s="183"/>
      <c r="FO686" s="183"/>
      <c r="FP686" s="183"/>
      <c r="FQ686" s="183"/>
      <c r="FR686" s="183"/>
      <c r="FS686" s="183"/>
      <c r="FT686" s="183"/>
      <c r="FU686" s="183"/>
      <c r="FV686" s="183"/>
      <c r="FW686" s="183"/>
      <c r="FX686" s="183"/>
      <c r="FY686" s="183"/>
    </row>
    <row r="687" spans="1:181" ht="11.25" customHeight="1">
      <c r="A687" s="183"/>
      <c r="B687" s="183"/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  <c r="FE687" s="183"/>
      <c r="FF687" s="183"/>
      <c r="FG687" s="183"/>
      <c r="FH687" s="183"/>
      <c r="FI687" s="183"/>
      <c r="FJ687" s="183"/>
      <c r="FK687" s="183"/>
      <c r="FL687" s="183"/>
      <c r="FM687" s="183"/>
      <c r="FN687" s="183"/>
      <c r="FO687" s="183"/>
      <c r="FP687" s="183"/>
      <c r="FQ687" s="183"/>
      <c r="FR687" s="183"/>
      <c r="FS687" s="183"/>
      <c r="FT687" s="183"/>
      <c r="FU687" s="183"/>
      <c r="FV687" s="183"/>
      <c r="FW687" s="183"/>
      <c r="FX687" s="183"/>
      <c r="FY687" s="183"/>
    </row>
    <row r="688" spans="1:181" ht="11.25" customHeight="1">
      <c r="A688" s="183"/>
      <c r="B688" s="183"/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  <c r="FE688" s="183"/>
      <c r="FF688" s="183"/>
      <c r="FG688" s="183"/>
      <c r="FH688" s="183"/>
      <c r="FI688" s="183"/>
      <c r="FJ688" s="183"/>
      <c r="FK688" s="183"/>
      <c r="FL688" s="183"/>
      <c r="FM688" s="183"/>
      <c r="FN688" s="183"/>
      <c r="FO688" s="183"/>
      <c r="FP688" s="183"/>
      <c r="FQ688" s="183"/>
      <c r="FR688" s="183"/>
      <c r="FS688" s="183"/>
      <c r="FT688" s="183"/>
      <c r="FU688" s="183"/>
      <c r="FV688" s="183"/>
      <c r="FW688" s="183"/>
      <c r="FX688" s="183"/>
      <c r="FY688" s="183"/>
    </row>
    <row r="689" spans="1:181" ht="11.25" customHeight="1">
      <c r="A689" s="183"/>
      <c r="B689" s="183"/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  <c r="FE689" s="183"/>
      <c r="FF689" s="183"/>
      <c r="FG689" s="183"/>
      <c r="FH689" s="183"/>
      <c r="FI689" s="183"/>
      <c r="FJ689" s="183"/>
      <c r="FK689" s="183"/>
      <c r="FL689" s="183"/>
      <c r="FM689" s="183"/>
      <c r="FN689" s="183"/>
      <c r="FO689" s="183"/>
      <c r="FP689" s="183"/>
      <c r="FQ689" s="183"/>
      <c r="FR689" s="183"/>
      <c r="FS689" s="183"/>
      <c r="FT689" s="183"/>
      <c r="FU689" s="183"/>
      <c r="FV689" s="183"/>
      <c r="FW689" s="183"/>
      <c r="FX689" s="183"/>
      <c r="FY689" s="183"/>
    </row>
    <row r="690" spans="1:181" ht="11.25" customHeight="1">
      <c r="A690" s="183"/>
      <c r="B690" s="183"/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  <c r="FE690" s="183"/>
      <c r="FF690" s="183"/>
      <c r="FG690" s="183"/>
      <c r="FH690" s="183"/>
      <c r="FI690" s="183"/>
      <c r="FJ690" s="183"/>
      <c r="FK690" s="183"/>
      <c r="FL690" s="183"/>
      <c r="FM690" s="183"/>
      <c r="FN690" s="183"/>
      <c r="FO690" s="183"/>
      <c r="FP690" s="183"/>
      <c r="FQ690" s="183"/>
      <c r="FR690" s="183"/>
      <c r="FS690" s="183"/>
      <c r="FT690" s="183"/>
      <c r="FU690" s="183"/>
      <c r="FV690" s="183"/>
      <c r="FW690" s="183"/>
      <c r="FX690" s="183"/>
      <c r="FY690" s="183"/>
    </row>
    <row r="691" spans="1:181" ht="11.25" customHeight="1">
      <c r="A691" s="183"/>
      <c r="B691" s="183"/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  <c r="FE691" s="183"/>
      <c r="FF691" s="183"/>
      <c r="FG691" s="183"/>
      <c r="FH691" s="183"/>
      <c r="FI691" s="183"/>
      <c r="FJ691" s="183"/>
      <c r="FK691" s="183"/>
      <c r="FL691" s="183"/>
      <c r="FM691" s="183"/>
      <c r="FN691" s="183"/>
      <c r="FO691" s="183"/>
      <c r="FP691" s="183"/>
      <c r="FQ691" s="183"/>
      <c r="FR691" s="183"/>
      <c r="FS691" s="183"/>
      <c r="FT691" s="183"/>
      <c r="FU691" s="183"/>
      <c r="FV691" s="183"/>
      <c r="FW691" s="183"/>
      <c r="FX691" s="183"/>
      <c r="FY691" s="183"/>
    </row>
    <row r="692" spans="1:181" ht="11.25" customHeight="1">
      <c r="A692" s="183"/>
      <c r="B692" s="183"/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  <c r="FE692" s="183"/>
      <c r="FF692" s="183"/>
      <c r="FG692" s="183"/>
      <c r="FH692" s="183"/>
      <c r="FI692" s="183"/>
      <c r="FJ692" s="183"/>
      <c r="FK692" s="183"/>
      <c r="FL692" s="183"/>
      <c r="FM692" s="183"/>
      <c r="FN692" s="183"/>
      <c r="FO692" s="183"/>
      <c r="FP692" s="183"/>
      <c r="FQ692" s="183"/>
      <c r="FR692" s="183"/>
      <c r="FS692" s="183"/>
      <c r="FT692" s="183"/>
      <c r="FU692" s="183"/>
      <c r="FV692" s="183"/>
      <c r="FW692" s="183"/>
      <c r="FX692" s="183"/>
      <c r="FY692" s="183"/>
    </row>
    <row r="693" spans="1:181" ht="11.25" customHeight="1">
      <c r="A693" s="183"/>
      <c r="B693" s="183"/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  <c r="FE693" s="183"/>
      <c r="FF693" s="183"/>
      <c r="FG693" s="183"/>
      <c r="FH693" s="183"/>
      <c r="FI693" s="183"/>
      <c r="FJ693" s="183"/>
      <c r="FK693" s="183"/>
      <c r="FL693" s="183"/>
      <c r="FM693" s="183"/>
      <c r="FN693" s="183"/>
      <c r="FO693" s="183"/>
      <c r="FP693" s="183"/>
      <c r="FQ693" s="183"/>
      <c r="FR693" s="183"/>
      <c r="FS693" s="183"/>
      <c r="FT693" s="183"/>
      <c r="FU693" s="183"/>
      <c r="FV693" s="183"/>
      <c r="FW693" s="183"/>
      <c r="FX693" s="183"/>
      <c r="FY693" s="183"/>
    </row>
    <row r="694" spans="1:181" ht="11.25" customHeight="1">
      <c r="A694" s="183"/>
      <c r="B694" s="183"/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  <c r="FE694" s="183"/>
      <c r="FF694" s="183"/>
      <c r="FG694" s="183"/>
      <c r="FH694" s="183"/>
      <c r="FI694" s="183"/>
      <c r="FJ694" s="183"/>
      <c r="FK694" s="183"/>
      <c r="FL694" s="183"/>
      <c r="FM694" s="183"/>
      <c r="FN694" s="183"/>
      <c r="FO694" s="183"/>
      <c r="FP694" s="183"/>
      <c r="FQ694" s="183"/>
      <c r="FR694" s="183"/>
      <c r="FS694" s="183"/>
      <c r="FT694" s="183"/>
      <c r="FU694" s="183"/>
      <c r="FV694" s="183"/>
      <c r="FW694" s="183"/>
      <c r="FX694" s="183"/>
      <c r="FY694" s="183"/>
    </row>
    <row r="695" spans="1:181" ht="11.25" customHeight="1">
      <c r="A695" s="183"/>
      <c r="B695" s="183"/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  <c r="FE695" s="183"/>
      <c r="FF695" s="183"/>
      <c r="FG695" s="183"/>
      <c r="FH695" s="183"/>
      <c r="FI695" s="183"/>
      <c r="FJ695" s="183"/>
      <c r="FK695" s="183"/>
      <c r="FL695" s="183"/>
      <c r="FM695" s="183"/>
      <c r="FN695" s="183"/>
      <c r="FO695" s="183"/>
      <c r="FP695" s="183"/>
      <c r="FQ695" s="183"/>
      <c r="FR695" s="183"/>
      <c r="FS695" s="183"/>
      <c r="FT695" s="183"/>
      <c r="FU695" s="183"/>
      <c r="FV695" s="183"/>
      <c r="FW695" s="183"/>
      <c r="FX695" s="183"/>
      <c r="FY695" s="183"/>
    </row>
    <row r="696" spans="1:181" ht="11.25" customHeight="1">
      <c r="A696" s="183"/>
      <c r="B696" s="183"/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  <c r="FE696" s="183"/>
      <c r="FF696" s="183"/>
      <c r="FG696" s="183"/>
      <c r="FH696" s="183"/>
      <c r="FI696" s="183"/>
      <c r="FJ696" s="183"/>
      <c r="FK696" s="183"/>
      <c r="FL696" s="183"/>
      <c r="FM696" s="183"/>
      <c r="FN696" s="183"/>
      <c r="FO696" s="183"/>
      <c r="FP696" s="183"/>
      <c r="FQ696" s="183"/>
      <c r="FR696" s="183"/>
      <c r="FS696" s="183"/>
      <c r="FT696" s="183"/>
      <c r="FU696" s="183"/>
      <c r="FV696" s="183"/>
      <c r="FW696" s="183"/>
      <c r="FX696" s="183"/>
      <c r="FY696" s="183"/>
    </row>
    <row r="697" spans="1:181" ht="11.25" customHeight="1">
      <c r="A697" s="183"/>
      <c r="B697" s="183"/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  <c r="FE697" s="183"/>
      <c r="FF697" s="183"/>
      <c r="FG697" s="183"/>
      <c r="FH697" s="183"/>
      <c r="FI697" s="183"/>
      <c r="FJ697" s="183"/>
      <c r="FK697" s="183"/>
      <c r="FL697" s="183"/>
      <c r="FM697" s="183"/>
      <c r="FN697" s="183"/>
      <c r="FO697" s="183"/>
      <c r="FP697" s="183"/>
      <c r="FQ697" s="183"/>
      <c r="FR697" s="183"/>
      <c r="FS697" s="183"/>
      <c r="FT697" s="183"/>
      <c r="FU697" s="183"/>
      <c r="FV697" s="183"/>
      <c r="FW697" s="183"/>
      <c r="FX697" s="183"/>
      <c r="FY697" s="183"/>
    </row>
    <row r="698" spans="1:181" ht="11.25" customHeight="1">
      <c r="A698" s="183"/>
      <c r="B698" s="183"/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  <c r="FE698" s="183"/>
      <c r="FF698" s="183"/>
      <c r="FG698" s="183"/>
      <c r="FH698" s="183"/>
      <c r="FI698" s="183"/>
      <c r="FJ698" s="183"/>
      <c r="FK698" s="183"/>
      <c r="FL698" s="183"/>
      <c r="FM698" s="183"/>
      <c r="FN698" s="183"/>
      <c r="FO698" s="183"/>
      <c r="FP698" s="183"/>
      <c r="FQ698" s="183"/>
      <c r="FR698" s="183"/>
      <c r="FS698" s="183"/>
      <c r="FT698" s="183"/>
      <c r="FU698" s="183"/>
      <c r="FV698" s="183"/>
      <c r="FW698" s="183"/>
      <c r="FX698" s="183"/>
      <c r="FY698" s="183"/>
    </row>
    <row r="699" spans="1:181" ht="11.25" customHeight="1">
      <c r="A699" s="183"/>
      <c r="B699" s="183"/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</row>
    <row r="700" spans="1:181" ht="11.25" customHeight="1">
      <c r="A700" s="183"/>
      <c r="B700" s="183"/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</row>
    <row r="701" spans="1:181" ht="11.25" customHeight="1">
      <c r="A701" s="183"/>
      <c r="B701" s="183"/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  <c r="FE701" s="183"/>
      <c r="FF701" s="183"/>
      <c r="FG701" s="183"/>
      <c r="FH701" s="183"/>
      <c r="FI701" s="183"/>
      <c r="FJ701" s="183"/>
      <c r="FK701" s="183"/>
      <c r="FL701" s="183"/>
      <c r="FM701" s="183"/>
      <c r="FN701" s="183"/>
      <c r="FO701" s="183"/>
      <c r="FP701" s="183"/>
      <c r="FQ701" s="183"/>
      <c r="FR701" s="183"/>
      <c r="FS701" s="183"/>
      <c r="FT701" s="183"/>
      <c r="FU701" s="183"/>
      <c r="FV701" s="183"/>
      <c r="FW701" s="183"/>
      <c r="FX701" s="183"/>
      <c r="FY701" s="183"/>
    </row>
    <row r="702" spans="1:181" ht="11.25" customHeight="1">
      <c r="A702" s="183"/>
      <c r="B702" s="183"/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  <c r="FE702" s="183"/>
      <c r="FF702" s="183"/>
      <c r="FG702" s="183"/>
      <c r="FH702" s="183"/>
      <c r="FI702" s="183"/>
      <c r="FJ702" s="183"/>
      <c r="FK702" s="183"/>
      <c r="FL702" s="183"/>
      <c r="FM702" s="183"/>
      <c r="FN702" s="183"/>
      <c r="FO702" s="183"/>
      <c r="FP702" s="183"/>
      <c r="FQ702" s="183"/>
      <c r="FR702" s="183"/>
      <c r="FS702" s="183"/>
      <c r="FT702" s="183"/>
      <c r="FU702" s="183"/>
      <c r="FV702" s="183"/>
      <c r="FW702" s="183"/>
      <c r="FX702" s="183"/>
      <c r="FY702" s="183"/>
    </row>
    <row r="703" spans="1:181" ht="11.25" customHeight="1">
      <c r="A703" s="183"/>
      <c r="B703" s="183"/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</row>
    <row r="704" spans="1:181" ht="11.25" customHeight="1">
      <c r="A704" s="183"/>
      <c r="B704" s="183"/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</row>
    <row r="705" spans="1:181" ht="11.25" customHeight="1">
      <c r="A705" s="183"/>
      <c r="B705" s="183"/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  <c r="FE705" s="183"/>
      <c r="FF705" s="183"/>
      <c r="FG705" s="183"/>
      <c r="FH705" s="183"/>
      <c r="FI705" s="183"/>
      <c r="FJ705" s="183"/>
      <c r="FK705" s="183"/>
      <c r="FL705" s="183"/>
      <c r="FM705" s="183"/>
      <c r="FN705" s="183"/>
      <c r="FO705" s="183"/>
      <c r="FP705" s="183"/>
      <c r="FQ705" s="183"/>
      <c r="FR705" s="183"/>
      <c r="FS705" s="183"/>
      <c r="FT705" s="183"/>
      <c r="FU705" s="183"/>
      <c r="FV705" s="183"/>
      <c r="FW705" s="183"/>
      <c r="FX705" s="183"/>
      <c r="FY705" s="183"/>
    </row>
    <row r="706" spans="1:181" ht="11.25" customHeight="1">
      <c r="A706" s="183"/>
      <c r="B706" s="183"/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  <c r="FE706" s="183"/>
      <c r="FF706" s="183"/>
      <c r="FG706" s="183"/>
      <c r="FH706" s="183"/>
      <c r="FI706" s="183"/>
      <c r="FJ706" s="183"/>
      <c r="FK706" s="183"/>
      <c r="FL706" s="183"/>
      <c r="FM706" s="183"/>
      <c r="FN706" s="183"/>
      <c r="FO706" s="183"/>
      <c r="FP706" s="183"/>
      <c r="FQ706" s="183"/>
      <c r="FR706" s="183"/>
      <c r="FS706" s="183"/>
      <c r="FT706" s="183"/>
      <c r="FU706" s="183"/>
      <c r="FV706" s="183"/>
      <c r="FW706" s="183"/>
      <c r="FX706" s="183"/>
      <c r="FY706" s="183"/>
    </row>
    <row r="707" spans="1:181" ht="11.25" customHeight="1">
      <c r="A707" s="183"/>
      <c r="B707" s="183"/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  <c r="FE707" s="183"/>
      <c r="FF707" s="183"/>
      <c r="FG707" s="183"/>
      <c r="FH707" s="183"/>
      <c r="FI707" s="183"/>
      <c r="FJ707" s="183"/>
      <c r="FK707" s="183"/>
      <c r="FL707" s="183"/>
      <c r="FM707" s="183"/>
      <c r="FN707" s="183"/>
      <c r="FO707" s="183"/>
      <c r="FP707" s="183"/>
      <c r="FQ707" s="183"/>
      <c r="FR707" s="183"/>
      <c r="FS707" s="183"/>
      <c r="FT707" s="183"/>
      <c r="FU707" s="183"/>
      <c r="FV707" s="183"/>
      <c r="FW707" s="183"/>
      <c r="FX707" s="183"/>
      <c r="FY707" s="183"/>
    </row>
    <row r="708" spans="1:181" ht="11.25" customHeight="1">
      <c r="A708" s="183"/>
      <c r="B708" s="183"/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  <c r="FE708" s="183"/>
      <c r="FF708" s="183"/>
      <c r="FG708" s="183"/>
      <c r="FH708" s="183"/>
      <c r="FI708" s="183"/>
      <c r="FJ708" s="183"/>
      <c r="FK708" s="183"/>
      <c r="FL708" s="183"/>
      <c r="FM708" s="183"/>
      <c r="FN708" s="183"/>
      <c r="FO708" s="183"/>
      <c r="FP708" s="183"/>
      <c r="FQ708" s="183"/>
      <c r="FR708" s="183"/>
      <c r="FS708" s="183"/>
      <c r="FT708" s="183"/>
      <c r="FU708" s="183"/>
      <c r="FV708" s="183"/>
      <c r="FW708" s="183"/>
      <c r="FX708" s="183"/>
      <c r="FY708" s="183"/>
    </row>
    <row r="709" spans="1:181" ht="11.25" customHeight="1">
      <c r="A709" s="183"/>
      <c r="B709" s="183"/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  <c r="FE709" s="183"/>
      <c r="FF709" s="183"/>
      <c r="FG709" s="183"/>
      <c r="FH709" s="183"/>
      <c r="FI709" s="183"/>
      <c r="FJ709" s="183"/>
      <c r="FK709" s="183"/>
      <c r="FL709" s="183"/>
      <c r="FM709" s="183"/>
      <c r="FN709" s="183"/>
      <c r="FO709" s="183"/>
      <c r="FP709" s="183"/>
      <c r="FQ709" s="183"/>
      <c r="FR709" s="183"/>
      <c r="FS709" s="183"/>
      <c r="FT709" s="183"/>
      <c r="FU709" s="183"/>
      <c r="FV709" s="183"/>
      <c r="FW709" s="183"/>
      <c r="FX709" s="183"/>
      <c r="FY709" s="183"/>
    </row>
    <row r="710" spans="1:181" ht="11.25" customHeight="1">
      <c r="A710" s="183"/>
      <c r="B710" s="183"/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  <c r="FE710" s="183"/>
      <c r="FF710" s="183"/>
      <c r="FG710" s="183"/>
      <c r="FH710" s="183"/>
      <c r="FI710" s="183"/>
      <c r="FJ710" s="183"/>
      <c r="FK710" s="183"/>
      <c r="FL710" s="183"/>
      <c r="FM710" s="183"/>
      <c r="FN710" s="183"/>
      <c r="FO710" s="183"/>
      <c r="FP710" s="183"/>
      <c r="FQ710" s="183"/>
      <c r="FR710" s="183"/>
      <c r="FS710" s="183"/>
      <c r="FT710" s="183"/>
      <c r="FU710" s="183"/>
      <c r="FV710" s="183"/>
      <c r="FW710" s="183"/>
      <c r="FX710" s="183"/>
      <c r="FY710" s="183"/>
    </row>
    <row r="711" spans="1:181" ht="11.25" customHeight="1">
      <c r="A711" s="183"/>
      <c r="B711" s="183"/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  <c r="FE711" s="183"/>
      <c r="FF711" s="183"/>
      <c r="FG711" s="183"/>
      <c r="FH711" s="183"/>
      <c r="FI711" s="183"/>
      <c r="FJ711" s="183"/>
      <c r="FK711" s="183"/>
      <c r="FL711" s="183"/>
      <c r="FM711" s="183"/>
      <c r="FN711" s="183"/>
      <c r="FO711" s="183"/>
      <c r="FP711" s="183"/>
      <c r="FQ711" s="183"/>
      <c r="FR711" s="183"/>
      <c r="FS711" s="183"/>
      <c r="FT711" s="183"/>
      <c r="FU711" s="183"/>
      <c r="FV711" s="183"/>
      <c r="FW711" s="183"/>
      <c r="FX711" s="183"/>
      <c r="FY711" s="183"/>
    </row>
    <row r="712" spans="1:181" ht="11.25" customHeight="1">
      <c r="A712" s="183"/>
      <c r="B712" s="183"/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  <c r="FE712" s="183"/>
      <c r="FF712" s="183"/>
      <c r="FG712" s="183"/>
      <c r="FH712" s="183"/>
      <c r="FI712" s="183"/>
      <c r="FJ712" s="183"/>
      <c r="FK712" s="183"/>
      <c r="FL712" s="183"/>
      <c r="FM712" s="183"/>
      <c r="FN712" s="183"/>
      <c r="FO712" s="183"/>
      <c r="FP712" s="183"/>
      <c r="FQ712" s="183"/>
      <c r="FR712" s="183"/>
      <c r="FS712" s="183"/>
      <c r="FT712" s="183"/>
      <c r="FU712" s="183"/>
      <c r="FV712" s="183"/>
      <c r="FW712" s="183"/>
      <c r="FX712" s="183"/>
      <c r="FY712" s="183"/>
    </row>
    <row r="713" spans="1:181" ht="11.25" customHeight="1">
      <c r="A713" s="183"/>
      <c r="B713" s="183"/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  <c r="FE713" s="183"/>
      <c r="FF713" s="183"/>
      <c r="FG713" s="183"/>
      <c r="FH713" s="183"/>
      <c r="FI713" s="183"/>
      <c r="FJ713" s="183"/>
      <c r="FK713" s="183"/>
      <c r="FL713" s="183"/>
      <c r="FM713" s="183"/>
      <c r="FN713" s="183"/>
      <c r="FO713" s="183"/>
      <c r="FP713" s="183"/>
      <c r="FQ713" s="183"/>
      <c r="FR713" s="183"/>
      <c r="FS713" s="183"/>
      <c r="FT713" s="183"/>
      <c r="FU713" s="183"/>
      <c r="FV713" s="183"/>
      <c r="FW713" s="183"/>
      <c r="FX713" s="183"/>
      <c r="FY713" s="183"/>
    </row>
    <row r="714" spans="1:181" ht="11.25" customHeight="1">
      <c r="A714" s="183"/>
      <c r="B714" s="183"/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  <c r="FE714" s="183"/>
      <c r="FF714" s="183"/>
      <c r="FG714" s="183"/>
      <c r="FH714" s="183"/>
      <c r="FI714" s="183"/>
      <c r="FJ714" s="183"/>
      <c r="FK714" s="183"/>
      <c r="FL714" s="183"/>
      <c r="FM714" s="183"/>
      <c r="FN714" s="183"/>
      <c r="FO714" s="183"/>
      <c r="FP714" s="183"/>
      <c r="FQ714" s="183"/>
      <c r="FR714" s="183"/>
      <c r="FS714" s="183"/>
      <c r="FT714" s="183"/>
      <c r="FU714" s="183"/>
      <c r="FV714" s="183"/>
      <c r="FW714" s="183"/>
      <c r="FX714" s="183"/>
      <c r="FY714" s="183"/>
    </row>
    <row r="715" spans="1:181" ht="11.25" customHeight="1">
      <c r="A715" s="183"/>
      <c r="B715" s="183"/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  <c r="FE715" s="183"/>
      <c r="FF715" s="183"/>
      <c r="FG715" s="183"/>
      <c r="FH715" s="183"/>
      <c r="FI715" s="183"/>
      <c r="FJ715" s="183"/>
      <c r="FK715" s="183"/>
      <c r="FL715" s="183"/>
      <c r="FM715" s="183"/>
      <c r="FN715" s="183"/>
      <c r="FO715" s="183"/>
      <c r="FP715" s="183"/>
      <c r="FQ715" s="183"/>
      <c r="FR715" s="183"/>
      <c r="FS715" s="183"/>
      <c r="FT715" s="183"/>
      <c r="FU715" s="183"/>
      <c r="FV715" s="183"/>
      <c r="FW715" s="183"/>
      <c r="FX715" s="183"/>
      <c r="FY715" s="183"/>
    </row>
    <row r="716" spans="1:181" ht="11.25" customHeight="1">
      <c r="A716" s="183"/>
      <c r="B716" s="183"/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  <c r="FE716" s="183"/>
      <c r="FF716" s="183"/>
      <c r="FG716" s="183"/>
      <c r="FH716" s="183"/>
      <c r="FI716" s="183"/>
      <c r="FJ716" s="183"/>
      <c r="FK716" s="183"/>
      <c r="FL716" s="183"/>
      <c r="FM716" s="183"/>
      <c r="FN716" s="183"/>
      <c r="FO716" s="183"/>
      <c r="FP716" s="183"/>
      <c r="FQ716" s="183"/>
      <c r="FR716" s="183"/>
      <c r="FS716" s="183"/>
      <c r="FT716" s="183"/>
      <c r="FU716" s="183"/>
      <c r="FV716" s="183"/>
      <c r="FW716" s="183"/>
      <c r="FX716" s="183"/>
      <c r="FY716" s="183"/>
    </row>
    <row r="717" spans="1:181" ht="11.25" customHeight="1">
      <c r="A717" s="183"/>
      <c r="B717" s="183"/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  <c r="FE717" s="183"/>
      <c r="FF717" s="183"/>
      <c r="FG717" s="183"/>
      <c r="FH717" s="183"/>
      <c r="FI717" s="183"/>
      <c r="FJ717" s="183"/>
      <c r="FK717" s="183"/>
      <c r="FL717" s="183"/>
      <c r="FM717" s="183"/>
      <c r="FN717" s="183"/>
      <c r="FO717" s="183"/>
      <c r="FP717" s="183"/>
      <c r="FQ717" s="183"/>
      <c r="FR717" s="183"/>
      <c r="FS717" s="183"/>
      <c r="FT717" s="183"/>
      <c r="FU717" s="183"/>
      <c r="FV717" s="183"/>
      <c r="FW717" s="183"/>
      <c r="FX717" s="183"/>
      <c r="FY717" s="183"/>
    </row>
    <row r="718" spans="1:181" ht="11.25" customHeight="1">
      <c r="A718" s="183"/>
      <c r="B718" s="183"/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  <c r="FE718" s="183"/>
      <c r="FF718" s="183"/>
      <c r="FG718" s="183"/>
      <c r="FH718" s="183"/>
      <c r="FI718" s="183"/>
      <c r="FJ718" s="183"/>
      <c r="FK718" s="183"/>
      <c r="FL718" s="183"/>
      <c r="FM718" s="183"/>
      <c r="FN718" s="183"/>
      <c r="FO718" s="183"/>
      <c r="FP718" s="183"/>
      <c r="FQ718" s="183"/>
      <c r="FR718" s="183"/>
      <c r="FS718" s="183"/>
      <c r="FT718" s="183"/>
      <c r="FU718" s="183"/>
      <c r="FV718" s="183"/>
      <c r="FW718" s="183"/>
      <c r="FX718" s="183"/>
      <c r="FY718" s="183"/>
    </row>
    <row r="719" spans="1:181" ht="11.25" customHeight="1">
      <c r="A719" s="183"/>
      <c r="B719" s="183"/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  <c r="FE719" s="183"/>
      <c r="FF719" s="183"/>
      <c r="FG719" s="183"/>
      <c r="FH719" s="183"/>
      <c r="FI719" s="183"/>
      <c r="FJ719" s="183"/>
      <c r="FK719" s="183"/>
      <c r="FL719" s="183"/>
      <c r="FM719" s="183"/>
      <c r="FN719" s="183"/>
      <c r="FO719" s="183"/>
      <c r="FP719" s="183"/>
      <c r="FQ719" s="183"/>
      <c r="FR719" s="183"/>
      <c r="FS719" s="183"/>
      <c r="FT719" s="183"/>
      <c r="FU719" s="183"/>
      <c r="FV719" s="183"/>
      <c r="FW719" s="183"/>
      <c r="FX719" s="183"/>
      <c r="FY719" s="183"/>
    </row>
    <row r="720" spans="1:181" ht="11.25" customHeight="1">
      <c r="A720" s="183"/>
      <c r="B720" s="183"/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  <c r="FE720" s="183"/>
      <c r="FF720" s="183"/>
      <c r="FG720" s="183"/>
      <c r="FH720" s="183"/>
      <c r="FI720" s="183"/>
      <c r="FJ720" s="183"/>
      <c r="FK720" s="183"/>
      <c r="FL720" s="183"/>
      <c r="FM720" s="183"/>
      <c r="FN720" s="183"/>
      <c r="FO720" s="183"/>
      <c r="FP720" s="183"/>
      <c r="FQ720" s="183"/>
      <c r="FR720" s="183"/>
      <c r="FS720" s="183"/>
      <c r="FT720" s="183"/>
      <c r="FU720" s="183"/>
      <c r="FV720" s="183"/>
      <c r="FW720" s="183"/>
      <c r="FX720" s="183"/>
      <c r="FY720" s="183"/>
    </row>
    <row r="721" spans="1:181" ht="11.25" customHeight="1">
      <c r="A721" s="183"/>
      <c r="B721" s="183"/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  <c r="FE721" s="183"/>
      <c r="FF721" s="183"/>
      <c r="FG721" s="183"/>
      <c r="FH721" s="183"/>
      <c r="FI721" s="183"/>
      <c r="FJ721" s="183"/>
      <c r="FK721" s="183"/>
      <c r="FL721" s="183"/>
      <c r="FM721" s="183"/>
      <c r="FN721" s="183"/>
      <c r="FO721" s="183"/>
      <c r="FP721" s="183"/>
      <c r="FQ721" s="183"/>
      <c r="FR721" s="183"/>
      <c r="FS721" s="183"/>
      <c r="FT721" s="183"/>
      <c r="FU721" s="183"/>
      <c r="FV721" s="183"/>
      <c r="FW721" s="183"/>
      <c r="FX721" s="183"/>
      <c r="FY721" s="183"/>
    </row>
    <row r="722" spans="1:181" ht="11.25" customHeight="1">
      <c r="A722" s="183"/>
      <c r="B722" s="183"/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  <c r="FE722" s="183"/>
      <c r="FF722" s="183"/>
      <c r="FG722" s="183"/>
      <c r="FH722" s="183"/>
      <c r="FI722" s="183"/>
      <c r="FJ722" s="183"/>
      <c r="FK722" s="183"/>
      <c r="FL722" s="183"/>
      <c r="FM722" s="183"/>
      <c r="FN722" s="183"/>
      <c r="FO722" s="183"/>
      <c r="FP722" s="183"/>
      <c r="FQ722" s="183"/>
      <c r="FR722" s="183"/>
      <c r="FS722" s="183"/>
      <c r="FT722" s="183"/>
      <c r="FU722" s="183"/>
      <c r="FV722" s="183"/>
      <c r="FW722" s="183"/>
      <c r="FX722" s="183"/>
      <c r="FY722" s="183"/>
    </row>
    <row r="723" spans="1:181" ht="11.25" customHeight="1">
      <c r="A723" s="183"/>
      <c r="B723" s="183"/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  <c r="FE723" s="183"/>
      <c r="FF723" s="183"/>
      <c r="FG723" s="183"/>
      <c r="FH723" s="183"/>
      <c r="FI723" s="183"/>
      <c r="FJ723" s="183"/>
      <c r="FK723" s="183"/>
      <c r="FL723" s="183"/>
      <c r="FM723" s="183"/>
      <c r="FN723" s="183"/>
      <c r="FO723" s="183"/>
      <c r="FP723" s="183"/>
      <c r="FQ723" s="183"/>
      <c r="FR723" s="183"/>
      <c r="FS723" s="183"/>
      <c r="FT723" s="183"/>
      <c r="FU723" s="183"/>
      <c r="FV723" s="183"/>
      <c r="FW723" s="183"/>
      <c r="FX723" s="183"/>
      <c r="FY723" s="183"/>
    </row>
    <row r="724" spans="1:181" ht="11.25" customHeight="1">
      <c r="A724" s="183"/>
      <c r="B724" s="183"/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  <c r="FE724" s="183"/>
      <c r="FF724" s="183"/>
      <c r="FG724" s="183"/>
      <c r="FH724" s="183"/>
      <c r="FI724" s="183"/>
      <c r="FJ724" s="183"/>
      <c r="FK724" s="183"/>
      <c r="FL724" s="183"/>
      <c r="FM724" s="183"/>
      <c r="FN724" s="183"/>
      <c r="FO724" s="183"/>
      <c r="FP724" s="183"/>
      <c r="FQ724" s="183"/>
      <c r="FR724" s="183"/>
      <c r="FS724" s="183"/>
      <c r="FT724" s="183"/>
      <c r="FU724" s="183"/>
      <c r="FV724" s="183"/>
      <c r="FW724" s="183"/>
      <c r="FX724" s="183"/>
      <c r="FY724" s="183"/>
    </row>
    <row r="725" spans="1:181" ht="11.25" customHeight="1">
      <c r="A725" s="183"/>
      <c r="B725" s="183"/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  <c r="FE725" s="183"/>
      <c r="FF725" s="183"/>
      <c r="FG725" s="183"/>
      <c r="FH725" s="183"/>
      <c r="FI725" s="183"/>
      <c r="FJ725" s="183"/>
      <c r="FK725" s="183"/>
      <c r="FL725" s="183"/>
      <c r="FM725" s="183"/>
      <c r="FN725" s="183"/>
      <c r="FO725" s="183"/>
      <c r="FP725" s="183"/>
      <c r="FQ725" s="183"/>
      <c r="FR725" s="183"/>
      <c r="FS725" s="183"/>
      <c r="FT725" s="183"/>
      <c r="FU725" s="183"/>
      <c r="FV725" s="183"/>
      <c r="FW725" s="183"/>
      <c r="FX725" s="183"/>
      <c r="FY725" s="183"/>
    </row>
    <row r="726" spans="1:181" ht="11.25" customHeight="1">
      <c r="A726" s="183"/>
      <c r="B726" s="183"/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  <c r="FE726" s="183"/>
      <c r="FF726" s="183"/>
      <c r="FG726" s="183"/>
      <c r="FH726" s="183"/>
      <c r="FI726" s="183"/>
      <c r="FJ726" s="183"/>
      <c r="FK726" s="183"/>
      <c r="FL726" s="183"/>
      <c r="FM726" s="183"/>
      <c r="FN726" s="183"/>
      <c r="FO726" s="183"/>
      <c r="FP726" s="183"/>
      <c r="FQ726" s="183"/>
      <c r="FR726" s="183"/>
      <c r="FS726" s="183"/>
      <c r="FT726" s="183"/>
      <c r="FU726" s="183"/>
      <c r="FV726" s="183"/>
      <c r="FW726" s="183"/>
      <c r="FX726" s="183"/>
      <c r="FY726" s="183"/>
    </row>
    <row r="727" spans="1:181" ht="11.25" customHeight="1">
      <c r="A727" s="183"/>
      <c r="B727" s="183"/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  <c r="FE727" s="183"/>
      <c r="FF727" s="183"/>
      <c r="FG727" s="183"/>
      <c r="FH727" s="183"/>
      <c r="FI727" s="183"/>
      <c r="FJ727" s="183"/>
      <c r="FK727" s="183"/>
      <c r="FL727" s="183"/>
      <c r="FM727" s="183"/>
      <c r="FN727" s="183"/>
      <c r="FO727" s="183"/>
      <c r="FP727" s="183"/>
      <c r="FQ727" s="183"/>
      <c r="FR727" s="183"/>
      <c r="FS727" s="183"/>
      <c r="FT727" s="183"/>
      <c r="FU727" s="183"/>
      <c r="FV727" s="183"/>
      <c r="FW727" s="183"/>
      <c r="FX727" s="183"/>
      <c r="FY727" s="183"/>
    </row>
    <row r="728" spans="1:181" ht="11.25" customHeight="1">
      <c r="A728" s="183"/>
      <c r="B728" s="183"/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  <c r="FE728" s="183"/>
      <c r="FF728" s="183"/>
      <c r="FG728" s="183"/>
      <c r="FH728" s="183"/>
      <c r="FI728" s="183"/>
      <c r="FJ728" s="183"/>
      <c r="FK728" s="183"/>
      <c r="FL728" s="183"/>
      <c r="FM728" s="183"/>
      <c r="FN728" s="183"/>
      <c r="FO728" s="183"/>
      <c r="FP728" s="183"/>
      <c r="FQ728" s="183"/>
      <c r="FR728" s="183"/>
      <c r="FS728" s="183"/>
      <c r="FT728" s="183"/>
      <c r="FU728" s="183"/>
      <c r="FV728" s="183"/>
      <c r="FW728" s="183"/>
      <c r="FX728" s="183"/>
      <c r="FY728" s="183"/>
    </row>
    <row r="729" spans="1:181" ht="11.25" customHeight="1">
      <c r="A729" s="183"/>
      <c r="B729" s="183"/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  <c r="FE729" s="183"/>
      <c r="FF729" s="183"/>
      <c r="FG729" s="183"/>
      <c r="FH729" s="183"/>
      <c r="FI729" s="183"/>
      <c r="FJ729" s="183"/>
      <c r="FK729" s="183"/>
      <c r="FL729" s="183"/>
      <c r="FM729" s="183"/>
      <c r="FN729" s="183"/>
      <c r="FO729" s="183"/>
      <c r="FP729" s="183"/>
      <c r="FQ729" s="183"/>
      <c r="FR729" s="183"/>
      <c r="FS729" s="183"/>
      <c r="FT729" s="183"/>
      <c r="FU729" s="183"/>
      <c r="FV729" s="183"/>
      <c r="FW729" s="183"/>
      <c r="FX729" s="183"/>
      <c r="FY729" s="183"/>
    </row>
    <row r="730" spans="1:181" ht="11.25" customHeight="1">
      <c r="A730" s="183"/>
      <c r="B730" s="183"/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  <c r="FE730" s="183"/>
      <c r="FF730" s="183"/>
      <c r="FG730" s="183"/>
      <c r="FH730" s="183"/>
      <c r="FI730" s="183"/>
      <c r="FJ730" s="183"/>
      <c r="FK730" s="183"/>
      <c r="FL730" s="183"/>
      <c r="FM730" s="183"/>
      <c r="FN730" s="183"/>
      <c r="FO730" s="183"/>
      <c r="FP730" s="183"/>
      <c r="FQ730" s="183"/>
      <c r="FR730" s="183"/>
      <c r="FS730" s="183"/>
      <c r="FT730" s="183"/>
      <c r="FU730" s="183"/>
      <c r="FV730" s="183"/>
      <c r="FW730" s="183"/>
      <c r="FX730" s="183"/>
      <c r="FY730" s="183"/>
    </row>
    <row r="731" spans="1:181" ht="11.25" customHeight="1">
      <c r="A731" s="183"/>
      <c r="B731" s="183"/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  <c r="FE731" s="183"/>
      <c r="FF731" s="183"/>
      <c r="FG731" s="183"/>
      <c r="FH731" s="183"/>
      <c r="FI731" s="183"/>
      <c r="FJ731" s="183"/>
      <c r="FK731" s="183"/>
      <c r="FL731" s="183"/>
      <c r="FM731" s="183"/>
      <c r="FN731" s="183"/>
      <c r="FO731" s="183"/>
      <c r="FP731" s="183"/>
      <c r="FQ731" s="183"/>
      <c r="FR731" s="183"/>
      <c r="FS731" s="183"/>
      <c r="FT731" s="183"/>
      <c r="FU731" s="183"/>
      <c r="FV731" s="183"/>
      <c r="FW731" s="183"/>
      <c r="FX731" s="183"/>
      <c r="FY731" s="183"/>
    </row>
    <row r="732" spans="1:181" ht="11.25" customHeight="1">
      <c r="A732" s="183"/>
      <c r="B732" s="183"/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  <c r="FE732" s="183"/>
      <c r="FF732" s="183"/>
      <c r="FG732" s="183"/>
      <c r="FH732" s="183"/>
      <c r="FI732" s="183"/>
      <c r="FJ732" s="183"/>
      <c r="FK732" s="183"/>
      <c r="FL732" s="183"/>
      <c r="FM732" s="183"/>
      <c r="FN732" s="183"/>
      <c r="FO732" s="183"/>
      <c r="FP732" s="183"/>
      <c r="FQ732" s="183"/>
      <c r="FR732" s="183"/>
      <c r="FS732" s="183"/>
      <c r="FT732" s="183"/>
      <c r="FU732" s="183"/>
      <c r="FV732" s="183"/>
      <c r="FW732" s="183"/>
      <c r="FX732" s="183"/>
      <c r="FY732" s="183"/>
    </row>
    <row r="733" spans="1:181" ht="11.25" customHeight="1">
      <c r="A733" s="183"/>
      <c r="B733" s="183"/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  <c r="FE733" s="183"/>
      <c r="FF733" s="183"/>
      <c r="FG733" s="183"/>
      <c r="FH733" s="183"/>
      <c r="FI733" s="183"/>
      <c r="FJ733" s="183"/>
      <c r="FK733" s="183"/>
      <c r="FL733" s="183"/>
      <c r="FM733" s="183"/>
      <c r="FN733" s="183"/>
      <c r="FO733" s="183"/>
      <c r="FP733" s="183"/>
      <c r="FQ733" s="183"/>
      <c r="FR733" s="183"/>
      <c r="FS733" s="183"/>
      <c r="FT733" s="183"/>
      <c r="FU733" s="183"/>
      <c r="FV733" s="183"/>
      <c r="FW733" s="183"/>
      <c r="FX733" s="183"/>
      <c r="FY733" s="183"/>
    </row>
    <row r="734" spans="1:181" ht="11.25" customHeight="1">
      <c r="A734" s="183"/>
      <c r="B734" s="183"/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  <c r="FE734" s="183"/>
      <c r="FF734" s="183"/>
      <c r="FG734" s="183"/>
      <c r="FH734" s="183"/>
      <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/>
      <c r="FS734" s="183"/>
      <c r="FT734" s="183"/>
      <c r="FU734" s="183"/>
      <c r="FV734" s="183"/>
      <c r="FW734" s="183"/>
      <c r="FX734" s="183"/>
      <c r="FY734" s="183"/>
    </row>
    <row r="735" spans="1:181" ht="11.25" customHeight="1">
      <c r="A735" s="183"/>
      <c r="B735" s="183"/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  <c r="FE735" s="183"/>
      <c r="FF735" s="183"/>
      <c r="FG735" s="183"/>
      <c r="FH735" s="183"/>
      <c r="FI735" s="183"/>
      <c r="FJ735" s="183"/>
      <c r="FK735" s="183"/>
      <c r="FL735" s="183"/>
      <c r="FM735" s="183"/>
      <c r="FN735" s="183"/>
      <c r="FO735" s="183"/>
      <c r="FP735" s="183"/>
      <c r="FQ735" s="183"/>
      <c r="FR735" s="183"/>
      <c r="FS735" s="183"/>
      <c r="FT735" s="183"/>
      <c r="FU735" s="183"/>
      <c r="FV735" s="183"/>
      <c r="FW735" s="183"/>
      <c r="FX735" s="183"/>
      <c r="FY735" s="183"/>
    </row>
    <row r="736" spans="1:181" ht="11.25" customHeight="1">
      <c r="A736" s="183"/>
      <c r="B736" s="183"/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  <c r="FE736" s="183"/>
      <c r="FF736" s="183"/>
      <c r="FG736" s="183"/>
      <c r="FH736" s="183"/>
      <c r="FI736" s="183"/>
      <c r="FJ736" s="183"/>
      <c r="FK736" s="183"/>
      <c r="FL736" s="183"/>
      <c r="FM736" s="183"/>
      <c r="FN736" s="183"/>
      <c r="FO736" s="183"/>
      <c r="FP736" s="183"/>
      <c r="FQ736" s="183"/>
      <c r="FR736" s="183"/>
      <c r="FS736" s="183"/>
      <c r="FT736" s="183"/>
      <c r="FU736" s="183"/>
      <c r="FV736" s="183"/>
      <c r="FW736" s="183"/>
      <c r="FX736" s="183"/>
      <c r="FY736" s="183"/>
    </row>
    <row r="737" spans="1:181" ht="11.25" customHeight="1">
      <c r="A737" s="183"/>
      <c r="B737" s="183"/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  <c r="FE737" s="183"/>
      <c r="FF737" s="183"/>
      <c r="FG737" s="183"/>
      <c r="FH737" s="183"/>
      <c r="FI737" s="183"/>
      <c r="FJ737" s="183"/>
      <c r="FK737" s="183"/>
      <c r="FL737" s="183"/>
      <c r="FM737" s="183"/>
      <c r="FN737" s="183"/>
      <c r="FO737" s="183"/>
      <c r="FP737" s="183"/>
      <c r="FQ737" s="183"/>
      <c r="FR737" s="183"/>
      <c r="FS737" s="183"/>
      <c r="FT737" s="183"/>
      <c r="FU737" s="183"/>
      <c r="FV737" s="183"/>
      <c r="FW737" s="183"/>
      <c r="FX737" s="183"/>
      <c r="FY737" s="183"/>
    </row>
    <row r="738" spans="1:181" ht="11.25" customHeight="1">
      <c r="A738" s="183"/>
      <c r="B738" s="183"/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  <c r="FE738" s="183"/>
      <c r="FF738" s="183"/>
      <c r="FG738" s="183"/>
      <c r="FH738" s="183"/>
      <c r="FI738" s="183"/>
      <c r="FJ738" s="183"/>
      <c r="FK738" s="183"/>
      <c r="FL738" s="183"/>
      <c r="FM738" s="183"/>
      <c r="FN738" s="183"/>
      <c r="FO738" s="183"/>
      <c r="FP738" s="183"/>
      <c r="FQ738" s="183"/>
      <c r="FR738" s="183"/>
      <c r="FS738" s="183"/>
      <c r="FT738" s="183"/>
      <c r="FU738" s="183"/>
      <c r="FV738" s="183"/>
      <c r="FW738" s="183"/>
      <c r="FX738" s="183"/>
      <c r="FY738" s="183"/>
    </row>
    <row r="739" spans="1:181" ht="11.25" customHeight="1">
      <c r="A739" s="183"/>
      <c r="B739" s="183"/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  <c r="FE739" s="183"/>
      <c r="FF739" s="183"/>
      <c r="FG739" s="183"/>
      <c r="FH739" s="183"/>
      <c r="FI739" s="183"/>
      <c r="FJ739" s="183"/>
      <c r="FK739" s="183"/>
      <c r="FL739" s="183"/>
      <c r="FM739" s="183"/>
      <c r="FN739" s="183"/>
      <c r="FO739" s="183"/>
      <c r="FP739" s="183"/>
      <c r="FQ739" s="183"/>
      <c r="FR739" s="183"/>
      <c r="FS739" s="183"/>
      <c r="FT739" s="183"/>
      <c r="FU739" s="183"/>
      <c r="FV739" s="183"/>
      <c r="FW739" s="183"/>
      <c r="FX739" s="183"/>
      <c r="FY739" s="183"/>
    </row>
    <row r="740" spans="1:181" ht="11.25" customHeight="1">
      <c r="A740" s="183"/>
      <c r="B740" s="183"/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  <c r="FE740" s="183"/>
      <c r="FF740" s="183"/>
      <c r="FG740" s="183"/>
      <c r="FH740" s="183"/>
      <c r="FI740" s="183"/>
      <c r="FJ740" s="183"/>
      <c r="FK740" s="183"/>
      <c r="FL740" s="183"/>
      <c r="FM740" s="183"/>
      <c r="FN740" s="183"/>
      <c r="FO740" s="183"/>
      <c r="FP740" s="183"/>
      <c r="FQ740" s="183"/>
      <c r="FR740" s="183"/>
      <c r="FS740" s="183"/>
      <c r="FT740" s="183"/>
      <c r="FU740" s="183"/>
      <c r="FV740" s="183"/>
      <c r="FW740" s="183"/>
      <c r="FX740" s="183"/>
      <c r="FY740" s="183"/>
    </row>
    <row r="741" spans="1:181" ht="11.25" customHeight="1">
      <c r="A741" s="183"/>
      <c r="B741" s="183"/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  <c r="FE741" s="183"/>
      <c r="FF741" s="183"/>
      <c r="FG741" s="183"/>
      <c r="FH741" s="183"/>
      <c r="FI741" s="183"/>
      <c r="FJ741" s="183"/>
      <c r="FK741" s="183"/>
      <c r="FL741" s="183"/>
      <c r="FM741" s="183"/>
      <c r="FN741" s="183"/>
      <c r="FO741" s="183"/>
      <c r="FP741" s="183"/>
      <c r="FQ741" s="183"/>
      <c r="FR741" s="183"/>
      <c r="FS741" s="183"/>
      <c r="FT741" s="183"/>
      <c r="FU741" s="183"/>
      <c r="FV741" s="183"/>
      <c r="FW741" s="183"/>
      <c r="FX741" s="183"/>
      <c r="FY741" s="183"/>
    </row>
    <row r="742" spans="1:181" ht="11.25" customHeight="1">
      <c r="A742" s="183"/>
      <c r="B742" s="183"/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  <c r="FE742" s="183"/>
      <c r="FF742" s="183"/>
      <c r="FG742" s="183"/>
      <c r="FH742" s="183"/>
      <c r="FI742" s="183"/>
      <c r="FJ742" s="183"/>
      <c r="FK742" s="183"/>
      <c r="FL742" s="183"/>
      <c r="FM742" s="183"/>
      <c r="FN742" s="183"/>
      <c r="FO742" s="183"/>
      <c r="FP742" s="183"/>
      <c r="FQ742" s="183"/>
      <c r="FR742" s="183"/>
      <c r="FS742" s="183"/>
      <c r="FT742" s="183"/>
      <c r="FU742" s="183"/>
      <c r="FV742" s="183"/>
      <c r="FW742" s="183"/>
      <c r="FX742" s="183"/>
      <c r="FY742" s="183"/>
    </row>
    <row r="743" spans="1:181" ht="11.25" customHeight="1">
      <c r="A743" s="183"/>
      <c r="B743" s="183"/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  <c r="FE743" s="183"/>
      <c r="FF743" s="183"/>
      <c r="FG743" s="183"/>
      <c r="FH743" s="183"/>
      <c r="FI743" s="183"/>
      <c r="FJ743" s="183"/>
      <c r="FK743" s="183"/>
      <c r="FL743" s="183"/>
      <c r="FM743" s="183"/>
      <c r="FN743" s="183"/>
      <c r="FO743" s="183"/>
      <c r="FP743" s="183"/>
      <c r="FQ743" s="183"/>
      <c r="FR743" s="183"/>
      <c r="FS743" s="183"/>
      <c r="FT743" s="183"/>
      <c r="FU743" s="183"/>
      <c r="FV743" s="183"/>
      <c r="FW743" s="183"/>
      <c r="FX743" s="183"/>
      <c r="FY743" s="183"/>
    </row>
    <row r="744" spans="1:181" ht="11.25" customHeight="1">
      <c r="A744" s="183"/>
      <c r="B744" s="183"/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  <c r="FE744" s="183"/>
      <c r="FF744" s="183"/>
      <c r="FG744" s="183"/>
      <c r="FH744" s="183"/>
      <c r="FI744" s="183"/>
      <c r="FJ744" s="183"/>
      <c r="FK744" s="183"/>
      <c r="FL744" s="183"/>
      <c r="FM744" s="183"/>
      <c r="FN744" s="183"/>
      <c r="FO744" s="183"/>
      <c r="FP744" s="183"/>
      <c r="FQ744" s="183"/>
      <c r="FR744" s="183"/>
      <c r="FS744" s="183"/>
      <c r="FT744" s="183"/>
      <c r="FU744" s="183"/>
      <c r="FV744" s="183"/>
      <c r="FW744" s="183"/>
      <c r="FX744" s="183"/>
      <c r="FY744" s="183"/>
    </row>
    <row r="745" spans="1:181" ht="11.25" customHeight="1">
      <c r="A745" s="183"/>
      <c r="B745" s="183"/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  <c r="FE745" s="183"/>
      <c r="FF745" s="183"/>
      <c r="FG745" s="183"/>
      <c r="FH745" s="183"/>
      <c r="FI745" s="183"/>
      <c r="FJ745" s="183"/>
      <c r="FK745" s="183"/>
      <c r="FL745" s="183"/>
      <c r="FM745" s="183"/>
      <c r="FN745" s="183"/>
      <c r="FO745" s="183"/>
      <c r="FP745" s="183"/>
      <c r="FQ745" s="183"/>
      <c r="FR745" s="183"/>
      <c r="FS745" s="183"/>
      <c r="FT745" s="183"/>
      <c r="FU745" s="183"/>
      <c r="FV745" s="183"/>
      <c r="FW745" s="183"/>
      <c r="FX745" s="183"/>
      <c r="FY745" s="183"/>
    </row>
    <row r="746" spans="1:181" ht="11.25" customHeight="1">
      <c r="A746" s="183"/>
      <c r="B746" s="183"/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  <c r="FE746" s="183"/>
      <c r="FF746" s="183"/>
      <c r="FG746" s="183"/>
      <c r="FH746" s="183"/>
      <c r="FI746" s="183"/>
      <c r="FJ746" s="183"/>
      <c r="FK746" s="183"/>
      <c r="FL746" s="183"/>
      <c r="FM746" s="183"/>
      <c r="FN746" s="183"/>
      <c r="FO746" s="183"/>
      <c r="FP746" s="183"/>
      <c r="FQ746" s="183"/>
      <c r="FR746" s="183"/>
      <c r="FS746" s="183"/>
      <c r="FT746" s="183"/>
      <c r="FU746" s="183"/>
      <c r="FV746" s="183"/>
      <c r="FW746" s="183"/>
      <c r="FX746" s="183"/>
      <c r="FY746" s="183"/>
    </row>
    <row r="747" spans="1:181" ht="11.25" customHeight="1">
      <c r="A747" s="183"/>
      <c r="B747" s="183"/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  <c r="FE747" s="183"/>
      <c r="FF747" s="183"/>
      <c r="FG747" s="183"/>
      <c r="FH747" s="183"/>
      <c r="FI747" s="183"/>
      <c r="FJ747" s="183"/>
      <c r="FK747" s="183"/>
      <c r="FL747" s="183"/>
      <c r="FM747" s="183"/>
      <c r="FN747" s="183"/>
      <c r="FO747" s="183"/>
      <c r="FP747" s="183"/>
      <c r="FQ747" s="183"/>
      <c r="FR747" s="183"/>
      <c r="FS747" s="183"/>
      <c r="FT747" s="183"/>
      <c r="FU747" s="183"/>
      <c r="FV747" s="183"/>
      <c r="FW747" s="183"/>
      <c r="FX747" s="183"/>
      <c r="FY747" s="183"/>
    </row>
    <row r="748" spans="1:181" ht="11.25" customHeight="1">
      <c r="A748" s="183"/>
      <c r="B748" s="183"/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  <c r="FE748" s="183"/>
      <c r="FF748" s="183"/>
      <c r="FG748" s="183"/>
      <c r="FH748" s="183"/>
      <c r="FI748" s="183"/>
      <c r="FJ748" s="183"/>
      <c r="FK748" s="183"/>
      <c r="FL748" s="183"/>
      <c r="FM748" s="183"/>
      <c r="FN748" s="183"/>
      <c r="FO748" s="183"/>
      <c r="FP748" s="183"/>
      <c r="FQ748" s="183"/>
      <c r="FR748" s="183"/>
      <c r="FS748" s="183"/>
      <c r="FT748" s="183"/>
      <c r="FU748" s="183"/>
      <c r="FV748" s="183"/>
      <c r="FW748" s="183"/>
      <c r="FX748" s="183"/>
      <c r="FY748" s="183"/>
    </row>
    <row r="749" spans="1:181" ht="11.25" customHeight="1">
      <c r="A749" s="183"/>
      <c r="B749" s="183"/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  <c r="FE749" s="183"/>
      <c r="FF749" s="183"/>
      <c r="FG749" s="183"/>
      <c r="FH749" s="183"/>
      <c r="FI749" s="183"/>
      <c r="FJ749" s="183"/>
      <c r="FK749" s="183"/>
      <c r="FL749" s="183"/>
      <c r="FM749" s="183"/>
      <c r="FN749" s="183"/>
      <c r="FO749" s="183"/>
      <c r="FP749" s="183"/>
      <c r="FQ749" s="183"/>
      <c r="FR749" s="183"/>
      <c r="FS749" s="183"/>
      <c r="FT749" s="183"/>
      <c r="FU749" s="183"/>
      <c r="FV749" s="183"/>
      <c r="FW749" s="183"/>
      <c r="FX749" s="183"/>
      <c r="FY749" s="183"/>
    </row>
    <row r="750" spans="1:181" ht="11.25" customHeight="1">
      <c r="A750" s="183"/>
      <c r="B750" s="183"/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  <c r="FE750" s="183"/>
      <c r="FF750" s="183"/>
      <c r="FG750" s="183"/>
      <c r="FH750" s="183"/>
      <c r="FI750" s="183"/>
      <c r="FJ750" s="183"/>
      <c r="FK750" s="183"/>
      <c r="FL750" s="183"/>
      <c r="FM750" s="183"/>
      <c r="FN750" s="183"/>
      <c r="FO750" s="183"/>
      <c r="FP750" s="183"/>
      <c r="FQ750" s="183"/>
      <c r="FR750" s="183"/>
      <c r="FS750" s="183"/>
      <c r="FT750" s="183"/>
      <c r="FU750" s="183"/>
      <c r="FV750" s="183"/>
      <c r="FW750" s="183"/>
      <c r="FX750" s="183"/>
      <c r="FY750" s="183"/>
    </row>
    <row r="751" spans="1:181" ht="11.25" customHeight="1">
      <c r="A751" s="183"/>
      <c r="B751" s="183"/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  <c r="FE751" s="183"/>
      <c r="FF751" s="183"/>
      <c r="FG751" s="183"/>
      <c r="FH751" s="183"/>
      <c r="FI751" s="183"/>
      <c r="FJ751" s="183"/>
      <c r="FK751" s="183"/>
      <c r="FL751" s="183"/>
      <c r="FM751" s="183"/>
      <c r="FN751" s="183"/>
      <c r="FO751" s="183"/>
      <c r="FP751" s="183"/>
      <c r="FQ751" s="183"/>
      <c r="FR751" s="183"/>
      <c r="FS751" s="183"/>
      <c r="FT751" s="183"/>
      <c r="FU751" s="183"/>
      <c r="FV751" s="183"/>
      <c r="FW751" s="183"/>
      <c r="FX751" s="183"/>
      <c r="FY751" s="183"/>
    </row>
    <row r="752" spans="1:181" ht="11.25" customHeight="1">
      <c r="A752" s="183"/>
      <c r="B752" s="183"/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  <c r="FE752" s="183"/>
      <c r="FF752" s="183"/>
      <c r="FG752" s="183"/>
      <c r="FH752" s="183"/>
      <c r="FI752" s="183"/>
      <c r="FJ752" s="183"/>
      <c r="FK752" s="183"/>
      <c r="FL752" s="183"/>
      <c r="FM752" s="183"/>
      <c r="FN752" s="183"/>
      <c r="FO752" s="183"/>
      <c r="FP752" s="183"/>
      <c r="FQ752" s="183"/>
      <c r="FR752" s="183"/>
      <c r="FS752" s="183"/>
      <c r="FT752" s="183"/>
      <c r="FU752" s="183"/>
      <c r="FV752" s="183"/>
      <c r="FW752" s="183"/>
      <c r="FX752" s="183"/>
      <c r="FY752" s="183"/>
    </row>
    <row r="753" spans="1:181" ht="11.25" customHeight="1">
      <c r="A753" s="183"/>
      <c r="B753" s="183"/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  <c r="FE753" s="183"/>
      <c r="FF753" s="183"/>
      <c r="FG753" s="183"/>
      <c r="FH753" s="183"/>
      <c r="FI753" s="183"/>
      <c r="FJ753" s="183"/>
      <c r="FK753" s="183"/>
      <c r="FL753" s="183"/>
      <c r="FM753" s="183"/>
      <c r="FN753" s="183"/>
      <c r="FO753" s="183"/>
      <c r="FP753" s="183"/>
      <c r="FQ753" s="183"/>
      <c r="FR753" s="183"/>
      <c r="FS753" s="183"/>
      <c r="FT753" s="183"/>
      <c r="FU753" s="183"/>
      <c r="FV753" s="183"/>
      <c r="FW753" s="183"/>
      <c r="FX753" s="183"/>
      <c r="FY753" s="183"/>
    </row>
    <row r="754" spans="1:181" ht="11.25" customHeight="1">
      <c r="A754" s="183"/>
      <c r="B754" s="183"/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  <c r="FE754" s="183"/>
      <c r="FF754" s="183"/>
      <c r="FG754" s="183"/>
      <c r="FH754" s="183"/>
      <c r="FI754" s="183"/>
      <c r="FJ754" s="183"/>
      <c r="FK754" s="183"/>
      <c r="FL754" s="183"/>
      <c r="FM754" s="183"/>
      <c r="FN754" s="183"/>
      <c r="FO754" s="183"/>
      <c r="FP754" s="183"/>
      <c r="FQ754" s="183"/>
      <c r="FR754" s="183"/>
      <c r="FS754" s="183"/>
      <c r="FT754" s="183"/>
      <c r="FU754" s="183"/>
      <c r="FV754" s="183"/>
      <c r="FW754" s="183"/>
      <c r="FX754" s="183"/>
      <c r="FY754" s="183"/>
    </row>
    <row r="755" spans="1:181" ht="11.25" customHeight="1">
      <c r="A755" s="183"/>
      <c r="B755" s="183"/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  <c r="FE755" s="183"/>
      <c r="FF755" s="183"/>
      <c r="FG755" s="183"/>
      <c r="FH755" s="183"/>
      <c r="FI755" s="183"/>
      <c r="FJ755" s="183"/>
      <c r="FK755" s="183"/>
      <c r="FL755" s="183"/>
      <c r="FM755" s="183"/>
      <c r="FN755" s="183"/>
      <c r="FO755" s="183"/>
      <c r="FP755" s="183"/>
      <c r="FQ755" s="183"/>
      <c r="FR755" s="183"/>
      <c r="FS755" s="183"/>
      <c r="FT755" s="183"/>
      <c r="FU755" s="183"/>
      <c r="FV755" s="183"/>
      <c r="FW755" s="183"/>
      <c r="FX755" s="183"/>
      <c r="FY755" s="183"/>
    </row>
    <row r="756" spans="1:181" ht="11.25" customHeight="1">
      <c r="A756" s="183"/>
      <c r="B756" s="183"/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  <c r="FE756" s="183"/>
      <c r="FF756" s="183"/>
      <c r="FG756" s="183"/>
      <c r="FH756" s="183"/>
      <c r="FI756" s="183"/>
      <c r="FJ756" s="183"/>
      <c r="FK756" s="183"/>
      <c r="FL756" s="183"/>
      <c r="FM756" s="183"/>
      <c r="FN756" s="183"/>
      <c r="FO756" s="183"/>
      <c r="FP756" s="183"/>
      <c r="FQ756" s="183"/>
      <c r="FR756" s="183"/>
      <c r="FS756" s="183"/>
      <c r="FT756" s="183"/>
      <c r="FU756" s="183"/>
      <c r="FV756" s="183"/>
      <c r="FW756" s="183"/>
      <c r="FX756" s="183"/>
      <c r="FY756" s="183"/>
    </row>
    <row r="757" spans="1:181" ht="11.25" customHeight="1">
      <c r="A757" s="183"/>
      <c r="B757" s="183"/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  <c r="FE757" s="183"/>
      <c r="FF757" s="183"/>
      <c r="FG757" s="183"/>
      <c r="FH757" s="183"/>
      <c r="FI757" s="183"/>
      <c r="FJ757" s="183"/>
      <c r="FK757" s="183"/>
      <c r="FL757" s="183"/>
      <c r="FM757" s="183"/>
      <c r="FN757" s="183"/>
      <c r="FO757" s="183"/>
      <c r="FP757" s="183"/>
      <c r="FQ757" s="183"/>
      <c r="FR757" s="183"/>
      <c r="FS757" s="183"/>
      <c r="FT757" s="183"/>
      <c r="FU757" s="183"/>
      <c r="FV757" s="183"/>
      <c r="FW757" s="183"/>
      <c r="FX757" s="183"/>
      <c r="FY757" s="183"/>
    </row>
    <row r="758" spans="1:181" ht="11.25" customHeight="1">
      <c r="A758" s="183"/>
      <c r="B758" s="183"/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  <c r="FE758" s="183"/>
      <c r="FF758" s="183"/>
      <c r="FG758" s="183"/>
      <c r="FH758" s="183"/>
      <c r="FI758" s="183"/>
      <c r="FJ758" s="183"/>
      <c r="FK758" s="183"/>
      <c r="FL758" s="183"/>
      <c r="FM758" s="183"/>
      <c r="FN758" s="183"/>
      <c r="FO758" s="183"/>
      <c r="FP758" s="183"/>
      <c r="FQ758" s="183"/>
      <c r="FR758" s="183"/>
      <c r="FS758" s="183"/>
      <c r="FT758" s="183"/>
      <c r="FU758" s="183"/>
      <c r="FV758" s="183"/>
      <c r="FW758" s="183"/>
      <c r="FX758" s="183"/>
      <c r="FY758" s="183"/>
    </row>
    <row r="759" spans="1:181" ht="11.25" customHeight="1">
      <c r="A759" s="183"/>
      <c r="B759" s="183"/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  <c r="FE759" s="183"/>
      <c r="FF759" s="183"/>
      <c r="FG759" s="183"/>
      <c r="FH759" s="183"/>
      <c r="FI759" s="183"/>
      <c r="FJ759" s="183"/>
      <c r="FK759" s="183"/>
      <c r="FL759" s="183"/>
      <c r="FM759" s="183"/>
      <c r="FN759" s="183"/>
      <c r="FO759" s="183"/>
      <c r="FP759" s="183"/>
      <c r="FQ759" s="183"/>
      <c r="FR759" s="183"/>
      <c r="FS759" s="183"/>
      <c r="FT759" s="183"/>
      <c r="FU759" s="183"/>
      <c r="FV759" s="183"/>
      <c r="FW759" s="183"/>
      <c r="FX759" s="183"/>
      <c r="FY759" s="183"/>
    </row>
    <row r="760" spans="1:181" ht="11.25" customHeight="1">
      <c r="A760" s="183"/>
      <c r="B760" s="183"/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  <c r="FE760" s="183"/>
      <c r="FF760" s="183"/>
      <c r="FG760" s="183"/>
      <c r="FH760" s="183"/>
      <c r="FI760" s="183"/>
      <c r="FJ760" s="183"/>
      <c r="FK760" s="183"/>
      <c r="FL760" s="183"/>
      <c r="FM760" s="183"/>
      <c r="FN760" s="183"/>
      <c r="FO760" s="183"/>
      <c r="FP760" s="183"/>
      <c r="FQ760" s="183"/>
      <c r="FR760" s="183"/>
      <c r="FS760" s="183"/>
      <c r="FT760" s="183"/>
      <c r="FU760" s="183"/>
      <c r="FV760" s="183"/>
      <c r="FW760" s="183"/>
      <c r="FX760" s="183"/>
      <c r="FY760" s="183"/>
    </row>
    <row r="761" spans="1:181" ht="11.25" customHeight="1">
      <c r="A761" s="183"/>
      <c r="B761" s="183"/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  <c r="FE761" s="183"/>
      <c r="FF761" s="183"/>
      <c r="FG761" s="183"/>
      <c r="FH761" s="183"/>
      <c r="FI761" s="183"/>
      <c r="FJ761" s="183"/>
      <c r="FK761" s="183"/>
      <c r="FL761" s="183"/>
      <c r="FM761" s="183"/>
      <c r="FN761" s="183"/>
      <c r="FO761" s="183"/>
      <c r="FP761" s="183"/>
      <c r="FQ761" s="183"/>
      <c r="FR761" s="183"/>
      <c r="FS761" s="183"/>
      <c r="FT761" s="183"/>
      <c r="FU761" s="183"/>
      <c r="FV761" s="183"/>
      <c r="FW761" s="183"/>
      <c r="FX761" s="183"/>
      <c r="FY761" s="183"/>
    </row>
    <row r="762" spans="1:181" ht="11.25" customHeight="1">
      <c r="A762" s="183"/>
      <c r="B762" s="183"/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  <c r="FE762" s="183"/>
      <c r="FF762" s="183"/>
      <c r="FG762" s="183"/>
      <c r="FH762" s="183"/>
      <c r="FI762" s="183"/>
      <c r="FJ762" s="183"/>
      <c r="FK762" s="183"/>
      <c r="FL762" s="183"/>
      <c r="FM762" s="183"/>
      <c r="FN762" s="183"/>
      <c r="FO762" s="183"/>
      <c r="FP762" s="183"/>
      <c r="FQ762" s="183"/>
      <c r="FR762" s="183"/>
      <c r="FS762" s="183"/>
      <c r="FT762" s="183"/>
      <c r="FU762" s="183"/>
      <c r="FV762" s="183"/>
      <c r="FW762" s="183"/>
      <c r="FX762" s="183"/>
      <c r="FY762" s="183"/>
    </row>
    <row r="763" spans="1:181" ht="11.25" customHeight="1">
      <c r="A763" s="183"/>
      <c r="B763" s="183"/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  <c r="FE763" s="183"/>
      <c r="FF763" s="183"/>
      <c r="FG763" s="183"/>
      <c r="FH763" s="183"/>
      <c r="FI763" s="183"/>
      <c r="FJ763" s="183"/>
      <c r="FK763" s="183"/>
      <c r="FL763" s="183"/>
      <c r="FM763" s="183"/>
      <c r="FN763" s="183"/>
      <c r="FO763" s="183"/>
      <c r="FP763" s="183"/>
      <c r="FQ763" s="183"/>
      <c r="FR763" s="183"/>
      <c r="FS763" s="183"/>
      <c r="FT763" s="183"/>
      <c r="FU763" s="183"/>
      <c r="FV763" s="183"/>
      <c r="FW763" s="183"/>
      <c r="FX763" s="183"/>
      <c r="FY763" s="183"/>
    </row>
    <row r="764" spans="1:181" ht="11.25" customHeight="1">
      <c r="A764" s="183"/>
      <c r="B764" s="183"/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  <c r="FE764" s="183"/>
      <c r="FF764" s="183"/>
      <c r="FG764" s="183"/>
      <c r="FH764" s="183"/>
      <c r="FI764" s="183"/>
      <c r="FJ764" s="183"/>
      <c r="FK764" s="183"/>
      <c r="FL764" s="183"/>
      <c r="FM764" s="183"/>
      <c r="FN764" s="183"/>
      <c r="FO764" s="183"/>
      <c r="FP764" s="183"/>
      <c r="FQ764" s="183"/>
      <c r="FR764" s="183"/>
      <c r="FS764" s="183"/>
      <c r="FT764" s="183"/>
      <c r="FU764" s="183"/>
      <c r="FV764" s="183"/>
      <c r="FW764" s="183"/>
      <c r="FX764" s="183"/>
      <c r="FY764" s="183"/>
    </row>
    <row r="765" spans="1:181" ht="11.25" customHeight="1">
      <c r="A765" s="183"/>
      <c r="B765" s="183"/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  <c r="FE765" s="183"/>
      <c r="FF765" s="183"/>
      <c r="FG765" s="183"/>
      <c r="FH765" s="183"/>
      <c r="FI765" s="183"/>
      <c r="FJ765" s="183"/>
      <c r="FK765" s="183"/>
      <c r="FL765" s="183"/>
      <c r="FM765" s="183"/>
      <c r="FN765" s="183"/>
      <c r="FO765" s="183"/>
      <c r="FP765" s="183"/>
      <c r="FQ765" s="183"/>
      <c r="FR765" s="183"/>
      <c r="FS765" s="183"/>
      <c r="FT765" s="183"/>
      <c r="FU765" s="183"/>
      <c r="FV765" s="183"/>
      <c r="FW765" s="183"/>
      <c r="FX765" s="183"/>
      <c r="FY765" s="183"/>
    </row>
    <row r="766" spans="1:181" ht="11.25" customHeight="1">
      <c r="A766" s="183"/>
      <c r="B766" s="183"/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  <c r="FE766" s="183"/>
      <c r="FF766" s="183"/>
      <c r="FG766" s="183"/>
      <c r="FH766" s="183"/>
      <c r="FI766" s="183"/>
      <c r="FJ766" s="183"/>
      <c r="FK766" s="183"/>
      <c r="FL766" s="183"/>
      <c r="FM766" s="183"/>
      <c r="FN766" s="183"/>
      <c r="FO766" s="183"/>
      <c r="FP766" s="183"/>
      <c r="FQ766" s="183"/>
      <c r="FR766" s="183"/>
      <c r="FS766" s="183"/>
      <c r="FT766" s="183"/>
      <c r="FU766" s="183"/>
      <c r="FV766" s="183"/>
      <c r="FW766" s="183"/>
      <c r="FX766" s="183"/>
      <c r="FY766" s="183"/>
    </row>
    <row r="767" spans="1:181" ht="11.25" customHeight="1">
      <c r="A767" s="183"/>
      <c r="B767" s="183"/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  <c r="FE767" s="183"/>
      <c r="FF767" s="183"/>
      <c r="FG767" s="183"/>
      <c r="FH767" s="183"/>
      <c r="FI767" s="183"/>
      <c r="FJ767" s="183"/>
      <c r="FK767" s="183"/>
      <c r="FL767" s="183"/>
      <c r="FM767" s="183"/>
      <c r="FN767" s="183"/>
      <c r="FO767" s="183"/>
      <c r="FP767" s="183"/>
      <c r="FQ767" s="183"/>
      <c r="FR767" s="183"/>
      <c r="FS767" s="183"/>
      <c r="FT767" s="183"/>
      <c r="FU767" s="183"/>
      <c r="FV767" s="183"/>
      <c r="FW767" s="183"/>
      <c r="FX767" s="183"/>
      <c r="FY767" s="183"/>
    </row>
    <row r="768" spans="1:181" ht="11.25" customHeight="1">
      <c r="A768" s="183"/>
      <c r="B768" s="183"/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  <c r="FE768" s="183"/>
      <c r="FF768" s="183"/>
      <c r="FG768" s="183"/>
      <c r="FH768" s="183"/>
      <c r="FI768" s="183"/>
      <c r="FJ768" s="183"/>
      <c r="FK768" s="183"/>
      <c r="FL768" s="183"/>
      <c r="FM768" s="183"/>
      <c r="FN768" s="183"/>
      <c r="FO768" s="183"/>
      <c r="FP768" s="183"/>
      <c r="FQ768" s="183"/>
      <c r="FR768" s="183"/>
      <c r="FS768" s="183"/>
      <c r="FT768" s="183"/>
      <c r="FU768" s="183"/>
      <c r="FV768" s="183"/>
      <c r="FW768" s="183"/>
      <c r="FX768" s="183"/>
      <c r="FY768" s="183"/>
    </row>
    <row r="769" spans="1:181" ht="11.25" customHeight="1">
      <c r="A769" s="183"/>
      <c r="B769" s="183"/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  <c r="FE769" s="183"/>
      <c r="FF769" s="183"/>
      <c r="FG769" s="183"/>
      <c r="FH769" s="183"/>
      <c r="FI769" s="183"/>
      <c r="FJ769" s="183"/>
      <c r="FK769" s="183"/>
      <c r="FL769" s="183"/>
      <c r="FM769" s="183"/>
      <c r="FN769" s="183"/>
      <c r="FO769" s="183"/>
      <c r="FP769" s="183"/>
      <c r="FQ769" s="183"/>
      <c r="FR769" s="183"/>
      <c r="FS769" s="183"/>
      <c r="FT769" s="183"/>
      <c r="FU769" s="183"/>
      <c r="FV769" s="183"/>
      <c r="FW769" s="183"/>
      <c r="FX769" s="183"/>
      <c r="FY769" s="183"/>
    </row>
    <row r="770" spans="1:181" ht="11.25" customHeight="1">
      <c r="A770" s="183"/>
      <c r="B770" s="183"/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  <c r="FE770" s="183"/>
      <c r="FF770" s="183"/>
      <c r="FG770" s="183"/>
      <c r="FH770" s="183"/>
      <c r="FI770" s="183"/>
      <c r="FJ770" s="183"/>
      <c r="FK770" s="183"/>
      <c r="FL770" s="183"/>
      <c r="FM770" s="183"/>
      <c r="FN770" s="183"/>
      <c r="FO770" s="183"/>
      <c r="FP770" s="183"/>
      <c r="FQ770" s="183"/>
      <c r="FR770" s="183"/>
      <c r="FS770" s="183"/>
      <c r="FT770" s="183"/>
      <c r="FU770" s="183"/>
      <c r="FV770" s="183"/>
      <c r="FW770" s="183"/>
      <c r="FX770" s="183"/>
      <c r="FY770" s="183"/>
    </row>
    <row r="771" spans="1:181" ht="11.25" customHeight="1">
      <c r="A771" s="183"/>
      <c r="B771" s="183"/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  <c r="FE771" s="183"/>
      <c r="FF771" s="183"/>
      <c r="FG771" s="183"/>
      <c r="FH771" s="183"/>
      <c r="FI771" s="183"/>
      <c r="FJ771" s="183"/>
      <c r="FK771" s="183"/>
      <c r="FL771" s="183"/>
      <c r="FM771" s="183"/>
      <c r="FN771" s="183"/>
      <c r="FO771" s="183"/>
      <c r="FP771" s="183"/>
      <c r="FQ771" s="183"/>
      <c r="FR771" s="183"/>
      <c r="FS771" s="183"/>
      <c r="FT771" s="183"/>
      <c r="FU771" s="183"/>
      <c r="FV771" s="183"/>
      <c r="FW771" s="183"/>
      <c r="FX771" s="183"/>
      <c r="FY771" s="183"/>
    </row>
    <row r="772" spans="1:181" ht="11.25" customHeight="1">
      <c r="A772" s="183"/>
      <c r="B772" s="183"/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  <c r="FE772" s="183"/>
      <c r="FF772" s="183"/>
      <c r="FG772" s="183"/>
      <c r="FH772" s="183"/>
      <c r="FI772" s="183"/>
      <c r="FJ772" s="183"/>
      <c r="FK772" s="183"/>
      <c r="FL772" s="183"/>
      <c r="FM772" s="183"/>
      <c r="FN772" s="183"/>
      <c r="FO772" s="183"/>
      <c r="FP772" s="183"/>
      <c r="FQ772" s="183"/>
      <c r="FR772" s="183"/>
      <c r="FS772" s="183"/>
      <c r="FT772" s="183"/>
      <c r="FU772" s="183"/>
      <c r="FV772" s="183"/>
      <c r="FW772" s="183"/>
      <c r="FX772" s="183"/>
      <c r="FY772" s="183"/>
    </row>
    <row r="773" spans="1:181" ht="11.25" customHeight="1">
      <c r="A773" s="183"/>
      <c r="B773" s="183"/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  <c r="FE773" s="183"/>
      <c r="FF773" s="183"/>
      <c r="FG773" s="183"/>
      <c r="FH773" s="183"/>
      <c r="FI773" s="183"/>
      <c r="FJ773" s="183"/>
      <c r="FK773" s="183"/>
      <c r="FL773" s="183"/>
      <c r="FM773" s="183"/>
      <c r="FN773" s="183"/>
      <c r="FO773" s="183"/>
      <c r="FP773" s="183"/>
      <c r="FQ773" s="183"/>
      <c r="FR773" s="183"/>
      <c r="FS773" s="183"/>
      <c r="FT773" s="183"/>
      <c r="FU773" s="183"/>
      <c r="FV773" s="183"/>
      <c r="FW773" s="183"/>
      <c r="FX773" s="183"/>
      <c r="FY773" s="183"/>
    </row>
    <row r="774" spans="1:181" ht="11.25" customHeight="1">
      <c r="A774" s="183"/>
      <c r="B774" s="183"/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  <c r="FE774" s="183"/>
      <c r="FF774" s="183"/>
      <c r="FG774" s="183"/>
      <c r="FH774" s="183"/>
      <c r="FI774" s="183"/>
      <c r="FJ774" s="183"/>
      <c r="FK774" s="183"/>
      <c r="FL774" s="183"/>
      <c r="FM774" s="183"/>
      <c r="FN774" s="183"/>
      <c r="FO774" s="183"/>
      <c r="FP774" s="183"/>
      <c r="FQ774" s="183"/>
      <c r="FR774" s="183"/>
      <c r="FS774" s="183"/>
      <c r="FT774" s="183"/>
      <c r="FU774" s="183"/>
      <c r="FV774" s="183"/>
      <c r="FW774" s="183"/>
      <c r="FX774" s="183"/>
      <c r="FY774" s="183"/>
    </row>
    <row r="775" spans="1:181" ht="11.25" customHeight="1">
      <c r="A775" s="183"/>
      <c r="B775" s="183"/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  <c r="FE775" s="183"/>
      <c r="FF775" s="183"/>
      <c r="FG775" s="183"/>
      <c r="FH775" s="183"/>
      <c r="FI775" s="183"/>
      <c r="FJ775" s="183"/>
      <c r="FK775" s="183"/>
      <c r="FL775" s="183"/>
      <c r="FM775" s="183"/>
      <c r="FN775" s="183"/>
      <c r="FO775" s="183"/>
      <c r="FP775" s="183"/>
      <c r="FQ775" s="183"/>
      <c r="FR775" s="183"/>
      <c r="FS775" s="183"/>
      <c r="FT775" s="183"/>
      <c r="FU775" s="183"/>
      <c r="FV775" s="183"/>
      <c r="FW775" s="183"/>
      <c r="FX775" s="183"/>
      <c r="FY775" s="183"/>
    </row>
    <row r="776" spans="1:181" ht="11.25" customHeight="1">
      <c r="A776" s="183"/>
      <c r="B776" s="183"/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  <c r="FE776" s="183"/>
      <c r="FF776" s="183"/>
      <c r="FG776" s="183"/>
      <c r="FH776" s="183"/>
      <c r="FI776" s="183"/>
      <c r="FJ776" s="183"/>
      <c r="FK776" s="183"/>
      <c r="FL776" s="183"/>
      <c r="FM776" s="183"/>
      <c r="FN776" s="183"/>
      <c r="FO776" s="183"/>
      <c r="FP776" s="183"/>
      <c r="FQ776" s="183"/>
      <c r="FR776" s="183"/>
      <c r="FS776" s="183"/>
      <c r="FT776" s="183"/>
      <c r="FU776" s="183"/>
      <c r="FV776" s="183"/>
      <c r="FW776" s="183"/>
      <c r="FX776" s="183"/>
      <c r="FY776" s="183"/>
    </row>
    <row r="777" spans="1:181" ht="11.25" customHeight="1">
      <c r="A777" s="183"/>
      <c r="B777" s="183"/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  <c r="FE777" s="183"/>
      <c r="FF777" s="183"/>
      <c r="FG777" s="183"/>
      <c r="FH777" s="183"/>
      <c r="FI777" s="183"/>
      <c r="FJ777" s="183"/>
      <c r="FK777" s="183"/>
      <c r="FL777" s="183"/>
      <c r="FM777" s="183"/>
      <c r="FN777" s="183"/>
      <c r="FO777" s="183"/>
      <c r="FP777" s="183"/>
      <c r="FQ777" s="183"/>
      <c r="FR777" s="183"/>
      <c r="FS777" s="183"/>
      <c r="FT777" s="183"/>
      <c r="FU777" s="183"/>
      <c r="FV777" s="183"/>
      <c r="FW777" s="183"/>
      <c r="FX777" s="183"/>
      <c r="FY777" s="183"/>
    </row>
    <row r="778" spans="1:181" ht="11.25" customHeight="1">
      <c r="A778" s="183"/>
      <c r="B778" s="183"/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  <c r="FE778" s="183"/>
      <c r="FF778" s="183"/>
      <c r="FG778" s="183"/>
      <c r="FH778" s="183"/>
      <c r="FI778" s="183"/>
      <c r="FJ778" s="183"/>
      <c r="FK778" s="183"/>
      <c r="FL778" s="183"/>
      <c r="FM778" s="183"/>
      <c r="FN778" s="183"/>
      <c r="FO778" s="183"/>
      <c r="FP778" s="183"/>
      <c r="FQ778" s="183"/>
      <c r="FR778" s="183"/>
      <c r="FS778" s="183"/>
      <c r="FT778" s="183"/>
      <c r="FU778" s="183"/>
      <c r="FV778" s="183"/>
      <c r="FW778" s="183"/>
      <c r="FX778" s="183"/>
      <c r="FY778" s="183"/>
    </row>
    <row r="779" spans="1:181" ht="11.25" customHeight="1">
      <c r="A779" s="183"/>
      <c r="B779" s="183"/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  <c r="FE779" s="183"/>
      <c r="FF779" s="183"/>
      <c r="FG779" s="183"/>
      <c r="FH779" s="183"/>
      <c r="FI779" s="183"/>
      <c r="FJ779" s="183"/>
      <c r="FK779" s="183"/>
      <c r="FL779" s="183"/>
      <c r="FM779" s="183"/>
      <c r="FN779" s="183"/>
      <c r="FO779" s="183"/>
      <c r="FP779" s="183"/>
      <c r="FQ779" s="183"/>
      <c r="FR779" s="183"/>
      <c r="FS779" s="183"/>
      <c r="FT779" s="183"/>
      <c r="FU779" s="183"/>
      <c r="FV779" s="183"/>
      <c r="FW779" s="183"/>
      <c r="FX779" s="183"/>
      <c r="FY779" s="183"/>
    </row>
    <row r="780" spans="1:181" ht="11.25" customHeight="1">
      <c r="A780" s="183"/>
      <c r="B780" s="183"/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  <c r="FE780" s="183"/>
      <c r="FF780" s="183"/>
      <c r="FG780" s="183"/>
      <c r="FH780" s="183"/>
      <c r="FI780" s="183"/>
      <c r="FJ780" s="183"/>
      <c r="FK780" s="183"/>
      <c r="FL780" s="183"/>
      <c r="FM780" s="183"/>
      <c r="FN780" s="183"/>
      <c r="FO780" s="183"/>
      <c r="FP780" s="183"/>
      <c r="FQ780" s="183"/>
      <c r="FR780" s="183"/>
      <c r="FS780" s="183"/>
      <c r="FT780" s="183"/>
      <c r="FU780" s="183"/>
      <c r="FV780" s="183"/>
      <c r="FW780" s="183"/>
      <c r="FX780" s="183"/>
      <c r="FY780" s="183"/>
    </row>
    <row r="781" spans="1:181" ht="11.25" customHeight="1">
      <c r="A781" s="183"/>
      <c r="B781" s="183"/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  <c r="FE781" s="183"/>
      <c r="FF781" s="183"/>
      <c r="FG781" s="183"/>
      <c r="FH781" s="183"/>
      <c r="FI781" s="183"/>
      <c r="FJ781" s="183"/>
      <c r="FK781" s="183"/>
      <c r="FL781" s="183"/>
      <c r="FM781" s="183"/>
      <c r="FN781" s="183"/>
      <c r="FO781" s="183"/>
      <c r="FP781" s="183"/>
      <c r="FQ781" s="183"/>
      <c r="FR781" s="183"/>
      <c r="FS781" s="183"/>
      <c r="FT781" s="183"/>
      <c r="FU781" s="183"/>
      <c r="FV781" s="183"/>
      <c r="FW781" s="183"/>
      <c r="FX781" s="183"/>
      <c r="FY781" s="183"/>
    </row>
    <row r="782" spans="1:181" ht="11.25" customHeight="1">
      <c r="A782" s="183"/>
      <c r="B782" s="183"/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  <c r="FE782" s="183"/>
      <c r="FF782" s="183"/>
      <c r="FG782" s="183"/>
      <c r="FH782" s="183"/>
      <c r="FI782" s="183"/>
      <c r="FJ782" s="183"/>
      <c r="FK782" s="183"/>
      <c r="FL782" s="183"/>
      <c r="FM782" s="183"/>
      <c r="FN782" s="183"/>
      <c r="FO782" s="183"/>
      <c r="FP782" s="183"/>
      <c r="FQ782" s="183"/>
      <c r="FR782" s="183"/>
      <c r="FS782" s="183"/>
      <c r="FT782" s="183"/>
      <c r="FU782" s="183"/>
      <c r="FV782" s="183"/>
      <c r="FW782" s="183"/>
      <c r="FX782" s="183"/>
      <c r="FY782" s="183"/>
    </row>
    <row r="783" spans="1:181" ht="11.25" customHeight="1">
      <c r="A783" s="183"/>
      <c r="B783" s="183"/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  <c r="FE783" s="183"/>
      <c r="FF783" s="183"/>
      <c r="FG783" s="183"/>
      <c r="FH783" s="183"/>
      <c r="FI783" s="183"/>
      <c r="FJ783" s="183"/>
      <c r="FK783" s="183"/>
      <c r="FL783" s="183"/>
      <c r="FM783" s="183"/>
      <c r="FN783" s="183"/>
      <c r="FO783" s="183"/>
      <c r="FP783" s="183"/>
      <c r="FQ783" s="183"/>
      <c r="FR783" s="183"/>
      <c r="FS783" s="183"/>
      <c r="FT783" s="183"/>
      <c r="FU783" s="183"/>
      <c r="FV783" s="183"/>
      <c r="FW783" s="183"/>
      <c r="FX783" s="183"/>
      <c r="FY783" s="183"/>
    </row>
    <row r="784" spans="1:181" ht="11.25" customHeight="1">
      <c r="A784" s="183"/>
      <c r="B784" s="183"/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  <c r="FE784" s="183"/>
      <c r="FF784" s="183"/>
      <c r="FG784" s="183"/>
      <c r="FH784" s="183"/>
      <c r="FI784" s="183"/>
      <c r="FJ784" s="183"/>
      <c r="FK784" s="183"/>
      <c r="FL784" s="183"/>
      <c r="FM784" s="183"/>
      <c r="FN784" s="183"/>
      <c r="FO784" s="183"/>
      <c r="FP784" s="183"/>
      <c r="FQ784" s="183"/>
      <c r="FR784" s="183"/>
      <c r="FS784" s="183"/>
      <c r="FT784" s="183"/>
      <c r="FU784" s="183"/>
      <c r="FV784" s="183"/>
      <c r="FW784" s="183"/>
      <c r="FX784" s="183"/>
      <c r="FY784" s="183"/>
    </row>
    <row r="785" spans="1:181" ht="11.25" customHeight="1">
      <c r="A785" s="183"/>
      <c r="B785" s="183"/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  <c r="FE785" s="183"/>
      <c r="FF785" s="183"/>
      <c r="FG785" s="183"/>
      <c r="FH785" s="183"/>
      <c r="FI785" s="183"/>
      <c r="FJ785" s="183"/>
      <c r="FK785" s="183"/>
      <c r="FL785" s="183"/>
      <c r="FM785" s="183"/>
      <c r="FN785" s="183"/>
      <c r="FO785" s="183"/>
      <c r="FP785" s="183"/>
      <c r="FQ785" s="183"/>
      <c r="FR785" s="183"/>
      <c r="FS785" s="183"/>
      <c r="FT785" s="183"/>
      <c r="FU785" s="183"/>
      <c r="FV785" s="183"/>
      <c r="FW785" s="183"/>
      <c r="FX785" s="183"/>
      <c r="FY785" s="183"/>
    </row>
    <row r="786" spans="1:181" ht="11.25" customHeight="1">
      <c r="A786" s="183"/>
      <c r="B786" s="183"/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  <c r="FE786" s="183"/>
      <c r="FF786" s="183"/>
      <c r="FG786" s="183"/>
      <c r="FH786" s="183"/>
      <c r="FI786" s="183"/>
      <c r="FJ786" s="183"/>
      <c r="FK786" s="183"/>
      <c r="FL786" s="183"/>
      <c r="FM786" s="183"/>
      <c r="FN786" s="183"/>
      <c r="FO786" s="183"/>
      <c r="FP786" s="183"/>
      <c r="FQ786" s="183"/>
      <c r="FR786" s="183"/>
      <c r="FS786" s="183"/>
      <c r="FT786" s="183"/>
      <c r="FU786" s="183"/>
      <c r="FV786" s="183"/>
      <c r="FW786" s="183"/>
      <c r="FX786" s="183"/>
      <c r="FY786" s="183"/>
    </row>
    <row r="787" spans="1:181" ht="11.25" customHeight="1">
      <c r="A787" s="183"/>
      <c r="B787" s="183"/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  <c r="FE787" s="183"/>
      <c r="FF787" s="183"/>
      <c r="FG787" s="183"/>
      <c r="FH787" s="183"/>
      <c r="FI787" s="183"/>
      <c r="FJ787" s="183"/>
      <c r="FK787" s="183"/>
      <c r="FL787" s="183"/>
      <c r="FM787" s="183"/>
      <c r="FN787" s="183"/>
      <c r="FO787" s="183"/>
      <c r="FP787" s="183"/>
      <c r="FQ787" s="183"/>
      <c r="FR787" s="183"/>
      <c r="FS787" s="183"/>
      <c r="FT787" s="183"/>
      <c r="FU787" s="183"/>
      <c r="FV787" s="183"/>
      <c r="FW787" s="183"/>
      <c r="FX787" s="183"/>
      <c r="FY787" s="183"/>
    </row>
    <row r="788" spans="1:181" ht="11.25" customHeight="1">
      <c r="A788" s="183"/>
      <c r="B788" s="183"/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  <c r="FE788" s="183"/>
      <c r="FF788" s="183"/>
      <c r="FG788" s="183"/>
      <c r="FH788" s="183"/>
      <c r="FI788" s="183"/>
      <c r="FJ788" s="183"/>
      <c r="FK788" s="183"/>
      <c r="FL788" s="183"/>
      <c r="FM788" s="183"/>
      <c r="FN788" s="183"/>
      <c r="FO788" s="183"/>
      <c r="FP788" s="183"/>
      <c r="FQ788" s="183"/>
      <c r="FR788" s="183"/>
      <c r="FS788" s="183"/>
      <c r="FT788" s="183"/>
      <c r="FU788" s="183"/>
      <c r="FV788" s="183"/>
      <c r="FW788" s="183"/>
      <c r="FX788" s="183"/>
      <c r="FY788" s="183"/>
    </row>
    <row r="789" spans="1:181" ht="11.25" customHeight="1">
      <c r="A789" s="183"/>
      <c r="B789" s="183"/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  <c r="FE789" s="183"/>
      <c r="FF789" s="183"/>
      <c r="FG789" s="183"/>
      <c r="FH789" s="183"/>
      <c r="FI789" s="183"/>
      <c r="FJ789" s="183"/>
      <c r="FK789" s="183"/>
      <c r="FL789" s="183"/>
      <c r="FM789" s="183"/>
      <c r="FN789" s="183"/>
      <c r="FO789" s="183"/>
      <c r="FP789" s="183"/>
      <c r="FQ789" s="183"/>
      <c r="FR789" s="183"/>
      <c r="FS789" s="183"/>
      <c r="FT789" s="183"/>
      <c r="FU789" s="183"/>
      <c r="FV789" s="183"/>
      <c r="FW789" s="183"/>
      <c r="FX789" s="183"/>
      <c r="FY789" s="183"/>
    </row>
    <row r="790" spans="1:181" ht="11.25" customHeight="1">
      <c r="A790" s="183"/>
      <c r="B790" s="183"/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  <c r="FE790" s="183"/>
      <c r="FF790" s="183"/>
      <c r="FG790" s="183"/>
      <c r="FH790" s="183"/>
      <c r="FI790" s="183"/>
      <c r="FJ790" s="183"/>
      <c r="FK790" s="183"/>
      <c r="FL790" s="183"/>
      <c r="FM790" s="183"/>
      <c r="FN790" s="183"/>
      <c r="FO790" s="183"/>
      <c r="FP790" s="183"/>
      <c r="FQ790" s="183"/>
      <c r="FR790" s="183"/>
      <c r="FS790" s="183"/>
      <c r="FT790" s="183"/>
      <c r="FU790" s="183"/>
      <c r="FV790" s="183"/>
      <c r="FW790" s="183"/>
      <c r="FX790" s="183"/>
      <c r="FY790" s="183"/>
    </row>
    <row r="791" spans="1:181" ht="11.25" customHeight="1">
      <c r="A791" s="183"/>
      <c r="B791" s="183"/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  <c r="FE791" s="183"/>
      <c r="FF791" s="183"/>
      <c r="FG791" s="183"/>
      <c r="FH791" s="183"/>
      <c r="FI791" s="183"/>
      <c r="FJ791" s="183"/>
      <c r="FK791" s="183"/>
      <c r="FL791" s="183"/>
      <c r="FM791" s="183"/>
      <c r="FN791" s="183"/>
      <c r="FO791" s="183"/>
      <c r="FP791" s="183"/>
      <c r="FQ791" s="183"/>
      <c r="FR791" s="183"/>
      <c r="FS791" s="183"/>
      <c r="FT791" s="183"/>
      <c r="FU791" s="183"/>
      <c r="FV791" s="183"/>
      <c r="FW791" s="183"/>
      <c r="FX791" s="183"/>
      <c r="FY791" s="183"/>
    </row>
    <row r="792" spans="1:181" ht="11.25" customHeight="1">
      <c r="A792" s="183"/>
      <c r="B792" s="183"/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  <c r="FE792" s="183"/>
      <c r="FF792" s="183"/>
      <c r="FG792" s="183"/>
      <c r="FH792" s="183"/>
      <c r="FI792" s="183"/>
      <c r="FJ792" s="183"/>
      <c r="FK792" s="183"/>
      <c r="FL792" s="183"/>
      <c r="FM792" s="183"/>
      <c r="FN792" s="183"/>
      <c r="FO792" s="183"/>
      <c r="FP792" s="183"/>
      <c r="FQ792" s="183"/>
      <c r="FR792" s="183"/>
      <c r="FS792" s="183"/>
      <c r="FT792" s="183"/>
      <c r="FU792" s="183"/>
      <c r="FV792" s="183"/>
      <c r="FW792" s="183"/>
      <c r="FX792" s="183"/>
      <c r="FY792" s="183"/>
    </row>
    <row r="793" spans="1:181" ht="11.25" customHeight="1">
      <c r="A793" s="183"/>
      <c r="B793" s="183"/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  <c r="FE793" s="183"/>
      <c r="FF793" s="183"/>
      <c r="FG793" s="183"/>
      <c r="FH793" s="183"/>
      <c r="FI793" s="183"/>
      <c r="FJ793" s="183"/>
      <c r="FK793" s="183"/>
      <c r="FL793" s="183"/>
      <c r="FM793" s="183"/>
      <c r="FN793" s="183"/>
      <c r="FO793" s="183"/>
      <c r="FP793" s="183"/>
      <c r="FQ793" s="183"/>
      <c r="FR793" s="183"/>
      <c r="FS793" s="183"/>
      <c r="FT793" s="183"/>
      <c r="FU793" s="183"/>
      <c r="FV793" s="183"/>
      <c r="FW793" s="183"/>
      <c r="FX793" s="183"/>
      <c r="FY793" s="183"/>
    </row>
    <row r="794" spans="1:181" ht="11.25" customHeight="1">
      <c r="A794" s="183"/>
      <c r="B794" s="183"/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  <c r="FE794" s="183"/>
      <c r="FF794" s="183"/>
      <c r="FG794" s="183"/>
      <c r="FH794" s="183"/>
      <c r="FI794" s="183"/>
      <c r="FJ794" s="183"/>
      <c r="FK794" s="183"/>
      <c r="FL794" s="183"/>
      <c r="FM794" s="183"/>
      <c r="FN794" s="183"/>
      <c r="FO794" s="183"/>
      <c r="FP794" s="183"/>
      <c r="FQ794" s="183"/>
      <c r="FR794" s="183"/>
      <c r="FS794" s="183"/>
      <c r="FT794" s="183"/>
      <c r="FU794" s="183"/>
      <c r="FV794" s="183"/>
      <c r="FW794" s="183"/>
      <c r="FX794" s="183"/>
      <c r="FY794" s="183"/>
    </row>
    <row r="795" spans="1:181" ht="11.25" customHeight="1">
      <c r="A795" s="183"/>
      <c r="B795" s="183"/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  <c r="FE795" s="183"/>
      <c r="FF795" s="183"/>
      <c r="FG795" s="183"/>
      <c r="FH795" s="183"/>
      <c r="FI795" s="183"/>
      <c r="FJ795" s="183"/>
      <c r="FK795" s="183"/>
      <c r="FL795" s="183"/>
      <c r="FM795" s="183"/>
      <c r="FN795" s="183"/>
      <c r="FO795" s="183"/>
      <c r="FP795" s="183"/>
      <c r="FQ795" s="183"/>
      <c r="FR795" s="183"/>
      <c r="FS795" s="183"/>
      <c r="FT795" s="183"/>
      <c r="FU795" s="183"/>
      <c r="FV795" s="183"/>
      <c r="FW795" s="183"/>
      <c r="FX795" s="183"/>
      <c r="FY795" s="183"/>
    </row>
    <row r="796" spans="1:181" ht="11.25" customHeight="1">
      <c r="A796" s="183"/>
      <c r="B796" s="183"/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  <c r="FE796" s="183"/>
      <c r="FF796" s="183"/>
      <c r="FG796" s="183"/>
      <c r="FH796" s="183"/>
      <c r="FI796" s="183"/>
      <c r="FJ796" s="183"/>
      <c r="FK796" s="183"/>
      <c r="FL796" s="183"/>
      <c r="FM796" s="183"/>
      <c r="FN796" s="183"/>
      <c r="FO796" s="183"/>
      <c r="FP796" s="183"/>
      <c r="FQ796" s="183"/>
      <c r="FR796" s="183"/>
      <c r="FS796" s="183"/>
      <c r="FT796" s="183"/>
      <c r="FU796" s="183"/>
      <c r="FV796" s="183"/>
      <c r="FW796" s="183"/>
      <c r="FX796" s="183"/>
      <c r="FY796" s="183"/>
    </row>
    <row r="797" spans="1:181" ht="11.25" customHeight="1">
      <c r="A797" s="183"/>
      <c r="B797" s="183"/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  <c r="FE797" s="183"/>
      <c r="FF797" s="183"/>
      <c r="FG797" s="183"/>
      <c r="FH797" s="183"/>
      <c r="FI797" s="183"/>
      <c r="FJ797" s="183"/>
      <c r="FK797" s="183"/>
      <c r="FL797" s="183"/>
      <c r="FM797" s="183"/>
      <c r="FN797" s="183"/>
      <c r="FO797" s="183"/>
      <c r="FP797" s="183"/>
      <c r="FQ797" s="183"/>
      <c r="FR797" s="183"/>
      <c r="FS797" s="183"/>
      <c r="FT797" s="183"/>
      <c r="FU797" s="183"/>
      <c r="FV797" s="183"/>
      <c r="FW797" s="183"/>
      <c r="FX797" s="183"/>
      <c r="FY797" s="183"/>
    </row>
    <row r="798" spans="1:181" ht="11.25" customHeight="1">
      <c r="A798" s="183"/>
      <c r="B798" s="183"/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  <c r="FE798" s="183"/>
      <c r="FF798" s="183"/>
      <c r="FG798" s="183"/>
      <c r="FH798" s="183"/>
      <c r="FI798" s="183"/>
      <c r="FJ798" s="183"/>
      <c r="FK798" s="183"/>
      <c r="FL798" s="183"/>
      <c r="FM798" s="183"/>
      <c r="FN798" s="183"/>
      <c r="FO798" s="183"/>
      <c r="FP798" s="183"/>
      <c r="FQ798" s="183"/>
      <c r="FR798" s="183"/>
      <c r="FS798" s="183"/>
      <c r="FT798" s="183"/>
      <c r="FU798" s="183"/>
      <c r="FV798" s="183"/>
      <c r="FW798" s="183"/>
      <c r="FX798" s="183"/>
      <c r="FY798" s="183"/>
    </row>
    <row r="799" spans="1:181" ht="11.25" customHeight="1">
      <c r="A799" s="183"/>
      <c r="B799" s="183"/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  <c r="FE799" s="183"/>
      <c r="FF799" s="183"/>
      <c r="FG799" s="183"/>
      <c r="FH799" s="183"/>
      <c r="FI799" s="183"/>
      <c r="FJ799" s="183"/>
      <c r="FK799" s="183"/>
      <c r="FL799" s="183"/>
      <c r="FM799" s="183"/>
      <c r="FN799" s="183"/>
      <c r="FO799" s="183"/>
      <c r="FP799" s="183"/>
      <c r="FQ799" s="183"/>
      <c r="FR799" s="183"/>
      <c r="FS799" s="183"/>
      <c r="FT799" s="183"/>
      <c r="FU799" s="183"/>
      <c r="FV799" s="183"/>
      <c r="FW799" s="183"/>
      <c r="FX799" s="183"/>
      <c r="FY799" s="183"/>
    </row>
    <row r="800" spans="1:181" ht="11.25" customHeight="1">
      <c r="A800" s="183"/>
      <c r="B800" s="183"/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  <c r="FE800" s="183"/>
      <c r="FF800" s="183"/>
      <c r="FG800" s="183"/>
      <c r="FH800" s="183"/>
      <c r="FI800" s="183"/>
      <c r="FJ800" s="183"/>
      <c r="FK800" s="183"/>
      <c r="FL800" s="183"/>
      <c r="FM800" s="183"/>
      <c r="FN800" s="183"/>
      <c r="FO800" s="183"/>
      <c r="FP800" s="183"/>
      <c r="FQ800" s="183"/>
      <c r="FR800" s="183"/>
      <c r="FS800" s="183"/>
      <c r="FT800" s="183"/>
      <c r="FU800" s="183"/>
      <c r="FV800" s="183"/>
      <c r="FW800" s="183"/>
      <c r="FX800" s="183"/>
      <c r="FY800" s="183"/>
    </row>
    <row r="801" spans="1:181" ht="11.25" customHeight="1">
      <c r="A801" s="183"/>
      <c r="B801" s="183"/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  <c r="FE801" s="183"/>
      <c r="FF801" s="183"/>
      <c r="FG801" s="183"/>
      <c r="FH801" s="183"/>
      <c r="FI801" s="183"/>
      <c r="FJ801" s="183"/>
      <c r="FK801" s="183"/>
      <c r="FL801" s="183"/>
      <c r="FM801" s="183"/>
      <c r="FN801" s="183"/>
      <c r="FO801" s="183"/>
      <c r="FP801" s="183"/>
      <c r="FQ801" s="183"/>
      <c r="FR801" s="183"/>
      <c r="FS801" s="183"/>
      <c r="FT801" s="183"/>
      <c r="FU801" s="183"/>
      <c r="FV801" s="183"/>
      <c r="FW801" s="183"/>
      <c r="FX801" s="183"/>
      <c r="FY801" s="183"/>
    </row>
    <row r="802" spans="1:181" ht="11.25" customHeight="1">
      <c r="A802" s="183"/>
      <c r="B802" s="183"/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  <c r="FE802" s="183"/>
      <c r="FF802" s="183"/>
      <c r="FG802" s="183"/>
      <c r="FH802" s="183"/>
      <c r="FI802" s="183"/>
      <c r="FJ802" s="183"/>
      <c r="FK802" s="183"/>
      <c r="FL802" s="183"/>
      <c r="FM802" s="183"/>
      <c r="FN802" s="183"/>
      <c r="FO802" s="183"/>
      <c r="FP802" s="183"/>
      <c r="FQ802" s="183"/>
      <c r="FR802" s="183"/>
      <c r="FS802" s="183"/>
      <c r="FT802" s="183"/>
      <c r="FU802" s="183"/>
      <c r="FV802" s="183"/>
      <c r="FW802" s="183"/>
      <c r="FX802" s="183"/>
      <c r="FY802" s="183"/>
    </row>
    <row r="803" spans="1:181" ht="11.25" customHeight="1">
      <c r="A803" s="183"/>
      <c r="B803" s="183"/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  <c r="FE803" s="183"/>
      <c r="FF803" s="183"/>
      <c r="FG803" s="183"/>
      <c r="FH803" s="183"/>
      <c r="FI803" s="183"/>
      <c r="FJ803" s="183"/>
      <c r="FK803" s="183"/>
      <c r="FL803" s="183"/>
      <c r="FM803" s="183"/>
      <c r="FN803" s="183"/>
      <c r="FO803" s="183"/>
      <c r="FP803" s="183"/>
      <c r="FQ803" s="183"/>
      <c r="FR803" s="183"/>
      <c r="FS803" s="183"/>
      <c r="FT803" s="183"/>
      <c r="FU803" s="183"/>
      <c r="FV803" s="183"/>
      <c r="FW803" s="183"/>
      <c r="FX803" s="183"/>
      <c r="FY803" s="183"/>
    </row>
    <row r="804" spans="1:181" ht="11.25" customHeight="1">
      <c r="A804" s="183"/>
      <c r="B804" s="183"/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  <c r="FE804" s="183"/>
      <c r="FF804" s="183"/>
      <c r="FG804" s="183"/>
      <c r="FH804" s="183"/>
      <c r="FI804" s="183"/>
      <c r="FJ804" s="183"/>
      <c r="FK804" s="183"/>
      <c r="FL804" s="183"/>
      <c r="FM804" s="183"/>
      <c r="FN804" s="183"/>
      <c r="FO804" s="183"/>
      <c r="FP804" s="183"/>
      <c r="FQ804" s="183"/>
      <c r="FR804" s="183"/>
      <c r="FS804" s="183"/>
      <c r="FT804" s="183"/>
      <c r="FU804" s="183"/>
      <c r="FV804" s="183"/>
      <c r="FW804" s="183"/>
      <c r="FX804" s="183"/>
      <c r="FY804" s="183"/>
    </row>
    <row r="805" spans="1:181" ht="11.25" customHeight="1">
      <c r="A805" s="183"/>
      <c r="B805" s="183"/>
      <c r="C805" s="183"/>
      <c r="D805" s="183"/>
      <c r="E805" s="183"/>
      <c r="F805" s="183"/>
      <c r="G805" s="183"/>
      <c r="H805" s="183"/>
      <c r="I805" s="183"/>
      <c r="J805" s="183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  <c r="FE805" s="183"/>
      <c r="FF805" s="183"/>
      <c r="FG805" s="183"/>
      <c r="FH805" s="183"/>
      <c r="FI805" s="183"/>
      <c r="FJ805" s="183"/>
      <c r="FK805" s="183"/>
      <c r="FL805" s="183"/>
      <c r="FM805" s="183"/>
      <c r="FN805" s="183"/>
      <c r="FO805" s="183"/>
      <c r="FP805" s="183"/>
      <c r="FQ805" s="183"/>
      <c r="FR805" s="183"/>
      <c r="FS805" s="183"/>
      <c r="FT805" s="183"/>
      <c r="FU805" s="183"/>
      <c r="FV805" s="183"/>
      <c r="FW805" s="183"/>
      <c r="FX805" s="183"/>
      <c r="FY805" s="183"/>
    </row>
    <row r="806" spans="1:181" ht="11.25" customHeight="1">
      <c r="A806" s="183"/>
      <c r="B806" s="183"/>
      <c r="C806" s="183"/>
      <c r="D806" s="183"/>
      <c r="E806" s="183"/>
      <c r="F806" s="183"/>
      <c r="G806" s="183"/>
      <c r="H806" s="183"/>
      <c r="I806" s="183"/>
      <c r="J806" s="183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  <c r="FE806" s="183"/>
      <c r="FF806" s="183"/>
      <c r="FG806" s="183"/>
      <c r="FH806" s="183"/>
      <c r="FI806" s="183"/>
      <c r="FJ806" s="183"/>
      <c r="FK806" s="183"/>
      <c r="FL806" s="183"/>
      <c r="FM806" s="183"/>
      <c r="FN806" s="183"/>
      <c r="FO806" s="183"/>
      <c r="FP806" s="183"/>
      <c r="FQ806" s="183"/>
      <c r="FR806" s="183"/>
      <c r="FS806" s="183"/>
      <c r="FT806" s="183"/>
      <c r="FU806" s="183"/>
      <c r="FV806" s="183"/>
      <c r="FW806" s="183"/>
      <c r="FX806" s="183"/>
      <c r="FY806" s="183"/>
    </row>
    <row r="807" spans="1:181" ht="11.25" customHeight="1">
      <c r="A807" s="183"/>
      <c r="B807" s="183"/>
      <c r="C807" s="183"/>
      <c r="D807" s="183"/>
      <c r="E807" s="183"/>
      <c r="F807" s="183"/>
      <c r="G807" s="183"/>
      <c r="H807" s="183"/>
      <c r="I807" s="183"/>
      <c r="J807" s="183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  <c r="FE807" s="183"/>
      <c r="FF807" s="183"/>
      <c r="FG807" s="183"/>
      <c r="FH807" s="183"/>
      <c r="FI807" s="183"/>
      <c r="FJ807" s="183"/>
      <c r="FK807" s="183"/>
      <c r="FL807" s="183"/>
      <c r="FM807" s="183"/>
      <c r="FN807" s="183"/>
      <c r="FO807" s="183"/>
      <c r="FP807" s="183"/>
      <c r="FQ807" s="183"/>
      <c r="FR807" s="183"/>
      <c r="FS807" s="183"/>
      <c r="FT807" s="183"/>
      <c r="FU807" s="183"/>
      <c r="FV807" s="183"/>
      <c r="FW807" s="183"/>
      <c r="FX807" s="183"/>
      <c r="FY807" s="183"/>
    </row>
    <row r="808" spans="1:181" ht="11.25" customHeight="1">
      <c r="A808" s="183"/>
      <c r="B808" s="183"/>
      <c r="C808" s="183"/>
      <c r="D808" s="183"/>
      <c r="E808" s="183"/>
      <c r="F808" s="183"/>
      <c r="G808" s="183"/>
      <c r="H808" s="183"/>
      <c r="I808" s="183"/>
      <c r="J808" s="183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  <c r="FE808" s="183"/>
      <c r="FF808" s="183"/>
      <c r="FG808" s="183"/>
      <c r="FH808" s="183"/>
      <c r="FI808" s="183"/>
      <c r="FJ808" s="183"/>
      <c r="FK808" s="183"/>
      <c r="FL808" s="183"/>
      <c r="FM808" s="183"/>
      <c r="FN808" s="183"/>
      <c r="FO808" s="183"/>
      <c r="FP808" s="183"/>
      <c r="FQ808" s="183"/>
      <c r="FR808" s="183"/>
      <c r="FS808" s="183"/>
      <c r="FT808" s="183"/>
      <c r="FU808" s="183"/>
      <c r="FV808" s="183"/>
      <c r="FW808" s="183"/>
      <c r="FX808" s="183"/>
      <c r="FY808" s="183"/>
    </row>
    <row r="809" spans="1:181" ht="11.25" customHeight="1">
      <c r="A809" s="183"/>
      <c r="B809" s="183"/>
      <c r="C809" s="183"/>
      <c r="D809" s="183"/>
      <c r="E809" s="183"/>
      <c r="F809" s="183"/>
      <c r="G809" s="183"/>
      <c r="H809" s="183"/>
      <c r="I809" s="183"/>
      <c r="J809" s="183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  <c r="FE809" s="183"/>
      <c r="FF809" s="183"/>
      <c r="FG809" s="183"/>
      <c r="FH809" s="183"/>
      <c r="FI809" s="183"/>
      <c r="FJ809" s="183"/>
      <c r="FK809" s="183"/>
      <c r="FL809" s="183"/>
      <c r="FM809" s="183"/>
      <c r="FN809" s="183"/>
      <c r="FO809" s="183"/>
      <c r="FP809" s="183"/>
      <c r="FQ809" s="183"/>
      <c r="FR809" s="183"/>
      <c r="FS809" s="183"/>
      <c r="FT809" s="183"/>
      <c r="FU809" s="183"/>
      <c r="FV809" s="183"/>
      <c r="FW809" s="183"/>
      <c r="FX809" s="183"/>
      <c r="FY809" s="183"/>
    </row>
    <row r="810" spans="1:181" ht="11.25" customHeight="1">
      <c r="A810" s="183"/>
      <c r="B810" s="183"/>
      <c r="C810" s="183"/>
      <c r="D810" s="183"/>
      <c r="E810" s="183"/>
      <c r="F810" s="183"/>
      <c r="G810" s="183"/>
      <c r="H810" s="183"/>
      <c r="I810" s="183"/>
      <c r="J810" s="183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  <c r="FE810" s="183"/>
      <c r="FF810" s="183"/>
      <c r="FG810" s="183"/>
      <c r="FH810" s="183"/>
      <c r="FI810" s="183"/>
      <c r="FJ810" s="183"/>
      <c r="FK810" s="183"/>
      <c r="FL810" s="183"/>
      <c r="FM810" s="183"/>
      <c r="FN810" s="183"/>
      <c r="FO810" s="183"/>
      <c r="FP810" s="183"/>
      <c r="FQ810" s="183"/>
      <c r="FR810" s="183"/>
      <c r="FS810" s="183"/>
      <c r="FT810" s="183"/>
      <c r="FU810" s="183"/>
      <c r="FV810" s="183"/>
      <c r="FW810" s="183"/>
      <c r="FX810" s="183"/>
      <c r="FY810" s="183"/>
    </row>
    <row r="811" spans="1:181" ht="11.25" customHeight="1">
      <c r="A811" s="183"/>
      <c r="B811" s="183"/>
      <c r="C811" s="183"/>
      <c r="D811" s="183"/>
      <c r="E811" s="183"/>
      <c r="F811" s="183"/>
      <c r="G811" s="183"/>
      <c r="H811" s="183"/>
      <c r="I811" s="183"/>
      <c r="J811" s="183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  <c r="FE811" s="183"/>
      <c r="FF811" s="183"/>
      <c r="FG811" s="183"/>
      <c r="FH811" s="183"/>
      <c r="FI811" s="183"/>
      <c r="FJ811" s="183"/>
      <c r="FK811" s="183"/>
      <c r="FL811" s="183"/>
      <c r="FM811" s="183"/>
      <c r="FN811" s="183"/>
      <c r="FO811" s="183"/>
      <c r="FP811" s="183"/>
      <c r="FQ811" s="183"/>
      <c r="FR811" s="183"/>
      <c r="FS811" s="183"/>
      <c r="FT811" s="183"/>
      <c r="FU811" s="183"/>
      <c r="FV811" s="183"/>
      <c r="FW811" s="183"/>
      <c r="FX811" s="183"/>
      <c r="FY811" s="183"/>
    </row>
    <row r="812" spans="1:181" ht="11.25" customHeight="1">
      <c r="A812" s="183"/>
      <c r="B812" s="183"/>
      <c r="C812" s="183"/>
      <c r="D812" s="183"/>
      <c r="E812" s="183"/>
      <c r="F812" s="183"/>
      <c r="G812" s="183"/>
      <c r="H812" s="183"/>
      <c r="I812" s="183"/>
      <c r="J812" s="183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  <c r="FE812" s="183"/>
      <c r="FF812" s="183"/>
      <c r="FG812" s="183"/>
      <c r="FH812" s="183"/>
      <c r="FI812" s="183"/>
      <c r="FJ812" s="183"/>
      <c r="FK812" s="183"/>
      <c r="FL812" s="183"/>
      <c r="FM812" s="183"/>
      <c r="FN812" s="183"/>
      <c r="FO812" s="183"/>
      <c r="FP812" s="183"/>
      <c r="FQ812" s="183"/>
      <c r="FR812" s="183"/>
      <c r="FS812" s="183"/>
      <c r="FT812" s="183"/>
      <c r="FU812" s="183"/>
      <c r="FV812" s="183"/>
      <c r="FW812" s="183"/>
      <c r="FX812" s="183"/>
      <c r="FY812" s="183"/>
    </row>
    <row r="813" spans="1:181" ht="11.25" customHeight="1">
      <c r="A813" s="183"/>
      <c r="B813" s="183"/>
      <c r="C813" s="183"/>
      <c r="D813" s="183"/>
      <c r="E813" s="183"/>
      <c r="F813" s="183"/>
      <c r="G813" s="183"/>
      <c r="H813" s="183"/>
      <c r="I813" s="183"/>
      <c r="J813" s="183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  <c r="FE813" s="183"/>
      <c r="FF813" s="183"/>
      <c r="FG813" s="183"/>
      <c r="FH813" s="183"/>
      <c r="FI813" s="183"/>
      <c r="FJ813" s="183"/>
      <c r="FK813" s="183"/>
      <c r="FL813" s="183"/>
      <c r="FM813" s="183"/>
      <c r="FN813" s="183"/>
      <c r="FO813" s="183"/>
      <c r="FP813" s="183"/>
      <c r="FQ813" s="183"/>
      <c r="FR813" s="183"/>
      <c r="FS813" s="183"/>
      <c r="FT813" s="183"/>
      <c r="FU813" s="183"/>
      <c r="FV813" s="183"/>
      <c r="FW813" s="183"/>
      <c r="FX813" s="183"/>
      <c r="FY813" s="183"/>
    </row>
    <row r="814" spans="1:181" ht="11.25" customHeight="1">
      <c r="A814" s="183"/>
      <c r="B814" s="183"/>
      <c r="C814" s="183"/>
      <c r="D814" s="183"/>
      <c r="E814" s="183"/>
      <c r="F814" s="183"/>
      <c r="G814" s="183"/>
      <c r="H814" s="183"/>
      <c r="I814" s="183"/>
      <c r="J814" s="183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  <c r="FE814" s="183"/>
      <c r="FF814" s="183"/>
      <c r="FG814" s="183"/>
      <c r="FH814" s="183"/>
      <c r="FI814" s="183"/>
      <c r="FJ814" s="183"/>
      <c r="FK814" s="183"/>
      <c r="FL814" s="183"/>
      <c r="FM814" s="183"/>
      <c r="FN814" s="183"/>
      <c r="FO814" s="183"/>
      <c r="FP814" s="183"/>
      <c r="FQ814" s="183"/>
      <c r="FR814" s="183"/>
      <c r="FS814" s="183"/>
      <c r="FT814" s="183"/>
      <c r="FU814" s="183"/>
      <c r="FV814" s="183"/>
      <c r="FW814" s="183"/>
      <c r="FX814" s="183"/>
      <c r="FY814" s="183"/>
    </row>
    <row r="815" spans="1:181" ht="11.25" customHeight="1">
      <c r="A815" s="183"/>
      <c r="B815" s="183"/>
      <c r="C815" s="183"/>
      <c r="D815" s="183"/>
      <c r="E815" s="183"/>
      <c r="F815" s="183"/>
      <c r="G815" s="183"/>
      <c r="H815" s="183"/>
      <c r="I815" s="183"/>
      <c r="J815" s="183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  <c r="FE815" s="183"/>
      <c r="FF815" s="183"/>
      <c r="FG815" s="183"/>
      <c r="FH815" s="183"/>
      <c r="FI815" s="183"/>
      <c r="FJ815" s="183"/>
      <c r="FK815" s="183"/>
      <c r="FL815" s="183"/>
      <c r="FM815" s="183"/>
      <c r="FN815" s="183"/>
      <c r="FO815" s="183"/>
      <c r="FP815" s="183"/>
      <c r="FQ815" s="183"/>
      <c r="FR815" s="183"/>
      <c r="FS815" s="183"/>
      <c r="FT815" s="183"/>
      <c r="FU815" s="183"/>
      <c r="FV815" s="183"/>
      <c r="FW815" s="183"/>
      <c r="FX815" s="183"/>
      <c r="FY815" s="183"/>
    </row>
    <row r="816" spans="1:181" ht="11.25" customHeight="1">
      <c r="A816" s="183"/>
      <c r="B816" s="183"/>
      <c r="C816" s="183"/>
      <c r="D816" s="183"/>
      <c r="E816" s="183"/>
      <c r="F816" s="183"/>
      <c r="G816" s="183"/>
      <c r="H816" s="183"/>
      <c r="I816" s="183"/>
      <c r="J816" s="183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  <c r="FE816" s="183"/>
      <c r="FF816" s="183"/>
      <c r="FG816" s="183"/>
      <c r="FH816" s="183"/>
      <c r="FI816" s="183"/>
      <c r="FJ816" s="183"/>
      <c r="FK816" s="183"/>
      <c r="FL816" s="183"/>
      <c r="FM816" s="183"/>
      <c r="FN816" s="183"/>
      <c r="FO816" s="183"/>
      <c r="FP816" s="183"/>
      <c r="FQ816" s="183"/>
      <c r="FR816" s="183"/>
      <c r="FS816" s="183"/>
      <c r="FT816" s="183"/>
      <c r="FU816" s="183"/>
      <c r="FV816" s="183"/>
      <c r="FW816" s="183"/>
      <c r="FX816" s="183"/>
      <c r="FY816" s="183"/>
    </row>
    <row r="817" spans="1:181" ht="11.25" customHeight="1">
      <c r="A817" s="183"/>
      <c r="B817" s="183"/>
      <c r="C817" s="183"/>
      <c r="D817" s="183"/>
      <c r="E817" s="183"/>
      <c r="F817" s="183"/>
      <c r="G817" s="183"/>
      <c r="H817" s="183"/>
      <c r="I817" s="183"/>
      <c r="J817" s="183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  <c r="FE817" s="183"/>
      <c r="FF817" s="183"/>
      <c r="FG817" s="183"/>
      <c r="FH817" s="183"/>
      <c r="FI817" s="183"/>
      <c r="FJ817" s="183"/>
      <c r="FK817" s="183"/>
      <c r="FL817" s="183"/>
      <c r="FM817" s="183"/>
      <c r="FN817" s="183"/>
      <c r="FO817" s="183"/>
      <c r="FP817" s="183"/>
      <c r="FQ817" s="183"/>
      <c r="FR817" s="183"/>
      <c r="FS817" s="183"/>
      <c r="FT817" s="183"/>
      <c r="FU817" s="183"/>
      <c r="FV817" s="183"/>
      <c r="FW817" s="183"/>
      <c r="FX817" s="183"/>
      <c r="FY817" s="183"/>
    </row>
    <row r="818" spans="1:181" ht="11.25" customHeight="1">
      <c r="A818" s="183"/>
      <c r="B818" s="183"/>
      <c r="C818" s="183"/>
      <c r="D818" s="183"/>
      <c r="E818" s="183"/>
      <c r="F818" s="183"/>
      <c r="G818" s="183"/>
      <c r="H818" s="183"/>
      <c r="I818" s="183"/>
      <c r="J818" s="183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  <c r="FE818" s="183"/>
      <c r="FF818" s="183"/>
      <c r="FG818" s="183"/>
      <c r="FH818" s="183"/>
      <c r="FI818" s="183"/>
      <c r="FJ818" s="183"/>
      <c r="FK818" s="183"/>
      <c r="FL818" s="183"/>
      <c r="FM818" s="183"/>
      <c r="FN818" s="183"/>
      <c r="FO818" s="183"/>
      <c r="FP818" s="183"/>
      <c r="FQ818" s="183"/>
      <c r="FR818" s="183"/>
      <c r="FS818" s="183"/>
      <c r="FT818" s="183"/>
      <c r="FU818" s="183"/>
      <c r="FV818" s="183"/>
      <c r="FW818" s="183"/>
      <c r="FX818" s="183"/>
      <c r="FY818" s="183"/>
    </row>
    <row r="819" spans="1:181" ht="11.25" customHeight="1">
      <c r="A819" s="183"/>
      <c r="B819" s="183"/>
      <c r="C819" s="183"/>
      <c r="D819" s="183"/>
      <c r="E819" s="183"/>
      <c r="F819" s="183"/>
      <c r="G819" s="183"/>
      <c r="H819" s="183"/>
      <c r="I819" s="183"/>
      <c r="J819" s="183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  <c r="FE819" s="183"/>
      <c r="FF819" s="183"/>
      <c r="FG819" s="183"/>
      <c r="FH819" s="183"/>
      <c r="FI819" s="183"/>
      <c r="FJ819" s="183"/>
      <c r="FK819" s="183"/>
      <c r="FL819" s="183"/>
      <c r="FM819" s="183"/>
      <c r="FN819" s="183"/>
      <c r="FO819" s="183"/>
      <c r="FP819" s="183"/>
      <c r="FQ819" s="183"/>
      <c r="FR819" s="183"/>
      <c r="FS819" s="183"/>
      <c r="FT819" s="183"/>
      <c r="FU819" s="183"/>
      <c r="FV819" s="183"/>
      <c r="FW819" s="183"/>
      <c r="FX819" s="183"/>
      <c r="FY819" s="183"/>
    </row>
    <row r="820" spans="1:181" ht="11.25" customHeight="1">
      <c r="A820" s="183"/>
      <c r="B820" s="183"/>
      <c r="C820" s="183"/>
      <c r="D820" s="183"/>
      <c r="E820" s="183"/>
      <c r="F820" s="183"/>
      <c r="G820" s="183"/>
      <c r="H820" s="183"/>
      <c r="I820" s="183"/>
      <c r="J820" s="183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  <c r="FE820" s="183"/>
      <c r="FF820" s="183"/>
      <c r="FG820" s="183"/>
      <c r="FH820" s="183"/>
      <c r="FI820" s="183"/>
      <c r="FJ820" s="183"/>
      <c r="FK820" s="183"/>
      <c r="FL820" s="183"/>
      <c r="FM820" s="183"/>
      <c r="FN820" s="183"/>
      <c r="FO820" s="183"/>
      <c r="FP820" s="183"/>
      <c r="FQ820" s="183"/>
      <c r="FR820" s="183"/>
      <c r="FS820" s="183"/>
      <c r="FT820" s="183"/>
      <c r="FU820" s="183"/>
      <c r="FV820" s="183"/>
      <c r="FW820" s="183"/>
      <c r="FX820" s="183"/>
      <c r="FY820" s="183"/>
    </row>
    <row r="821" spans="1:181" ht="11.25" customHeight="1">
      <c r="A821" s="183"/>
      <c r="B821" s="183"/>
      <c r="C821" s="183"/>
      <c r="D821" s="183"/>
      <c r="E821" s="183"/>
      <c r="F821" s="183"/>
      <c r="G821" s="183"/>
      <c r="H821" s="183"/>
      <c r="I821" s="183"/>
      <c r="J821" s="183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  <c r="FE821" s="183"/>
      <c r="FF821" s="183"/>
      <c r="FG821" s="183"/>
      <c r="FH821" s="183"/>
      <c r="FI821" s="183"/>
      <c r="FJ821" s="183"/>
      <c r="FK821" s="183"/>
      <c r="FL821" s="183"/>
      <c r="FM821" s="183"/>
      <c r="FN821" s="183"/>
      <c r="FO821" s="183"/>
      <c r="FP821" s="183"/>
      <c r="FQ821" s="183"/>
      <c r="FR821" s="183"/>
      <c r="FS821" s="183"/>
      <c r="FT821" s="183"/>
      <c r="FU821" s="183"/>
      <c r="FV821" s="183"/>
      <c r="FW821" s="183"/>
      <c r="FX821" s="183"/>
      <c r="FY821" s="183"/>
    </row>
    <row r="822" spans="1:181" ht="11.25" customHeight="1">
      <c r="A822" s="183"/>
      <c r="B822" s="183"/>
      <c r="C822" s="183"/>
      <c r="D822" s="183"/>
      <c r="E822" s="183"/>
      <c r="F822" s="183"/>
      <c r="G822" s="183"/>
      <c r="H822" s="183"/>
      <c r="I822" s="183"/>
      <c r="J822" s="183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  <c r="FE822" s="183"/>
      <c r="FF822" s="183"/>
      <c r="FG822" s="183"/>
      <c r="FH822" s="183"/>
      <c r="FI822" s="183"/>
      <c r="FJ822" s="183"/>
      <c r="FK822" s="183"/>
      <c r="FL822" s="183"/>
      <c r="FM822" s="183"/>
      <c r="FN822" s="183"/>
      <c r="FO822" s="183"/>
      <c r="FP822" s="183"/>
      <c r="FQ822" s="183"/>
      <c r="FR822" s="183"/>
      <c r="FS822" s="183"/>
      <c r="FT822" s="183"/>
      <c r="FU822" s="183"/>
      <c r="FV822" s="183"/>
      <c r="FW822" s="183"/>
      <c r="FX822" s="183"/>
      <c r="FY822" s="183"/>
    </row>
    <row r="823" spans="1:181" ht="11.25" customHeight="1">
      <c r="A823" s="183"/>
      <c r="B823" s="183"/>
      <c r="C823" s="183"/>
      <c r="D823" s="183"/>
      <c r="E823" s="183"/>
      <c r="F823" s="183"/>
      <c r="G823" s="183"/>
      <c r="H823" s="183"/>
      <c r="I823" s="183"/>
      <c r="J823" s="183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  <c r="FE823" s="183"/>
      <c r="FF823" s="183"/>
      <c r="FG823" s="183"/>
      <c r="FH823" s="183"/>
      <c r="FI823" s="183"/>
      <c r="FJ823" s="183"/>
      <c r="FK823" s="183"/>
      <c r="FL823" s="183"/>
      <c r="FM823" s="183"/>
      <c r="FN823" s="183"/>
      <c r="FO823" s="183"/>
      <c r="FP823" s="183"/>
      <c r="FQ823" s="183"/>
      <c r="FR823" s="183"/>
      <c r="FS823" s="183"/>
      <c r="FT823" s="183"/>
      <c r="FU823" s="183"/>
      <c r="FV823" s="183"/>
      <c r="FW823" s="183"/>
      <c r="FX823" s="183"/>
      <c r="FY823" s="183"/>
    </row>
    <row r="824" spans="1:181" ht="11.25" customHeight="1">
      <c r="A824" s="183"/>
      <c r="B824" s="183"/>
      <c r="C824" s="183"/>
      <c r="D824" s="183"/>
      <c r="E824" s="183"/>
      <c r="F824" s="183"/>
      <c r="G824" s="183"/>
      <c r="H824" s="183"/>
      <c r="I824" s="183"/>
      <c r="J824" s="183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  <c r="FE824" s="183"/>
      <c r="FF824" s="183"/>
      <c r="FG824" s="183"/>
      <c r="FH824" s="183"/>
      <c r="FI824" s="183"/>
      <c r="FJ824" s="183"/>
      <c r="FK824" s="183"/>
      <c r="FL824" s="183"/>
      <c r="FM824" s="183"/>
      <c r="FN824" s="183"/>
      <c r="FO824" s="183"/>
      <c r="FP824" s="183"/>
      <c r="FQ824" s="183"/>
      <c r="FR824" s="183"/>
      <c r="FS824" s="183"/>
      <c r="FT824" s="183"/>
      <c r="FU824" s="183"/>
      <c r="FV824" s="183"/>
      <c r="FW824" s="183"/>
      <c r="FX824" s="183"/>
      <c r="FY824" s="183"/>
    </row>
    <row r="825" spans="1:181" ht="11.25" customHeight="1">
      <c r="A825" s="183"/>
      <c r="B825" s="183"/>
      <c r="C825" s="183"/>
      <c r="D825" s="183"/>
      <c r="E825" s="183"/>
      <c r="F825" s="183"/>
      <c r="G825" s="183"/>
      <c r="H825" s="183"/>
      <c r="I825" s="183"/>
      <c r="J825" s="183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  <c r="FE825" s="183"/>
      <c r="FF825" s="183"/>
      <c r="FG825" s="183"/>
      <c r="FH825" s="183"/>
      <c r="FI825" s="183"/>
      <c r="FJ825" s="183"/>
      <c r="FK825" s="183"/>
      <c r="FL825" s="183"/>
      <c r="FM825" s="183"/>
      <c r="FN825" s="183"/>
      <c r="FO825" s="183"/>
      <c r="FP825" s="183"/>
      <c r="FQ825" s="183"/>
      <c r="FR825" s="183"/>
      <c r="FS825" s="183"/>
      <c r="FT825" s="183"/>
      <c r="FU825" s="183"/>
      <c r="FV825" s="183"/>
      <c r="FW825" s="183"/>
      <c r="FX825" s="183"/>
      <c r="FY825" s="183"/>
    </row>
    <row r="826" spans="1:181" ht="11.25" customHeight="1">
      <c r="A826" s="183"/>
      <c r="B826" s="183"/>
      <c r="C826" s="183"/>
      <c r="D826" s="183"/>
      <c r="E826" s="183"/>
      <c r="F826" s="183"/>
      <c r="G826" s="183"/>
      <c r="H826" s="183"/>
      <c r="I826" s="183"/>
      <c r="J826" s="183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  <c r="FE826" s="183"/>
      <c r="FF826" s="183"/>
      <c r="FG826" s="183"/>
      <c r="FH826" s="183"/>
      <c r="FI826" s="183"/>
      <c r="FJ826" s="183"/>
      <c r="FK826" s="183"/>
      <c r="FL826" s="183"/>
      <c r="FM826" s="183"/>
      <c r="FN826" s="183"/>
      <c r="FO826" s="183"/>
      <c r="FP826" s="183"/>
      <c r="FQ826" s="183"/>
      <c r="FR826" s="183"/>
      <c r="FS826" s="183"/>
      <c r="FT826" s="183"/>
      <c r="FU826" s="183"/>
      <c r="FV826" s="183"/>
      <c r="FW826" s="183"/>
      <c r="FX826" s="183"/>
      <c r="FY826" s="183"/>
    </row>
    <row r="827" spans="1:181" ht="11.25" customHeight="1">
      <c r="A827" s="183"/>
      <c r="B827" s="183"/>
      <c r="C827" s="183"/>
      <c r="D827" s="183"/>
      <c r="E827" s="183"/>
      <c r="F827" s="183"/>
      <c r="G827" s="183"/>
      <c r="H827" s="183"/>
      <c r="I827" s="183"/>
      <c r="J827" s="183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  <c r="FE827" s="183"/>
      <c r="FF827" s="183"/>
      <c r="FG827" s="183"/>
      <c r="FH827" s="183"/>
      <c r="FI827" s="183"/>
      <c r="FJ827" s="183"/>
      <c r="FK827" s="183"/>
      <c r="FL827" s="183"/>
      <c r="FM827" s="183"/>
      <c r="FN827" s="183"/>
      <c r="FO827" s="183"/>
      <c r="FP827" s="183"/>
      <c r="FQ827" s="183"/>
      <c r="FR827" s="183"/>
      <c r="FS827" s="183"/>
      <c r="FT827" s="183"/>
      <c r="FU827" s="183"/>
      <c r="FV827" s="183"/>
      <c r="FW827" s="183"/>
      <c r="FX827" s="183"/>
      <c r="FY827" s="183"/>
    </row>
    <row r="828" spans="1:181" ht="11.25" customHeight="1">
      <c r="A828" s="183"/>
      <c r="B828" s="183"/>
      <c r="C828" s="183"/>
      <c r="D828" s="183"/>
      <c r="E828" s="183"/>
      <c r="F828" s="183"/>
      <c r="G828" s="183"/>
      <c r="H828" s="183"/>
      <c r="I828" s="183"/>
      <c r="J828" s="183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  <c r="FE828" s="183"/>
      <c r="FF828" s="183"/>
      <c r="FG828" s="183"/>
      <c r="FH828" s="183"/>
      <c r="FI828" s="183"/>
      <c r="FJ828" s="183"/>
      <c r="FK828" s="183"/>
      <c r="FL828" s="183"/>
      <c r="FM828" s="183"/>
      <c r="FN828" s="183"/>
      <c r="FO828" s="183"/>
      <c r="FP828" s="183"/>
      <c r="FQ828" s="183"/>
      <c r="FR828" s="183"/>
      <c r="FS828" s="183"/>
      <c r="FT828" s="183"/>
      <c r="FU828" s="183"/>
      <c r="FV828" s="183"/>
      <c r="FW828" s="183"/>
      <c r="FX828" s="183"/>
      <c r="FY828" s="183"/>
    </row>
    <row r="829" spans="1:181" ht="11.25" customHeight="1">
      <c r="A829" s="183"/>
      <c r="B829" s="183"/>
      <c r="C829" s="183"/>
      <c r="D829" s="183"/>
      <c r="E829" s="183"/>
      <c r="F829" s="183"/>
      <c r="G829" s="183"/>
      <c r="H829" s="183"/>
      <c r="I829" s="183"/>
      <c r="J829" s="183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  <c r="FE829" s="183"/>
      <c r="FF829" s="183"/>
      <c r="FG829" s="183"/>
      <c r="FH829" s="183"/>
      <c r="FI829" s="183"/>
      <c r="FJ829" s="183"/>
      <c r="FK829" s="183"/>
      <c r="FL829" s="183"/>
      <c r="FM829" s="183"/>
      <c r="FN829" s="183"/>
      <c r="FO829" s="183"/>
      <c r="FP829" s="183"/>
      <c r="FQ829" s="183"/>
      <c r="FR829" s="183"/>
      <c r="FS829" s="183"/>
      <c r="FT829" s="183"/>
      <c r="FU829" s="183"/>
      <c r="FV829" s="183"/>
      <c r="FW829" s="183"/>
      <c r="FX829" s="183"/>
      <c r="FY829" s="183"/>
    </row>
    <row r="830" spans="1:181" ht="11.25" customHeight="1">
      <c r="A830" s="183"/>
      <c r="B830" s="183"/>
      <c r="C830" s="183"/>
      <c r="D830" s="183"/>
      <c r="E830" s="183"/>
      <c r="F830" s="183"/>
      <c r="G830" s="183"/>
      <c r="H830" s="183"/>
      <c r="I830" s="183"/>
      <c r="J830" s="183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  <c r="FE830" s="183"/>
      <c r="FF830" s="183"/>
      <c r="FG830" s="183"/>
      <c r="FH830" s="183"/>
      <c r="FI830" s="183"/>
      <c r="FJ830" s="183"/>
      <c r="FK830" s="183"/>
      <c r="FL830" s="183"/>
      <c r="FM830" s="183"/>
      <c r="FN830" s="183"/>
      <c r="FO830" s="183"/>
      <c r="FP830" s="183"/>
      <c r="FQ830" s="183"/>
      <c r="FR830" s="183"/>
      <c r="FS830" s="183"/>
      <c r="FT830" s="183"/>
      <c r="FU830" s="183"/>
      <c r="FV830" s="183"/>
      <c r="FW830" s="183"/>
      <c r="FX830" s="183"/>
      <c r="FY830" s="183"/>
    </row>
    <row r="831" spans="1:181" ht="11.25" customHeight="1">
      <c r="A831" s="183"/>
      <c r="B831" s="183"/>
      <c r="C831" s="183"/>
      <c r="D831" s="183"/>
      <c r="E831" s="183"/>
      <c r="F831" s="183"/>
      <c r="G831" s="183"/>
      <c r="H831" s="183"/>
      <c r="I831" s="183"/>
      <c r="J831" s="183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  <c r="FE831" s="183"/>
      <c r="FF831" s="183"/>
      <c r="FG831" s="183"/>
      <c r="FH831" s="183"/>
      <c r="FI831" s="183"/>
      <c r="FJ831" s="183"/>
      <c r="FK831" s="183"/>
      <c r="FL831" s="183"/>
      <c r="FM831" s="183"/>
      <c r="FN831" s="183"/>
      <c r="FO831" s="183"/>
      <c r="FP831" s="183"/>
      <c r="FQ831" s="183"/>
      <c r="FR831" s="183"/>
      <c r="FS831" s="183"/>
      <c r="FT831" s="183"/>
      <c r="FU831" s="183"/>
      <c r="FV831" s="183"/>
      <c r="FW831" s="183"/>
      <c r="FX831" s="183"/>
      <c r="FY831" s="183"/>
    </row>
    <row r="832" spans="1:181" ht="11.25" customHeight="1">
      <c r="A832" s="183"/>
      <c r="B832" s="183"/>
      <c r="C832" s="183"/>
      <c r="D832" s="183"/>
      <c r="E832" s="183"/>
      <c r="F832" s="183"/>
      <c r="G832" s="183"/>
      <c r="H832" s="183"/>
      <c r="I832" s="183"/>
      <c r="J832" s="183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  <c r="FE832" s="183"/>
      <c r="FF832" s="183"/>
      <c r="FG832" s="183"/>
      <c r="FH832" s="183"/>
      <c r="FI832" s="183"/>
      <c r="FJ832" s="183"/>
      <c r="FK832" s="183"/>
      <c r="FL832" s="183"/>
      <c r="FM832" s="183"/>
      <c r="FN832" s="183"/>
      <c r="FO832" s="183"/>
      <c r="FP832" s="183"/>
      <c r="FQ832" s="183"/>
      <c r="FR832" s="183"/>
      <c r="FS832" s="183"/>
      <c r="FT832" s="183"/>
      <c r="FU832" s="183"/>
      <c r="FV832" s="183"/>
      <c r="FW832" s="183"/>
      <c r="FX832" s="183"/>
      <c r="FY832" s="183"/>
    </row>
    <row r="833" spans="1:181" ht="11.25" customHeight="1">
      <c r="A833" s="183"/>
      <c r="B833" s="183"/>
      <c r="C833" s="183"/>
      <c r="D833" s="183"/>
      <c r="E833" s="183"/>
      <c r="F833" s="183"/>
      <c r="G833" s="183"/>
      <c r="H833" s="183"/>
      <c r="I833" s="183"/>
      <c r="J833" s="183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  <c r="FE833" s="183"/>
      <c r="FF833" s="183"/>
      <c r="FG833" s="183"/>
      <c r="FH833" s="183"/>
      <c r="FI833" s="183"/>
      <c r="FJ833" s="183"/>
      <c r="FK833" s="183"/>
      <c r="FL833" s="183"/>
      <c r="FM833" s="183"/>
      <c r="FN833" s="183"/>
      <c r="FO833" s="183"/>
      <c r="FP833" s="183"/>
      <c r="FQ833" s="183"/>
      <c r="FR833" s="183"/>
      <c r="FS833" s="183"/>
      <c r="FT833" s="183"/>
      <c r="FU833" s="183"/>
      <c r="FV833" s="183"/>
      <c r="FW833" s="183"/>
      <c r="FX833" s="183"/>
      <c r="FY833" s="183"/>
    </row>
    <row r="834" spans="1:181" ht="11.25" customHeight="1">
      <c r="A834" s="183"/>
      <c r="B834" s="183"/>
      <c r="C834" s="183"/>
      <c r="D834" s="183"/>
      <c r="E834" s="183"/>
      <c r="F834" s="183"/>
      <c r="G834" s="183"/>
      <c r="H834" s="183"/>
      <c r="I834" s="183"/>
      <c r="J834" s="183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  <c r="FE834" s="183"/>
      <c r="FF834" s="183"/>
      <c r="FG834" s="183"/>
      <c r="FH834" s="183"/>
      <c r="FI834" s="183"/>
      <c r="FJ834" s="183"/>
      <c r="FK834" s="183"/>
      <c r="FL834" s="183"/>
      <c r="FM834" s="183"/>
      <c r="FN834" s="183"/>
      <c r="FO834" s="183"/>
      <c r="FP834" s="183"/>
      <c r="FQ834" s="183"/>
      <c r="FR834" s="183"/>
      <c r="FS834" s="183"/>
      <c r="FT834" s="183"/>
      <c r="FU834" s="183"/>
      <c r="FV834" s="183"/>
      <c r="FW834" s="183"/>
      <c r="FX834" s="183"/>
      <c r="FY834" s="183"/>
    </row>
    <row r="835" spans="1:181" ht="11.25" customHeight="1">
      <c r="A835" s="183"/>
      <c r="B835" s="183"/>
      <c r="C835" s="183"/>
      <c r="D835" s="183"/>
      <c r="E835" s="183"/>
      <c r="F835" s="183"/>
      <c r="G835" s="183"/>
      <c r="H835" s="183"/>
      <c r="I835" s="183"/>
      <c r="J835" s="183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  <c r="FE835" s="183"/>
      <c r="FF835" s="183"/>
      <c r="FG835" s="183"/>
      <c r="FH835" s="183"/>
      <c r="FI835" s="183"/>
      <c r="FJ835" s="183"/>
      <c r="FK835" s="183"/>
      <c r="FL835" s="183"/>
      <c r="FM835" s="183"/>
      <c r="FN835" s="183"/>
      <c r="FO835" s="183"/>
      <c r="FP835" s="183"/>
      <c r="FQ835" s="183"/>
      <c r="FR835" s="183"/>
      <c r="FS835" s="183"/>
      <c r="FT835" s="183"/>
      <c r="FU835" s="183"/>
      <c r="FV835" s="183"/>
      <c r="FW835" s="183"/>
      <c r="FX835" s="183"/>
      <c r="FY835" s="183"/>
    </row>
    <row r="836" spans="1:181" ht="11.25" customHeight="1">
      <c r="A836" s="183"/>
      <c r="B836" s="183"/>
      <c r="C836" s="183"/>
      <c r="D836" s="183"/>
      <c r="E836" s="183"/>
      <c r="F836" s="183"/>
      <c r="G836" s="183"/>
      <c r="H836" s="183"/>
      <c r="I836" s="183"/>
      <c r="J836" s="183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  <c r="FE836" s="183"/>
      <c r="FF836" s="183"/>
      <c r="FG836" s="183"/>
      <c r="FH836" s="183"/>
      <c r="FI836" s="183"/>
      <c r="FJ836" s="183"/>
      <c r="FK836" s="183"/>
      <c r="FL836" s="183"/>
      <c r="FM836" s="183"/>
      <c r="FN836" s="183"/>
      <c r="FO836" s="183"/>
      <c r="FP836" s="183"/>
      <c r="FQ836" s="183"/>
      <c r="FR836" s="183"/>
      <c r="FS836" s="183"/>
      <c r="FT836" s="183"/>
      <c r="FU836" s="183"/>
      <c r="FV836" s="183"/>
      <c r="FW836" s="183"/>
      <c r="FX836" s="183"/>
      <c r="FY836" s="183"/>
    </row>
    <row r="837" spans="1:181" ht="11.25" customHeight="1">
      <c r="A837" s="183"/>
      <c r="B837" s="183"/>
      <c r="C837" s="183"/>
      <c r="D837" s="183"/>
      <c r="E837" s="183"/>
      <c r="F837" s="183"/>
      <c r="G837" s="183"/>
      <c r="H837" s="183"/>
      <c r="I837" s="183"/>
      <c r="J837" s="183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  <c r="FE837" s="183"/>
      <c r="FF837" s="183"/>
      <c r="FG837" s="183"/>
      <c r="FH837" s="183"/>
      <c r="FI837" s="183"/>
      <c r="FJ837" s="183"/>
      <c r="FK837" s="183"/>
      <c r="FL837" s="183"/>
      <c r="FM837" s="183"/>
      <c r="FN837" s="183"/>
      <c r="FO837" s="183"/>
      <c r="FP837" s="183"/>
      <c r="FQ837" s="183"/>
      <c r="FR837" s="183"/>
      <c r="FS837" s="183"/>
      <c r="FT837" s="183"/>
      <c r="FU837" s="183"/>
      <c r="FV837" s="183"/>
      <c r="FW837" s="183"/>
      <c r="FX837" s="183"/>
      <c r="FY837" s="183"/>
    </row>
    <row r="838" spans="1:181" ht="11.25" customHeight="1">
      <c r="A838" s="183"/>
      <c r="B838" s="183"/>
      <c r="C838" s="183"/>
      <c r="D838" s="183"/>
      <c r="E838" s="183"/>
      <c r="F838" s="183"/>
      <c r="G838" s="183"/>
      <c r="H838" s="183"/>
      <c r="I838" s="183"/>
      <c r="J838" s="183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  <c r="FE838" s="183"/>
      <c r="FF838" s="183"/>
      <c r="FG838" s="183"/>
      <c r="FH838" s="183"/>
      <c r="FI838" s="183"/>
      <c r="FJ838" s="183"/>
      <c r="FK838" s="183"/>
      <c r="FL838" s="183"/>
      <c r="FM838" s="183"/>
      <c r="FN838" s="183"/>
      <c r="FO838" s="183"/>
      <c r="FP838" s="183"/>
      <c r="FQ838" s="183"/>
      <c r="FR838" s="183"/>
      <c r="FS838" s="183"/>
      <c r="FT838" s="183"/>
      <c r="FU838" s="183"/>
      <c r="FV838" s="183"/>
      <c r="FW838" s="183"/>
      <c r="FX838" s="183"/>
      <c r="FY838" s="183"/>
    </row>
    <row r="839" spans="1:181" ht="11.25" customHeight="1">
      <c r="A839" s="183"/>
      <c r="B839" s="183"/>
      <c r="C839" s="183"/>
      <c r="D839" s="183"/>
      <c r="E839" s="183"/>
      <c r="F839" s="183"/>
      <c r="G839" s="183"/>
      <c r="H839" s="183"/>
      <c r="I839" s="183"/>
      <c r="J839" s="183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  <c r="FE839" s="183"/>
      <c r="FF839" s="183"/>
      <c r="FG839" s="183"/>
      <c r="FH839" s="183"/>
      <c r="FI839" s="183"/>
      <c r="FJ839" s="183"/>
      <c r="FK839" s="183"/>
      <c r="FL839" s="183"/>
      <c r="FM839" s="183"/>
      <c r="FN839" s="183"/>
      <c r="FO839" s="183"/>
      <c r="FP839" s="183"/>
      <c r="FQ839" s="183"/>
      <c r="FR839" s="183"/>
      <c r="FS839" s="183"/>
      <c r="FT839" s="183"/>
      <c r="FU839" s="183"/>
      <c r="FV839" s="183"/>
      <c r="FW839" s="183"/>
      <c r="FX839" s="183"/>
      <c r="FY839" s="183"/>
    </row>
    <row r="840" spans="1:181" ht="11.25" customHeight="1">
      <c r="A840" s="183"/>
      <c r="B840" s="183"/>
      <c r="C840" s="183"/>
      <c r="D840" s="183"/>
      <c r="E840" s="183"/>
      <c r="F840" s="183"/>
      <c r="G840" s="183"/>
      <c r="H840" s="183"/>
      <c r="I840" s="183"/>
      <c r="J840" s="183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  <c r="FE840" s="183"/>
      <c r="FF840" s="183"/>
      <c r="FG840" s="183"/>
      <c r="FH840" s="183"/>
      <c r="FI840" s="183"/>
      <c r="FJ840" s="183"/>
      <c r="FK840" s="183"/>
      <c r="FL840" s="183"/>
      <c r="FM840" s="183"/>
      <c r="FN840" s="183"/>
      <c r="FO840" s="183"/>
      <c r="FP840" s="183"/>
      <c r="FQ840" s="183"/>
      <c r="FR840" s="183"/>
      <c r="FS840" s="183"/>
      <c r="FT840" s="183"/>
      <c r="FU840" s="183"/>
      <c r="FV840" s="183"/>
      <c r="FW840" s="183"/>
      <c r="FX840" s="183"/>
      <c r="FY840" s="183"/>
    </row>
    <row r="841" spans="1:181" ht="11.25" customHeight="1">
      <c r="A841" s="183"/>
      <c r="B841" s="183"/>
      <c r="C841" s="183"/>
      <c r="D841" s="183"/>
      <c r="E841" s="183"/>
      <c r="F841" s="183"/>
      <c r="G841" s="183"/>
      <c r="H841" s="183"/>
      <c r="I841" s="183"/>
      <c r="J841" s="183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  <c r="FE841" s="183"/>
      <c r="FF841" s="183"/>
      <c r="FG841" s="183"/>
      <c r="FH841" s="183"/>
      <c r="FI841" s="183"/>
      <c r="FJ841" s="183"/>
      <c r="FK841" s="183"/>
      <c r="FL841" s="183"/>
      <c r="FM841" s="183"/>
      <c r="FN841" s="183"/>
      <c r="FO841" s="183"/>
      <c r="FP841" s="183"/>
      <c r="FQ841" s="183"/>
      <c r="FR841" s="183"/>
      <c r="FS841" s="183"/>
      <c r="FT841" s="183"/>
      <c r="FU841" s="183"/>
      <c r="FV841" s="183"/>
      <c r="FW841" s="183"/>
      <c r="FX841" s="183"/>
      <c r="FY841" s="183"/>
    </row>
    <row r="842" spans="1:181" ht="11.25" customHeight="1">
      <c r="A842" s="183"/>
      <c r="B842" s="183"/>
      <c r="C842" s="183"/>
      <c r="D842" s="183"/>
      <c r="E842" s="183"/>
      <c r="F842" s="183"/>
      <c r="G842" s="183"/>
      <c r="H842" s="183"/>
      <c r="I842" s="183"/>
      <c r="J842" s="183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  <c r="FE842" s="183"/>
      <c r="FF842" s="183"/>
      <c r="FG842" s="183"/>
      <c r="FH842" s="183"/>
      <c r="FI842" s="183"/>
      <c r="FJ842" s="183"/>
      <c r="FK842" s="183"/>
      <c r="FL842" s="183"/>
      <c r="FM842" s="183"/>
      <c r="FN842" s="183"/>
      <c r="FO842" s="183"/>
      <c r="FP842" s="183"/>
      <c r="FQ842" s="183"/>
      <c r="FR842" s="183"/>
      <c r="FS842" s="183"/>
      <c r="FT842" s="183"/>
      <c r="FU842" s="183"/>
      <c r="FV842" s="183"/>
      <c r="FW842" s="183"/>
      <c r="FX842" s="183"/>
      <c r="FY842" s="183"/>
    </row>
    <row r="843" spans="1:181" ht="11.25" customHeight="1">
      <c r="A843" s="183"/>
      <c r="B843" s="183"/>
      <c r="C843" s="183"/>
      <c r="D843" s="183"/>
      <c r="E843" s="183"/>
      <c r="F843" s="183"/>
      <c r="G843" s="183"/>
      <c r="H843" s="183"/>
      <c r="I843" s="183"/>
      <c r="J843" s="183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  <c r="FE843" s="183"/>
      <c r="FF843" s="183"/>
      <c r="FG843" s="183"/>
      <c r="FH843" s="183"/>
      <c r="FI843" s="183"/>
      <c r="FJ843" s="183"/>
      <c r="FK843" s="183"/>
      <c r="FL843" s="183"/>
      <c r="FM843" s="183"/>
      <c r="FN843" s="183"/>
      <c r="FO843" s="183"/>
      <c r="FP843" s="183"/>
      <c r="FQ843" s="183"/>
      <c r="FR843" s="183"/>
      <c r="FS843" s="183"/>
      <c r="FT843" s="183"/>
      <c r="FU843" s="183"/>
      <c r="FV843" s="183"/>
      <c r="FW843" s="183"/>
      <c r="FX843" s="183"/>
      <c r="FY843" s="183"/>
    </row>
    <row r="844" spans="1:181" ht="11.25" customHeight="1">
      <c r="A844" s="183"/>
      <c r="B844" s="183"/>
      <c r="C844" s="183"/>
      <c r="D844" s="183"/>
      <c r="E844" s="183"/>
      <c r="F844" s="183"/>
      <c r="G844" s="183"/>
      <c r="H844" s="183"/>
      <c r="I844" s="183"/>
      <c r="J844" s="183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  <c r="FE844" s="183"/>
      <c r="FF844" s="183"/>
      <c r="FG844" s="183"/>
      <c r="FH844" s="183"/>
      <c r="FI844" s="183"/>
      <c r="FJ844" s="183"/>
      <c r="FK844" s="183"/>
      <c r="FL844" s="183"/>
      <c r="FM844" s="183"/>
      <c r="FN844" s="183"/>
      <c r="FO844" s="183"/>
      <c r="FP844" s="183"/>
      <c r="FQ844" s="183"/>
      <c r="FR844" s="183"/>
      <c r="FS844" s="183"/>
      <c r="FT844" s="183"/>
      <c r="FU844" s="183"/>
      <c r="FV844" s="183"/>
      <c r="FW844" s="183"/>
      <c r="FX844" s="183"/>
      <c r="FY844" s="183"/>
    </row>
    <row r="845" spans="1:181" ht="11.25" customHeight="1">
      <c r="A845" s="183"/>
      <c r="B845" s="183"/>
      <c r="C845" s="183"/>
      <c r="D845" s="183"/>
      <c r="E845" s="183"/>
      <c r="F845" s="183"/>
      <c r="G845" s="183"/>
      <c r="H845" s="183"/>
      <c r="I845" s="183"/>
      <c r="J845" s="183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  <c r="FE845" s="183"/>
      <c r="FF845" s="183"/>
      <c r="FG845" s="183"/>
      <c r="FH845" s="183"/>
      <c r="FI845" s="183"/>
      <c r="FJ845" s="183"/>
      <c r="FK845" s="183"/>
      <c r="FL845" s="183"/>
      <c r="FM845" s="183"/>
      <c r="FN845" s="183"/>
      <c r="FO845" s="183"/>
      <c r="FP845" s="183"/>
      <c r="FQ845" s="183"/>
      <c r="FR845" s="183"/>
      <c r="FS845" s="183"/>
      <c r="FT845" s="183"/>
      <c r="FU845" s="183"/>
      <c r="FV845" s="183"/>
      <c r="FW845" s="183"/>
      <c r="FX845" s="183"/>
      <c r="FY845" s="183"/>
    </row>
    <row r="846" spans="1:181" ht="11.25" customHeight="1">
      <c r="A846" s="183"/>
      <c r="B846" s="183"/>
      <c r="C846" s="183"/>
      <c r="D846" s="183"/>
      <c r="E846" s="183"/>
      <c r="F846" s="183"/>
      <c r="G846" s="183"/>
      <c r="H846" s="183"/>
      <c r="I846" s="183"/>
      <c r="J846" s="183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  <c r="FE846" s="183"/>
      <c r="FF846" s="183"/>
      <c r="FG846" s="183"/>
      <c r="FH846" s="183"/>
      <c r="FI846" s="183"/>
      <c r="FJ846" s="183"/>
      <c r="FK846" s="183"/>
      <c r="FL846" s="183"/>
      <c r="FM846" s="183"/>
      <c r="FN846" s="183"/>
      <c r="FO846" s="183"/>
      <c r="FP846" s="183"/>
      <c r="FQ846" s="183"/>
      <c r="FR846" s="183"/>
      <c r="FS846" s="183"/>
      <c r="FT846" s="183"/>
      <c r="FU846" s="183"/>
      <c r="FV846" s="183"/>
      <c r="FW846" s="183"/>
      <c r="FX846" s="183"/>
      <c r="FY846" s="183"/>
    </row>
    <row r="847" spans="1:181" ht="11.25" customHeight="1">
      <c r="A847" s="183"/>
      <c r="B847" s="183"/>
      <c r="C847" s="183"/>
      <c r="D847" s="183"/>
      <c r="E847" s="183"/>
      <c r="F847" s="183"/>
      <c r="G847" s="183"/>
      <c r="H847" s="183"/>
      <c r="I847" s="183"/>
      <c r="J847" s="183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  <c r="FE847" s="183"/>
      <c r="FF847" s="183"/>
      <c r="FG847" s="183"/>
      <c r="FH847" s="183"/>
      <c r="FI847" s="183"/>
      <c r="FJ847" s="183"/>
      <c r="FK847" s="183"/>
      <c r="FL847" s="183"/>
      <c r="FM847" s="183"/>
      <c r="FN847" s="183"/>
      <c r="FO847" s="183"/>
      <c r="FP847" s="183"/>
      <c r="FQ847" s="183"/>
      <c r="FR847" s="183"/>
      <c r="FS847" s="183"/>
      <c r="FT847" s="183"/>
      <c r="FU847" s="183"/>
      <c r="FV847" s="183"/>
      <c r="FW847" s="183"/>
      <c r="FX847" s="183"/>
      <c r="FY847" s="183"/>
    </row>
    <row r="848" spans="1:181" ht="11.25" customHeight="1">
      <c r="A848" s="183"/>
      <c r="B848" s="183"/>
      <c r="C848" s="183"/>
      <c r="D848" s="183"/>
      <c r="E848" s="183"/>
      <c r="F848" s="183"/>
      <c r="G848" s="183"/>
      <c r="H848" s="183"/>
      <c r="I848" s="183"/>
      <c r="J848" s="183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  <c r="FE848" s="183"/>
      <c r="FF848" s="183"/>
      <c r="FG848" s="183"/>
      <c r="FH848" s="183"/>
      <c r="FI848" s="183"/>
      <c r="FJ848" s="183"/>
      <c r="FK848" s="183"/>
      <c r="FL848" s="183"/>
      <c r="FM848" s="183"/>
      <c r="FN848" s="183"/>
      <c r="FO848" s="183"/>
      <c r="FP848" s="183"/>
      <c r="FQ848" s="183"/>
      <c r="FR848" s="183"/>
      <c r="FS848" s="183"/>
      <c r="FT848" s="183"/>
      <c r="FU848" s="183"/>
      <c r="FV848" s="183"/>
      <c r="FW848" s="183"/>
      <c r="FX848" s="183"/>
      <c r="FY848" s="183"/>
    </row>
    <row r="849" spans="1:181" ht="11.25" customHeight="1">
      <c r="A849" s="183"/>
      <c r="B849" s="183"/>
      <c r="C849" s="183"/>
      <c r="D849" s="183"/>
      <c r="E849" s="183"/>
      <c r="F849" s="183"/>
      <c r="G849" s="183"/>
      <c r="H849" s="183"/>
      <c r="I849" s="183"/>
      <c r="J849" s="183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  <c r="FE849" s="183"/>
      <c r="FF849" s="183"/>
      <c r="FG849" s="183"/>
      <c r="FH849" s="183"/>
      <c r="FI849" s="183"/>
      <c r="FJ849" s="183"/>
      <c r="FK849" s="183"/>
      <c r="FL849" s="183"/>
      <c r="FM849" s="183"/>
      <c r="FN849" s="183"/>
      <c r="FO849" s="183"/>
      <c r="FP849" s="183"/>
      <c r="FQ849" s="183"/>
      <c r="FR849" s="183"/>
      <c r="FS849" s="183"/>
      <c r="FT849" s="183"/>
      <c r="FU849" s="183"/>
      <c r="FV849" s="183"/>
      <c r="FW849" s="183"/>
      <c r="FX849" s="183"/>
      <c r="FY849" s="183"/>
    </row>
    <row r="850" spans="1:181" ht="11.25" customHeight="1">
      <c r="A850" s="183"/>
      <c r="B850" s="183"/>
      <c r="C850" s="183"/>
      <c r="D850" s="183"/>
      <c r="E850" s="183"/>
      <c r="F850" s="183"/>
      <c r="G850" s="183"/>
      <c r="H850" s="183"/>
      <c r="I850" s="183"/>
      <c r="J850" s="183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  <c r="FE850" s="183"/>
      <c r="FF850" s="183"/>
      <c r="FG850" s="183"/>
      <c r="FH850" s="183"/>
      <c r="FI850" s="183"/>
      <c r="FJ850" s="183"/>
      <c r="FK850" s="183"/>
      <c r="FL850" s="183"/>
      <c r="FM850" s="183"/>
      <c r="FN850" s="183"/>
      <c r="FO850" s="183"/>
      <c r="FP850" s="183"/>
      <c r="FQ850" s="183"/>
      <c r="FR850" s="183"/>
      <c r="FS850" s="183"/>
      <c r="FT850" s="183"/>
      <c r="FU850" s="183"/>
      <c r="FV850" s="183"/>
      <c r="FW850" s="183"/>
      <c r="FX850" s="183"/>
      <c r="FY850" s="183"/>
    </row>
    <row r="851" spans="1:181" ht="11.25" customHeight="1">
      <c r="A851" s="183"/>
      <c r="B851" s="183"/>
      <c r="C851" s="183"/>
      <c r="D851" s="183"/>
      <c r="E851" s="183"/>
      <c r="F851" s="183"/>
      <c r="G851" s="183"/>
      <c r="H851" s="183"/>
      <c r="I851" s="183"/>
      <c r="J851" s="183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  <c r="FE851" s="183"/>
      <c r="FF851" s="183"/>
      <c r="FG851" s="183"/>
      <c r="FH851" s="183"/>
      <c r="FI851" s="183"/>
      <c r="FJ851" s="183"/>
      <c r="FK851" s="183"/>
      <c r="FL851" s="183"/>
      <c r="FM851" s="183"/>
      <c r="FN851" s="183"/>
      <c r="FO851" s="183"/>
      <c r="FP851" s="183"/>
      <c r="FQ851" s="183"/>
      <c r="FR851" s="183"/>
      <c r="FS851" s="183"/>
      <c r="FT851" s="183"/>
      <c r="FU851" s="183"/>
      <c r="FV851" s="183"/>
      <c r="FW851" s="183"/>
      <c r="FX851" s="183"/>
      <c r="FY851" s="183"/>
    </row>
    <row r="852" spans="1:181" ht="11.25" customHeight="1">
      <c r="A852" s="183"/>
      <c r="B852" s="183"/>
      <c r="C852" s="183"/>
      <c r="D852" s="183"/>
      <c r="E852" s="183"/>
      <c r="F852" s="183"/>
      <c r="G852" s="183"/>
      <c r="H852" s="183"/>
      <c r="I852" s="183"/>
      <c r="J852" s="183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  <c r="FE852" s="183"/>
      <c r="FF852" s="183"/>
      <c r="FG852" s="183"/>
      <c r="FH852" s="183"/>
      <c r="FI852" s="183"/>
      <c r="FJ852" s="183"/>
      <c r="FK852" s="183"/>
      <c r="FL852" s="183"/>
      <c r="FM852" s="183"/>
      <c r="FN852" s="183"/>
      <c r="FO852" s="183"/>
      <c r="FP852" s="183"/>
      <c r="FQ852" s="183"/>
      <c r="FR852" s="183"/>
      <c r="FS852" s="183"/>
      <c r="FT852" s="183"/>
      <c r="FU852" s="183"/>
      <c r="FV852" s="183"/>
      <c r="FW852" s="183"/>
      <c r="FX852" s="183"/>
      <c r="FY852" s="183"/>
    </row>
    <row r="853" spans="1:181" ht="11.25" customHeight="1">
      <c r="A853" s="183"/>
      <c r="B853" s="183"/>
      <c r="C853" s="183"/>
      <c r="D853" s="183"/>
      <c r="E853" s="183"/>
      <c r="F853" s="183"/>
      <c r="G853" s="183"/>
      <c r="H853" s="183"/>
      <c r="I853" s="183"/>
      <c r="J853" s="183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  <c r="FE853" s="183"/>
      <c r="FF853" s="183"/>
      <c r="FG853" s="183"/>
      <c r="FH853" s="183"/>
      <c r="FI853" s="183"/>
      <c r="FJ853" s="183"/>
      <c r="FK853" s="183"/>
      <c r="FL853" s="183"/>
      <c r="FM853" s="183"/>
      <c r="FN853" s="183"/>
      <c r="FO853" s="183"/>
      <c r="FP853" s="183"/>
      <c r="FQ853" s="183"/>
      <c r="FR853" s="183"/>
      <c r="FS853" s="183"/>
      <c r="FT853" s="183"/>
      <c r="FU853" s="183"/>
      <c r="FV853" s="183"/>
      <c r="FW853" s="183"/>
      <c r="FX853" s="183"/>
      <c r="FY853" s="183"/>
    </row>
    <row r="854" spans="1:181" ht="11.25" customHeight="1">
      <c r="A854" s="183"/>
      <c r="B854" s="183"/>
      <c r="C854" s="183"/>
      <c r="D854" s="183"/>
      <c r="E854" s="183"/>
      <c r="F854" s="183"/>
      <c r="G854" s="183"/>
      <c r="H854" s="183"/>
      <c r="I854" s="183"/>
      <c r="J854" s="183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  <c r="FE854" s="183"/>
      <c r="FF854" s="183"/>
      <c r="FG854" s="183"/>
      <c r="FH854" s="183"/>
      <c r="FI854" s="183"/>
      <c r="FJ854" s="183"/>
      <c r="FK854" s="183"/>
      <c r="FL854" s="183"/>
      <c r="FM854" s="183"/>
      <c r="FN854" s="183"/>
      <c r="FO854" s="183"/>
      <c r="FP854" s="183"/>
      <c r="FQ854" s="183"/>
      <c r="FR854" s="183"/>
      <c r="FS854" s="183"/>
      <c r="FT854" s="183"/>
      <c r="FU854" s="183"/>
      <c r="FV854" s="183"/>
      <c r="FW854" s="183"/>
      <c r="FX854" s="183"/>
      <c r="FY854" s="183"/>
    </row>
    <row r="855" spans="1:181" ht="11.25" customHeight="1">
      <c r="A855" s="183"/>
      <c r="B855" s="183"/>
      <c r="C855" s="183"/>
      <c r="D855" s="183"/>
      <c r="E855" s="183"/>
      <c r="F855" s="183"/>
      <c r="G855" s="183"/>
      <c r="H855" s="183"/>
      <c r="I855" s="183"/>
      <c r="J855" s="183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  <c r="FE855" s="183"/>
      <c r="FF855" s="183"/>
      <c r="FG855" s="183"/>
      <c r="FH855" s="183"/>
      <c r="FI855" s="183"/>
      <c r="FJ855" s="183"/>
      <c r="FK855" s="183"/>
      <c r="FL855" s="183"/>
      <c r="FM855" s="183"/>
      <c r="FN855" s="183"/>
      <c r="FO855" s="183"/>
      <c r="FP855" s="183"/>
      <c r="FQ855" s="183"/>
      <c r="FR855" s="183"/>
      <c r="FS855" s="183"/>
      <c r="FT855" s="183"/>
      <c r="FU855" s="183"/>
      <c r="FV855" s="183"/>
      <c r="FW855" s="183"/>
      <c r="FX855" s="183"/>
      <c r="FY855" s="183"/>
    </row>
    <row r="856" spans="1:181" ht="11.25" customHeight="1">
      <c r="A856" s="183"/>
      <c r="B856" s="183"/>
      <c r="C856" s="183"/>
      <c r="D856" s="183"/>
      <c r="E856" s="183"/>
      <c r="F856" s="183"/>
      <c r="G856" s="183"/>
      <c r="H856" s="183"/>
      <c r="I856" s="183"/>
      <c r="J856" s="183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  <c r="FE856" s="183"/>
      <c r="FF856" s="183"/>
      <c r="FG856" s="183"/>
      <c r="FH856" s="183"/>
      <c r="FI856" s="183"/>
      <c r="FJ856" s="183"/>
      <c r="FK856" s="183"/>
      <c r="FL856" s="183"/>
      <c r="FM856" s="183"/>
      <c r="FN856" s="183"/>
      <c r="FO856" s="183"/>
      <c r="FP856" s="183"/>
      <c r="FQ856" s="183"/>
      <c r="FR856" s="183"/>
      <c r="FS856" s="183"/>
      <c r="FT856" s="183"/>
      <c r="FU856" s="183"/>
      <c r="FV856" s="183"/>
      <c r="FW856" s="183"/>
      <c r="FX856" s="183"/>
      <c r="FY856" s="183"/>
    </row>
    <row r="857" spans="1:181" ht="11.25" customHeight="1">
      <c r="A857" s="183"/>
      <c r="B857" s="183"/>
      <c r="C857" s="183"/>
      <c r="D857" s="183"/>
      <c r="E857" s="183"/>
      <c r="F857" s="183"/>
      <c r="G857" s="183"/>
      <c r="H857" s="183"/>
      <c r="I857" s="183"/>
      <c r="J857" s="183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  <c r="FE857" s="183"/>
      <c r="FF857" s="183"/>
      <c r="FG857" s="183"/>
      <c r="FH857" s="183"/>
      <c r="FI857" s="183"/>
      <c r="FJ857" s="183"/>
      <c r="FK857" s="183"/>
      <c r="FL857" s="183"/>
      <c r="FM857" s="183"/>
      <c r="FN857" s="183"/>
      <c r="FO857" s="183"/>
      <c r="FP857" s="183"/>
      <c r="FQ857" s="183"/>
      <c r="FR857" s="183"/>
      <c r="FS857" s="183"/>
      <c r="FT857" s="183"/>
      <c r="FU857" s="183"/>
      <c r="FV857" s="183"/>
      <c r="FW857" s="183"/>
      <c r="FX857" s="183"/>
      <c r="FY857" s="183"/>
    </row>
    <row r="858" spans="1:181" ht="11.25" customHeight="1">
      <c r="A858" s="183"/>
      <c r="B858" s="183"/>
      <c r="C858" s="183"/>
      <c r="D858" s="183"/>
      <c r="E858" s="183"/>
      <c r="F858" s="183"/>
      <c r="G858" s="183"/>
      <c r="H858" s="183"/>
      <c r="I858" s="183"/>
      <c r="J858" s="183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  <c r="FE858" s="183"/>
      <c r="FF858" s="183"/>
      <c r="FG858" s="183"/>
      <c r="FH858" s="183"/>
      <c r="FI858" s="183"/>
      <c r="FJ858" s="183"/>
      <c r="FK858" s="183"/>
      <c r="FL858" s="183"/>
      <c r="FM858" s="183"/>
      <c r="FN858" s="183"/>
      <c r="FO858" s="183"/>
      <c r="FP858" s="183"/>
      <c r="FQ858" s="183"/>
      <c r="FR858" s="183"/>
      <c r="FS858" s="183"/>
      <c r="FT858" s="183"/>
      <c r="FU858" s="183"/>
      <c r="FV858" s="183"/>
      <c r="FW858" s="183"/>
      <c r="FX858" s="183"/>
      <c r="FY858" s="183"/>
    </row>
    <row r="859" spans="1:181" ht="11.25" customHeight="1">
      <c r="A859" s="183"/>
      <c r="B859" s="183"/>
      <c r="C859" s="183"/>
      <c r="D859" s="183"/>
      <c r="E859" s="183"/>
      <c r="F859" s="183"/>
      <c r="G859" s="183"/>
      <c r="H859" s="183"/>
      <c r="I859" s="183"/>
      <c r="J859" s="183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  <c r="FE859" s="183"/>
      <c r="FF859" s="183"/>
      <c r="FG859" s="183"/>
      <c r="FH859" s="183"/>
      <c r="FI859" s="183"/>
      <c r="FJ859" s="183"/>
      <c r="FK859" s="183"/>
      <c r="FL859" s="183"/>
      <c r="FM859" s="183"/>
      <c r="FN859" s="183"/>
      <c r="FO859" s="183"/>
      <c r="FP859" s="183"/>
      <c r="FQ859" s="183"/>
      <c r="FR859" s="183"/>
      <c r="FS859" s="183"/>
      <c r="FT859" s="183"/>
      <c r="FU859" s="183"/>
      <c r="FV859" s="183"/>
      <c r="FW859" s="183"/>
      <c r="FX859" s="183"/>
      <c r="FY859" s="183"/>
    </row>
    <row r="860" spans="1:181" ht="11.25" customHeight="1">
      <c r="A860" s="183"/>
      <c r="B860" s="183"/>
      <c r="C860" s="183"/>
      <c r="D860" s="183"/>
      <c r="E860" s="183"/>
      <c r="F860" s="183"/>
      <c r="G860" s="183"/>
      <c r="H860" s="183"/>
      <c r="I860" s="183"/>
      <c r="J860" s="183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  <c r="FE860" s="183"/>
      <c r="FF860" s="183"/>
      <c r="FG860" s="183"/>
      <c r="FH860" s="183"/>
      <c r="FI860" s="183"/>
      <c r="FJ860" s="183"/>
      <c r="FK860" s="183"/>
      <c r="FL860" s="183"/>
      <c r="FM860" s="183"/>
      <c r="FN860" s="183"/>
      <c r="FO860" s="183"/>
      <c r="FP860" s="183"/>
      <c r="FQ860" s="183"/>
      <c r="FR860" s="183"/>
      <c r="FS860" s="183"/>
      <c r="FT860" s="183"/>
      <c r="FU860" s="183"/>
      <c r="FV860" s="183"/>
      <c r="FW860" s="183"/>
      <c r="FX860" s="183"/>
      <c r="FY860" s="183"/>
    </row>
    <row r="861" spans="1:181" ht="11.25" customHeight="1">
      <c r="A861" s="183"/>
      <c r="B861" s="183"/>
      <c r="C861" s="183"/>
      <c r="D861" s="183"/>
      <c r="E861" s="183"/>
      <c r="F861" s="183"/>
      <c r="G861" s="183"/>
      <c r="H861" s="183"/>
      <c r="I861" s="183"/>
      <c r="J861" s="183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  <c r="FE861" s="183"/>
      <c r="FF861" s="183"/>
      <c r="FG861" s="183"/>
      <c r="FH861" s="183"/>
      <c r="FI861" s="183"/>
      <c r="FJ861" s="183"/>
      <c r="FK861" s="183"/>
      <c r="FL861" s="183"/>
      <c r="FM861" s="183"/>
      <c r="FN861" s="183"/>
      <c r="FO861" s="183"/>
      <c r="FP861" s="183"/>
      <c r="FQ861" s="183"/>
      <c r="FR861" s="183"/>
      <c r="FS861" s="183"/>
      <c r="FT861" s="183"/>
      <c r="FU861" s="183"/>
      <c r="FV861" s="183"/>
      <c r="FW861" s="183"/>
      <c r="FX861" s="183"/>
      <c r="FY861" s="183"/>
    </row>
    <row r="862" spans="1:181" ht="11.25" customHeight="1">
      <c r="A862" s="183"/>
      <c r="B862" s="183"/>
      <c r="C862" s="183"/>
      <c r="D862" s="183"/>
      <c r="E862" s="183"/>
      <c r="F862" s="183"/>
      <c r="G862" s="183"/>
      <c r="H862" s="183"/>
      <c r="I862" s="183"/>
      <c r="J862" s="183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  <c r="FE862" s="183"/>
      <c r="FF862" s="183"/>
      <c r="FG862" s="183"/>
      <c r="FH862" s="183"/>
      <c r="FI862" s="183"/>
      <c r="FJ862" s="183"/>
      <c r="FK862" s="183"/>
      <c r="FL862" s="183"/>
      <c r="FM862" s="183"/>
      <c r="FN862" s="183"/>
      <c r="FO862" s="183"/>
      <c r="FP862" s="183"/>
      <c r="FQ862" s="183"/>
      <c r="FR862" s="183"/>
      <c r="FS862" s="183"/>
      <c r="FT862" s="183"/>
      <c r="FU862" s="183"/>
      <c r="FV862" s="183"/>
      <c r="FW862" s="183"/>
      <c r="FX862" s="183"/>
      <c r="FY862" s="183"/>
    </row>
    <row r="863" spans="1:181" ht="11.25" customHeight="1">
      <c r="A863" s="183"/>
      <c r="B863" s="183"/>
      <c r="C863" s="183"/>
      <c r="D863" s="183"/>
      <c r="E863" s="183"/>
      <c r="F863" s="183"/>
      <c r="G863" s="183"/>
      <c r="H863" s="183"/>
      <c r="I863" s="183"/>
      <c r="J863" s="183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  <c r="FE863" s="183"/>
      <c r="FF863" s="183"/>
      <c r="FG863" s="183"/>
      <c r="FH863" s="183"/>
      <c r="FI863" s="183"/>
      <c r="FJ863" s="183"/>
      <c r="FK863" s="183"/>
      <c r="FL863" s="183"/>
      <c r="FM863" s="183"/>
      <c r="FN863" s="183"/>
      <c r="FO863" s="183"/>
      <c r="FP863" s="183"/>
      <c r="FQ863" s="183"/>
      <c r="FR863" s="183"/>
      <c r="FS863" s="183"/>
      <c r="FT863" s="183"/>
      <c r="FU863" s="183"/>
      <c r="FV863" s="183"/>
      <c r="FW863" s="183"/>
      <c r="FX863" s="183"/>
      <c r="FY863" s="183"/>
    </row>
    <row r="864" spans="1:181" ht="11.25" customHeight="1">
      <c r="A864" s="183"/>
      <c r="B864" s="183"/>
      <c r="C864" s="183"/>
      <c r="D864" s="183"/>
      <c r="E864" s="183"/>
      <c r="F864" s="183"/>
      <c r="G864" s="183"/>
      <c r="H864" s="183"/>
      <c r="I864" s="183"/>
      <c r="J864" s="183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  <c r="FE864" s="183"/>
      <c r="FF864" s="183"/>
      <c r="FG864" s="183"/>
      <c r="FH864" s="183"/>
      <c r="FI864" s="183"/>
      <c r="FJ864" s="183"/>
      <c r="FK864" s="183"/>
      <c r="FL864" s="183"/>
      <c r="FM864" s="183"/>
      <c r="FN864" s="183"/>
      <c r="FO864" s="183"/>
      <c r="FP864" s="183"/>
      <c r="FQ864" s="183"/>
      <c r="FR864" s="183"/>
      <c r="FS864" s="183"/>
      <c r="FT864" s="183"/>
      <c r="FU864" s="183"/>
      <c r="FV864" s="183"/>
      <c r="FW864" s="183"/>
      <c r="FX864" s="183"/>
      <c r="FY864" s="183"/>
    </row>
    <row r="865" spans="1:181" ht="11.25" customHeight="1">
      <c r="A865" s="183"/>
      <c r="B865" s="183"/>
      <c r="C865" s="183"/>
      <c r="D865" s="183"/>
      <c r="E865" s="183"/>
      <c r="F865" s="183"/>
      <c r="G865" s="183"/>
      <c r="H865" s="183"/>
      <c r="I865" s="183"/>
      <c r="J865" s="183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  <c r="FE865" s="183"/>
      <c r="FF865" s="183"/>
      <c r="FG865" s="183"/>
      <c r="FH865" s="183"/>
      <c r="FI865" s="183"/>
      <c r="FJ865" s="183"/>
      <c r="FK865" s="183"/>
      <c r="FL865" s="183"/>
      <c r="FM865" s="183"/>
      <c r="FN865" s="183"/>
      <c r="FO865" s="183"/>
      <c r="FP865" s="183"/>
      <c r="FQ865" s="183"/>
      <c r="FR865" s="183"/>
      <c r="FS865" s="183"/>
      <c r="FT865" s="183"/>
      <c r="FU865" s="183"/>
      <c r="FV865" s="183"/>
      <c r="FW865" s="183"/>
      <c r="FX865" s="183"/>
      <c r="FY865" s="183"/>
    </row>
    <row r="866" spans="1:181" ht="11.25" customHeight="1">
      <c r="A866" s="183"/>
      <c r="B866" s="183"/>
      <c r="C866" s="183"/>
      <c r="D866" s="183"/>
      <c r="E866" s="183"/>
      <c r="F866" s="183"/>
      <c r="G866" s="183"/>
      <c r="H866" s="183"/>
      <c r="I866" s="183"/>
      <c r="J866" s="183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  <c r="FE866" s="183"/>
      <c r="FF866" s="183"/>
      <c r="FG866" s="183"/>
      <c r="FH866" s="183"/>
      <c r="FI866" s="183"/>
      <c r="FJ866" s="183"/>
      <c r="FK866" s="183"/>
      <c r="FL866" s="183"/>
      <c r="FM866" s="183"/>
      <c r="FN866" s="183"/>
      <c r="FO866" s="183"/>
      <c r="FP866" s="183"/>
      <c r="FQ866" s="183"/>
      <c r="FR866" s="183"/>
      <c r="FS866" s="183"/>
      <c r="FT866" s="183"/>
      <c r="FU866" s="183"/>
      <c r="FV866" s="183"/>
      <c r="FW866" s="183"/>
      <c r="FX866" s="183"/>
      <c r="FY866" s="183"/>
    </row>
    <row r="867" spans="1:181" ht="11.25" customHeight="1">
      <c r="A867" s="183"/>
      <c r="B867" s="183"/>
      <c r="C867" s="183"/>
      <c r="D867" s="183"/>
      <c r="E867" s="183"/>
      <c r="F867" s="183"/>
      <c r="G867" s="183"/>
      <c r="H867" s="183"/>
      <c r="I867" s="183"/>
      <c r="J867" s="183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  <c r="FE867" s="183"/>
      <c r="FF867" s="183"/>
      <c r="FG867" s="183"/>
      <c r="FH867" s="183"/>
      <c r="FI867" s="183"/>
      <c r="FJ867" s="183"/>
      <c r="FK867" s="183"/>
      <c r="FL867" s="183"/>
      <c r="FM867" s="183"/>
      <c r="FN867" s="183"/>
      <c r="FO867" s="183"/>
      <c r="FP867" s="183"/>
      <c r="FQ867" s="183"/>
      <c r="FR867" s="183"/>
      <c r="FS867" s="183"/>
      <c r="FT867" s="183"/>
      <c r="FU867" s="183"/>
      <c r="FV867" s="183"/>
      <c r="FW867" s="183"/>
      <c r="FX867" s="183"/>
      <c r="FY867" s="183"/>
    </row>
    <row r="868" spans="1:181" ht="11.25" customHeight="1">
      <c r="A868" s="183"/>
      <c r="B868" s="183"/>
      <c r="C868" s="183"/>
      <c r="D868" s="183"/>
      <c r="E868" s="183"/>
      <c r="F868" s="183"/>
      <c r="G868" s="183"/>
      <c r="H868" s="183"/>
      <c r="I868" s="183"/>
      <c r="J868" s="183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  <c r="FE868" s="183"/>
      <c r="FF868" s="183"/>
      <c r="FG868" s="183"/>
      <c r="FH868" s="183"/>
      <c r="FI868" s="183"/>
      <c r="FJ868" s="183"/>
      <c r="FK868" s="183"/>
      <c r="FL868" s="183"/>
      <c r="FM868" s="183"/>
      <c r="FN868" s="183"/>
      <c r="FO868" s="183"/>
      <c r="FP868" s="183"/>
      <c r="FQ868" s="183"/>
      <c r="FR868" s="183"/>
      <c r="FS868" s="183"/>
      <c r="FT868" s="183"/>
      <c r="FU868" s="183"/>
      <c r="FV868" s="183"/>
      <c r="FW868" s="183"/>
      <c r="FX868" s="183"/>
      <c r="FY868" s="183"/>
    </row>
    <row r="869" spans="1:181" ht="11.25" customHeight="1">
      <c r="A869" s="183"/>
      <c r="B869" s="183"/>
      <c r="C869" s="183"/>
      <c r="D869" s="183"/>
      <c r="E869" s="183"/>
      <c r="F869" s="183"/>
      <c r="G869" s="183"/>
      <c r="H869" s="183"/>
      <c r="I869" s="183"/>
      <c r="J869" s="183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  <c r="FE869" s="183"/>
      <c r="FF869" s="183"/>
      <c r="FG869" s="183"/>
      <c r="FH869" s="183"/>
      <c r="FI869" s="183"/>
      <c r="FJ869" s="183"/>
      <c r="FK869" s="183"/>
      <c r="FL869" s="183"/>
      <c r="FM869" s="183"/>
      <c r="FN869" s="183"/>
      <c r="FO869" s="183"/>
      <c r="FP869" s="183"/>
      <c r="FQ869" s="183"/>
      <c r="FR869" s="183"/>
      <c r="FS869" s="183"/>
      <c r="FT869" s="183"/>
      <c r="FU869" s="183"/>
      <c r="FV869" s="183"/>
      <c r="FW869" s="183"/>
      <c r="FX869" s="183"/>
      <c r="FY869" s="183"/>
    </row>
    <row r="870" spans="1:181" ht="11.25" customHeight="1">
      <c r="A870" s="183"/>
      <c r="B870" s="183"/>
      <c r="C870" s="183"/>
      <c r="D870" s="183"/>
      <c r="E870" s="183"/>
      <c r="F870" s="183"/>
      <c r="G870" s="183"/>
      <c r="H870" s="183"/>
      <c r="I870" s="183"/>
      <c r="J870" s="183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  <c r="FE870" s="183"/>
      <c r="FF870" s="183"/>
      <c r="FG870" s="183"/>
      <c r="FH870" s="183"/>
      <c r="FI870" s="183"/>
      <c r="FJ870" s="183"/>
      <c r="FK870" s="183"/>
      <c r="FL870" s="183"/>
      <c r="FM870" s="183"/>
      <c r="FN870" s="183"/>
      <c r="FO870" s="183"/>
      <c r="FP870" s="183"/>
      <c r="FQ870" s="183"/>
      <c r="FR870" s="183"/>
      <c r="FS870" s="183"/>
      <c r="FT870" s="183"/>
      <c r="FU870" s="183"/>
      <c r="FV870" s="183"/>
      <c r="FW870" s="183"/>
      <c r="FX870" s="183"/>
      <c r="FY870" s="183"/>
    </row>
    <row r="871" spans="1:181" ht="11.25" customHeight="1">
      <c r="A871" s="183"/>
      <c r="B871" s="183"/>
      <c r="C871" s="183"/>
      <c r="D871" s="183"/>
      <c r="E871" s="183"/>
      <c r="F871" s="183"/>
      <c r="G871" s="183"/>
      <c r="H871" s="183"/>
      <c r="I871" s="183"/>
      <c r="J871" s="183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  <c r="FE871" s="183"/>
      <c r="FF871" s="183"/>
      <c r="FG871" s="183"/>
      <c r="FH871" s="183"/>
      <c r="FI871" s="183"/>
      <c r="FJ871" s="183"/>
      <c r="FK871" s="183"/>
      <c r="FL871" s="183"/>
      <c r="FM871" s="183"/>
      <c r="FN871" s="183"/>
      <c r="FO871" s="183"/>
      <c r="FP871" s="183"/>
      <c r="FQ871" s="183"/>
      <c r="FR871" s="183"/>
      <c r="FS871" s="183"/>
      <c r="FT871" s="183"/>
      <c r="FU871" s="183"/>
      <c r="FV871" s="183"/>
      <c r="FW871" s="183"/>
      <c r="FX871" s="183"/>
      <c r="FY871" s="183"/>
    </row>
    <row r="872" spans="1:181" ht="11.25" customHeight="1">
      <c r="A872" s="183"/>
      <c r="B872" s="183"/>
      <c r="C872" s="183"/>
      <c r="D872" s="183"/>
      <c r="E872" s="183"/>
      <c r="F872" s="183"/>
      <c r="G872" s="183"/>
      <c r="H872" s="183"/>
      <c r="I872" s="183"/>
      <c r="J872" s="183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  <c r="FE872" s="183"/>
      <c r="FF872" s="183"/>
      <c r="FG872" s="183"/>
      <c r="FH872" s="183"/>
      <c r="FI872" s="183"/>
      <c r="FJ872" s="183"/>
      <c r="FK872" s="183"/>
      <c r="FL872" s="183"/>
      <c r="FM872" s="183"/>
      <c r="FN872" s="183"/>
      <c r="FO872" s="183"/>
      <c r="FP872" s="183"/>
      <c r="FQ872" s="183"/>
      <c r="FR872" s="183"/>
      <c r="FS872" s="183"/>
      <c r="FT872" s="183"/>
      <c r="FU872" s="183"/>
      <c r="FV872" s="183"/>
      <c r="FW872" s="183"/>
      <c r="FX872" s="183"/>
      <c r="FY872" s="183"/>
    </row>
    <row r="873" spans="1:181" ht="11.25" customHeight="1">
      <c r="A873" s="183"/>
      <c r="B873" s="183"/>
      <c r="C873" s="183"/>
      <c r="D873" s="183"/>
      <c r="E873" s="183"/>
      <c r="F873" s="183"/>
      <c r="G873" s="183"/>
      <c r="H873" s="183"/>
      <c r="I873" s="183"/>
      <c r="J873" s="183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  <c r="FE873" s="183"/>
      <c r="FF873" s="183"/>
      <c r="FG873" s="183"/>
      <c r="FH873" s="183"/>
      <c r="FI873" s="183"/>
      <c r="FJ873" s="183"/>
      <c r="FK873" s="183"/>
      <c r="FL873" s="183"/>
      <c r="FM873" s="183"/>
      <c r="FN873" s="183"/>
      <c r="FO873" s="183"/>
      <c r="FP873" s="183"/>
      <c r="FQ873" s="183"/>
      <c r="FR873" s="183"/>
      <c r="FS873" s="183"/>
      <c r="FT873" s="183"/>
      <c r="FU873" s="183"/>
      <c r="FV873" s="183"/>
      <c r="FW873" s="183"/>
      <c r="FX873" s="183"/>
      <c r="FY873" s="183"/>
    </row>
    <row r="874" spans="1:181" ht="11.25" customHeight="1">
      <c r="A874" s="183"/>
      <c r="B874" s="183"/>
      <c r="C874" s="183"/>
      <c r="D874" s="183"/>
      <c r="E874" s="183"/>
      <c r="F874" s="183"/>
      <c r="G874" s="183"/>
      <c r="H874" s="183"/>
      <c r="I874" s="183"/>
      <c r="J874" s="183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  <c r="FE874" s="183"/>
      <c r="FF874" s="183"/>
      <c r="FG874" s="183"/>
      <c r="FH874" s="183"/>
      <c r="FI874" s="183"/>
      <c r="FJ874" s="183"/>
      <c r="FK874" s="183"/>
      <c r="FL874" s="183"/>
      <c r="FM874" s="183"/>
      <c r="FN874" s="183"/>
      <c r="FO874" s="183"/>
      <c r="FP874" s="183"/>
      <c r="FQ874" s="183"/>
      <c r="FR874" s="183"/>
      <c r="FS874" s="183"/>
      <c r="FT874" s="183"/>
      <c r="FU874" s="183"/>
      <c r="FV874" s="183"/>
      <c r="FW874" s="183"/>
      <c r="FX874" s="183"/>
      <c r="FY874" s="183"/>
    </row>
    <row r="875" spans="1:181" ht="11.25" customHeight="1">
      <c r="A875" s="183"/>
      <c r="B875" s="183"/>
      <c r="C875" s="183"/>
      <c r="D875" s="183"/>
      <c r="E875" s="183"/>
      <c r="F875" s="183"/>
      <c r="G875" s="183"/>
      <c r="H875" s="183"/>
      <c r="I875" s="183"/>
      <c r="J875" s="183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  <c r="FE875" s="183"/>
      <c r="FF875" s="183"/>
      <c r="FG875" s="183"/>
      <c r="FH875" s="183"/>
      <c r="FI875" s="183"/>
      <c r="FJ875" s="183"/>
      <c r="FK875" s="183"/>
      <c r="FL875" s="183"/>
      <c r="FM875" s="183"/>
      <c r="FN875" s="183"/>
      <c r="FO875" s="183"/>
      <c r="FP875" s="183"/>
      <c r="FQ875" s="183"/>
      <c r="FR875" s="183"/>
      <c r="FS875" s="183"/>
      <c r="FT875" s="183"/>
      <c r="FU875" s="183"/>
      <c r="FV875" s="183"/>
      <c r="FW875" s="183"/>
      <c r="FX875" s="183"/>
      <c r="FY875" s="183"/>
    </row>
    <row r="876" spans="1:181" ht="11.25" customHeight="1">
      <c r="A876" s="183"/>
      <c r="B876" s="183"/>
      <c r="C876" s="183"/>
      <c r="D876" s="183"/>
      <c r="E876" s="183"/>
      <c r="F876" s="183"/>
      <c r="G876" s="183"/>
      <c r="H876" s="183"/>
      <c r="I876" s="183"/>
      <c r="J876" s="183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  <c r="FE876" s="183"/>
      <c r="FF876" s="183"/>
      <c r="FG876" s="183"/>
      <c r="FH876" s="183"/>
      <c r="FI876" s="183"/>
      <c r="FJ876" s="183"/>
      <c r="FK876" s="183"/>
      <c r="FL876" s="183"/>
      <c r="FM876" s="183"/>
      <c r="FN876" s="183"/>
      <c r="FO876" s="183"/>
      <c r="FP876" s="183"/>
      <c r="FQ876" s="183"/>
      <c r="FR876" s="183"/>
      <c r="FS876" s="183"/>
      <c r="FT876" s="183"/>
      <c r="FU876" s="183"/>
      <c r="FV876" s="183"/>
      <c r="FW876" s="183"/>
      <c r="FX876" s="183"/>
      <c r="FY876" s="183"/>
    </row>
    <row r="877" spans="1:181" ht="11.25" customHeight="1">
      <c r="A877" s="183"/>
      <c r="B877" s="183"/>
      <c r="C877" s="183"/>
      <c r="D877" s="183"/>
      <c r="E877" s="183"/>
      <c r="F877" s="183"/>
      <c r="G877" s="183"/>
      <c r="H877" s="183"/>
      <c r="I877" s="183"/>
      <c r="J877" s="183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  <c r="FE877" s="183"/>
      <c r="FF877" s="183"/>
      <c r="FG877" s="183"/>
      <c r="FH877" s="183"/>
      <c r="FI877" s="183"/>
      <c r="FJ877" s="183"/>
      <c r="FK877" s="183"/>
      <c r="FL877" s="183"/>
      <c r="FM877" s="183"/>
      <c r="FN877" s="183"/>
      <c r="FO877" s="183"/>
      <c r="FP877" s="183"/>
      <c r="FQ877" s="183"/>
      <c r="FR877" s="183"/>
      <c r="FS877" s="183"/>
      <c r="FT877" s="183"/>
      <c r="FU877" s="183"/>
      <c r="FV877" s="183"/>
      <c r="FW877" s="183"/>
      <c r="FX877" s="183"/>
      <c r="FY877" s="183"/>
    </row>
    <row r="878" spans="1:181" ht="11.25" customHeight="1">
      <c r="A878" s="183"/>
      <c r="B878" s="183"/>
      <c r="C878" s="183"/>
      <c r="D878" s="183"/>
      <c r="E878" s="183"/>
      <c r="F878" s="183"/>
      <c r="G878" s="183"/>
      <c r="H878" s="183"/>
      <c r="I878" s="183"/>
      <c r="J878" s="183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  <c r="FE878" s="183"/>
      <c r="FF878" s="183"/>
      <c r="FG878" s="183"/>
      <c r="FH878" s="183"/>
      <c r="FI878" s="183"/>
      <c r="FJ878" s="183"/>
      <c r="FK878" s="183"/>
      <c r="FL878" s="183"/>
      <c r="FM878" s="183"/>
      <c r="FN878" s="183"/>
      <c r="FO878" s="183"/>
      <c r="FP878" s="183"/>
      <c r="FQ878" s="183"/>
      <c r="FR878" s="183"/>
      <c r="FS878" s="183"/>
      <c r="FT878" s="183"/>
      <c r="FU878" s="183"/>
      <c r="FV878" s="183"/>
      <c r="FW878" s="183"/>
      <c r="FX878" s="183"/>
      <c r="FY878" s="183"/>
    </row>
    <row r="879" spans="1:181" ht="11.25" customHeight="1">
      <c r="A879" s="183"/>
      <c r="B879" s="183"/>
      <c r="C879" s="183"/>
      <c r="D879" s="183"/>
      <c r="E879" s="183"/>
      <c r="F879" s="183"/>
      <c r="G879" s="183"/>
      <c r="H879" s="183"/>
      <c r="I879" s="183"/>
      <c r="J879" s="183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  <c r="FE879" s="183"/>
      <c r="FF879" s="183"/>
      <c r="FG879" s="183"/>
      <c r="FH879" s="183"/>
      <c r="FI879" s="183"/>
      <c r="FJ879" s="183"/>
      <c r="FK879" s="183"/>
      <c r="FL879" s="183"/>
      <c r="FM879" s="183"/>
      <c r="FN879" s="183"/>
      <c r="FO879" s="183"/>
      <c r="FP879" s="183"/>
      <c r="FQ879" s="183"/>
      <c r="FR879" s="183"/>
      <c r="FS879" s="183"/>
      <c r="FT879" s="183"/>
      <c r="FU879" s="183"/>
      <c r="FV879" s="183"/>
      <c r="FW879" s="183"/>
      <c r="FX879" s="183"/>
      <c r="FY879" s="183"/>
    </row>
    <row r="880" spans="1:181" ht="11.25" customHeight="1">
      <c r="A880" s="183"/>
      <c r="B880" s="183"/>
      <c r="C880" s="183"/>
      <c r="D880" s="183"/>
      <c r="E880" s="183"/>
      <c r="F880" s="183"/>
      <c r="G880" s="183"/>
      <c r="H880" s="183"/>
      <c r="I880" s="183"/>
      <c r="J880" s="183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  <c r="FE880" s="183"/>
      <c r="FF880" s="183"/>
      <c r="FG880" s="183"/>
      <c r="FH880" s="183"/>
      <c r="FI880" s="183"/>
      <c r="FJ880" s="183"/>
      <c r="FK880" s="183"/>
      <c r="FL880" s="183"/>
      <c r="FM880" s="183"/>
      <c r="FN880" s="183"/>
      <c r="FO880" s="183"/>
      <c r="FP880" s="183"/>
      <c r="FQ880" s="183"/>
      <c r="FR880" s="183"/>
      <c r="FS880" s="183"/>
      <c r="FT880" s="183"/>
      <c r="FU880" s="183"/>
      <c r="FV880" s="183"/>
      <c r="FW880" s="183"/>
      <c r="FX880" s="183"/>
      <c r="FY880" s="183"/>
    </row>
    <row r="881" spans="1:181" ht="11.25" customHeight="1">
      <c r="A881" s="183"/>
      <c r="B881" s="183"/>
      <c r="C881" s="183"/>
      <c r="D881" s="183"/>
      <c r="E881" s="183"/>
      <c r="F881" s="183"/>
      <c r="G881" s="183"/>
      <c r="H881" s="183"/>
      <c r="I881" s="183"/>
      <c r="J881" s="183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  <c r="FE881" s="183"/>
      <c r="FF881" s="183"/>
      <c r="FG881" s="183"/>
      <c r="FH881" s="183"/>
      <c r="FI881" s="183"/>
      <c r="FJ881" s="183"/>
      <c r="FK881" s="183"/>
      <c r="FL881" s="183"/>
      <c r="FM881" s="183"/>
      <c r="FN881" s="183"/>
      <c r="FO881" s="183"/>
      <c r="FP881" s="183"/>
      <c r="FQ881" s="183"/>
      <c r="FR881" s="183"/>
      <c r="FS881" s="183"/>
      <c r="FT881" s="183"/>
      <c r="FU881" s="183"/>
      <c r="FV881" s="183"/>
      <c r="FW881" s="183"/>
      <c r="FX881" s="183"/>
      <c r="FY881" s="183"/>
    </row>
    <row r="882" spans="1:181" ht="11.25" customHeight="1">
      <c r="A882" s="183"/>
      <c r="B882" s="183"/>
      <c r="C882" s="183"/>
      <c r="D882" s="183"/>
      <c r="E882" s="183"/>
      <c r="F882" s="183"/>
      <c r="G882" s="183"/>
      <c r="H882" s="183"/>
      <c r="I882" s="183"/>
      <c r="J882" s="183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  <c r="FE882" s="183"/>
      <c r="FF882" s="183"/>
      <c r="FG882" s="183"/>
      <c r="FH882" s="183"/>
      <c r="FI882" s="183"/>
      <c r="FJ882" s="183"/>
      <c r="FK882" s="183"/>
      <c r="FL882" s="183"/>
      <c r="FM882" s="183"/>
      <c r="FN882" s="183"/>
      <c r="FO882" s="183"/>
      <c r="FP882" s="183"/>
      <c r="FQ882" s="183"/>
      <c r="FR882" s="183"/>
      <c r="FS882" s="183"/>
      <c r="FT882" s="183"/>
      <c r="FU882" s="183"/>
      <c r="FV882" s="183"/>
      <c r="FW882" s="183"/>
      <c r="FX882" s="183"/>
      <c r="FY882" s="183"/>
    </row>
    <row r="883" spans="1:181" ht="11.25" customHeight="1">
      <c r="A883" s="183"/>
      <c r="B883" s="183"/>
      <c r="C883" s="183"/>
      <c r="D883" s="183"/>
      <c r="E883" s="183"/>
      <c r="F883" s="183"/>
      <c r="G883" s="183"/>
      <c r="H883" s="183"/>
      <c r="I883" s="183"/>
      <c r="J883" s="183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  <c r="FE883" s="183"/>
      <c r="FF883" s="183"/>
      <c r="FG883" s="183"/>
      <c r="FH883" s="183"/>
      <c r="FI883" s="183"/>
      <c r="FJ883" s="183"/>
      <c r="FK883" s="183"/>
      <c r="FL883" s="183"/>
      <c r="FM883" s="183"/>
      <c r="FN883" s="183"/>
      <c r="FO883" s="183"/>
      <c r="FP883" s="183"/>
      <c r="FQ883" s="183"/>
      <c r="FR883" s="183"/>
      <c r="FS883" s="183"/>
      <c r="FT883" s="183"/>
      <c r="FU883" s="183"/>
      <c r="FV883" s="183"/>
      <c r="FW883" s="183"/>
      <c r="FX883" s="183"/>
      <c r="FY883" s="183"/>
    </row>
    <row r="884" spans="1:181" ht="11.25" customHeight="1">
      <c r="A884" s="183"/>
      <c r="B884" s="183"/>
      <c r="C884" s="183"/>
      <c r="D884" s="183"/>
      <c r="E884" s="183"/>
      <c r="F884" s="183"/>
      <c r="G884" s="183"/>
      <c r="H884" s="183"/>
      <c r="I884" s="183"/>
      <c r="J884" s="183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  <c r="FE884" s="183"/>
      <c r="FF884" s="183"/>
      <c r="FG884" s="183"/>
      <c r="FH884" s="183"/>
      <c r="FI884" s="183"/>
      <c r="FJ884" s="183"/>
      <c r="FK884" s="183"/>
      <c r="FL884" s="183"/>
      <c r="FM884" s="183"/>
      <c r="FN884" s="183"/>
      <c r="FO884" s="183"/>
      <c r="FP884" s="183"/>
      <c r="FQ884" s="183"/>
      <c r="FR884" s="183"/>
      <c r="FS884" s="183"/>
      <c r="FT884" s="183"/>
      <c r="FU884" s="183"/>
      <c r="FV884" s="183"/>
      <c r="FW884" s="183"/>
      <c r="FX884" s="183"/>
      <c r="FY884" s="183"/>
    </row>
    <row r="885" spans="1:181" ht="11.25" customHeight="1">
      <c r="A885" s="183"/>
      <c r="B885" s="183"/>
      <c r="C885" s="183"/>
      <c r="D885" s="183"/>
      <c r="E885" s="183"/>
      <c r="F885" s="183"/>
      <c r="G885" s="183"/>
      <c r="H885" s="183"/>
      <c r="I885" s="183"/>
      <c r="J885" s="183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  <c r="FE885" s="183"/>
      <c r="FF885" s="183"/>
      <c r="FG885" s="183"/>
      <c r="FH885" s="183"/>
      <c r="FI885" s="183"/>
      <c r="FJ885" s="183"/>
      <c r="FK885" s="183"/>
      <c r="FL885" s="183"/>
      <c r="FM885" s="183"/>
      <c r="FN885" s="183"/>
      <c r="FO885" s="183"/>
      <c r="FP885" s="183"/>
      <c r="FQ885" s="183"/>
      <c r="FR885" s="183"/>
      <c r="FS885" s="183"/>
      <c r="FT885" s="183"/>
      <c r="FU885" s="183"/>
      <c r="FV885" s="183"/>
      <c r="FW885" s="183"/>
      <c r="FX885" s="183"/>
      <c r="FY885" s="183"/>
    </row>
    <row r="886" spans="1:181" ht="11.25" customHeight="1">
      <c r="A886" s="183"/>
      <c r="B886" s="183"/>
      <c r="C886" s="183"/>
      <c r="D886" s="183"/>
      <c r="E886" s="183"/>
      <c r="F886" s="183"/>
      <c r="G886" s="183"/>
      <c r="H886" s="183"/>
      <c r="I886" s="183"/>
      <c r="J886" s="183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  <c r="FE886" s="183"/>
      <c r="FF886" s="183"/>
      <c r="FG886" s="183"/>
      <c r="FH886" s="183"/>
      <c r="FI886" s="183"/>
      <c r="FJ886" s="183"/>
      <c r="FK886" s="183"/>
      <c r="FL886" s="183"/>
      <c r="FM886" s="183"/>
      <c r="FN886" s="183"/>
      <c r="FO886" s="183"/>
      <c r="FP886" s="183"/>
      <c r="FQ886" s="183"/>
      <c r="FR886" s="183"/>
      <c r="FS886" s="183"/>
      <c r="FT886" s="183"/>
      <c r="FU886" s="183"/>
      <c r="FV886" s="183"/>
      <c r="FW886" s="183"/>
      <c r="FX886" s="183"/>
      <c r="FY886" s="183"/>
    </row>
    <row r="887" spans="1:181" ht="11.25" customHeight="1">
      <c r="A887" s="183"/>
      <c r="B887" s="183"/>
      <c r="C887" s="183"/>
      <c r="D887" s="183"/>
      <c r="E887" s="183"/>
      <c r="F887" s="183"/>
      <c r="G887" s="183"/>
      <c r="H887" s="183"/>
      <c r="I887" s="183"/>
      <c r="J887" s="183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  <c r="FE887" s="183"/>
      <c r="FF887" s="183"/>
      <c r="FG887" s="183"/>
      <c r="FH887" s="183"/>
      <c r="FI887" s="183"/>
      <c r="FJ887" s="183"/>
      <c r="FK887" s="183"/>
      <c r="FL887" s="183"/>
      <c r="FM887" s="183"/>
      <c r="FN887" s="183"/>
      <c r="FO887" s="183"/>
      <c r="FP887" s="183"/>
      <c r="FQ887" s="183"/>
      <c r="FR887" s="183"/>
      <c r="FS887" s="183"/>
      <c r="FT887" s="183"/>
      <c r="FU887" s="183"/>
      <c r="FV887" s="183"/>
      <c r="FW887" s="183"/>
      <c r="FX887" s="183"/>
      <c r="FY887" s="183"/>
    </row>
    <row r="888" spans="1:181" ht="11.25" customHeight="1">
      <c r="A888" s="183"/>
      <c r="B888" s="183"/>
      <c r="C888" s="183"/>
      <c r="D888" s="183"/>
      <c r="E888" s="183"/>
      <c r="F888" s="183"/>
      <c r="G888" s="183"/>
      <c r="H888" s="183"/>
      <c r="I888" s="183"/>
      <c r="J888" s="183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  <c r="FE888" s="183"/>
      <c r="FF888" s="183"/>
      <c r="FG888" s="183"/>
      <c r="FH888" s="183"/>
      <c r="FI888" s="183"/>
      <c r="FJ888" s="183"/>
      <c r="FK888" s="183"/>
      <c r="FL888" s="183"/>
      <c r="FM888" s="183"/>
      <c r="FN888" s="183"/>
      <c r="FO888" s="183"/>
      <c r="FP888" s="183"/>
      <c r="FQ888" s="183"/>
      <c r="FR888" s="183"/>
      <c r="FS888" s="183"/>
      <c r="FT888" s="183"/>
      <c r="FU888" s="183"/>
      <c r="FV888" s="183"/>
      <c r="FW888" s="183"/>
      <c r="FX888" s="183"/>
      <c r="FY888" s="183"/>
    </row>
    <row r="889" spans="1:181" ht="11.25" customHeight="1">
      <c r="A889" s="183"/>
      <c r="B889" s="183"/>
      <c r="C889" s="183"/>
      <c r="D889" s="183"/>
      <c r="E889" s="183"/>
      <c r="F889" s="183"/>
      <c r="G889" s="183"/>
      <c r="H889" s="183"/>
      <c r="I889" s="183"/>
      <c r="J889" s="183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  <c r="FE889" s="183"/>
      <c r="FF889" s="183"/>
      <c r="FG889" s="183"/>
      <c r="FH889" s="183"/>
      <c r="FI889" s="183"/>
      <c r="FJ889" s="183"/>
      <c r="FK889" s="183"/>
      <c r="FL889" s="183"/>
      <c r="FM889" s="183"/>
      <c r="FN889" s="183"/>
      <c r="FO889" s="183"/>
      <c r="FP889" s="183"/>
      <c r="FQ889" s="183"/>
      <c r="FR889" s="183"/>
      <c r="FS889" s="183"/>
      <c r="FT889" s="183"/>
      <c r="FU889" s="183"/>
      <c r="FV889" s="183"/>
      <c r="FW889" s="183"/>
      <c r="FX889" s="183"/>
      <c r="FY889" s="183"/>
    </row>
    <row r="890" spans="1:181" ht="11.25" customHeight="1">
      <c r="A890" s="183"/>
      <c r="B890" s="183"/>
      <c r="C890" s="183"/>
      <c r="D890" s="183"/>
      <c r="E890" s="183"/>
      <c r="F890" s="183"/>
      <c r="G890" s="183"/>
      <c r="H890" s="183"/>
      <c r="I890" s="183"/>
      <c r="J890" s="183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  <c r="FE890" s="183"/>
      <c r="FF890" s="183"/>
      <c r="FG890" s="183"/>
      <c r="FH890" s="183"/>
      <c r="FI890" s="183"/>
      <c r="FJ890" s="183"/>
      <c r="FK890" s="183"/>
      <c r="FL890" s="183"/>
      <c r="FM890" s="183"/>
      <c r="FN890" s="183"/>
      <c r="FO890" s="183"/>
      <c r="FP890" s="183"/>
      <c r="FQ890" s="183"/>
      <c r="FR890" s="183"/>
      <c r="FS890" s="183"/>
      <c r="FT890" s="183"/>
      <c r="FU890" s="183"/>
      <c r="FV890" s="183"/>
      <c r="FW890" s="183"/>
      <c r="FX890" s="183"/>
      <c r="FY890" s="183"/>
    </row>
    <row r="891" spans="1:181" ht="11.25" customHeight="1">
      <c r="A891" s="183"/>
      <c r="B891" s="183"/>
      <c r="C891" s="183"/>
      <c r="D891" s="183"/>
      <c r="E891" s="183"/>
      <c r="F891" s="183"/>
      <c r="G891" s="183"/>
      <c r="H891" s="183"/>
      <c r="I891" s="183"/>
      <c r="J891" s="183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  <c r="FE891" s="183"/>
      <c r="FF891" s="183"/>
      <c r="FG891" s="183"/>
      <c r="FH891" s="183"/>
      <c r="FI891" s="183"/>
      <c r="FJ891" s="183"/>
      <c r="FK891" s="183"/>
      <c r="FL891" s="183"/>
      <c r="FM891" s="183"/>
      <c r="FN891" s="183"/>
      <c r="FO891" s="183"/>
      <c r="FP891" s="183"/>
      <c r="FQ891" s="183"/>
      <c r="FR891" s="183"/>
      <c r="FS891" s="183"/>
      <c r="FT891" s="183"/>
      <c r="FU891" s="183"/>
      <c r="FV891" s="183"/>
      <c r="FW891" s="183"/>
      <c r="FX891" s="183"/>
      <c r="FY891" s="183"/>
    </row>
    <row r="892" spans="1:181" ht="11.25" customHeight="1">
      <c r="A892" s="183"/>
      <c r="B892" s="183"/>
      <c r="C892" s="183"/>
      <c r="D892" s="183"/>
      <c r="E892" s="183"/>
      <c r="F892" s="183"/>
      <c r="G892" s="183"/>
      <c r="H892" s="183"/>
      <c r="I892" s="183"/>
      <c r="J892" s="183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  <c r="FE892" s="183"/>
      <c r="FF892" s="183"/>
      <c r="FG892" s="183"/>
      <c r="FH892" s="183"/>
      <c r="FI892" s="183"/>
      <c r="FJ892" s="183"/>
      <c r="FK892" s="183"/>
      <c r="FL892" s="183"/>
      <c r="FM892" s="183"/>
      <c r="FN892" s="183"/>
      <c r="FO892" s="183"/>
      <c r="FP892" s="183"/>
      <c r="FQ892" s="183"/>
      <c r="FR892" s="183"/>
      <c r="FS892" s="183"/>
      <c r="FT892" s="183"/>
      <c r="FU892" s="183"/>
      <c r="FV892" s="183"/>
      <c r="FW892" s="183"/>
      <c r="FX892" s="183"/>
      <c r="FY892" s="183"/>
    </row>
    <row r="893" spans="1:181" ht="11.25" customHeight="1">
      <c r="A893" s="183"/>
      <c r="B893" s="183"/>
      <c r="C893" s="183"/>
      <c r="D893" s="183"/>
      <c r="E893" s="183"/>
      <c r="F893" s="183"/>
      <c r="G893" s="183"/>
      <c r="H893" s="183"/>
      <c r="I893" s="183"/>
      <c r="J893" s="183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  <c r="FE893" s="183"/>
      <c r="FF893" s="183"/>
      <c r="FG893" s="183"/>
      <c r="FH893" s="183"/>
      <c r="FI893" s="183"/>
      <c r="FJ893" s="183"/>
      <c r="FK893" s="183"/>
      <c r="FL893" s="183"/>
      <c r="FM893" s="183"/>
      <c r="FN893" s="183"/>
      <c r="FO893" s="183"/>
      <c r="FP893" s="183"/>
      <c r="FQ893" s="183"/>
      <c r="FR893" s="183"/>
      <c r="FS893" s="183"/>
      <c r="FT893" s="183"/>
      <c r="FU893" s="183"/>
      <c r="FV893" s="183"/>
      <c r="FW893" s="183"/>
      <c r="FX893" s="183"/>
      <c r="FY893" s="183"/>
    </row>
    <row r="894" spans="1:181" ht="11.25" customHeight="1">
      <c r="A894" s="183"/>
      <c r="B894" s="183"/>
      <c r="C894" s="183"/>
      <c r="D894" s="183"/>
      <c r="E894" s="183"/>
      <c r="F894" s="183"/>
      <c r="G894" s="183"/>
      <c r="H894" s="183"/>
      <c r="I894" s="183"/>
      <c r="J894" s="183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  <c r="FE894" s="183"/>
      <c r="FF894" s="183"/>
      <c r="FG894" s="183"/>
      <c r="FH894" s="183"/>
      <c r="FI894" s="183"/>
      <c r="FJ894" s="183"/>
      <c r="FK894" s="183"/>
      <c r="FL894" s="183"/>
      <c r="FM894" s="183"/>
      <c r="FN894" s="183"/>
      <c r="FO894" s="183"/>
      <c r="FP894" s="183"/>
      <c r="FQ894" s="183"/>
      <c r="FR894" s="183"/>
      <c r="FS894" s="183"/>
      <c r="FT894" s="183"/>
      <c r="FU894" s="183"/>
      <c r="FV894" s="183"/>
      <c r="FW894" s="183"/>
      <c r="FX894" s="183"/>
      <c r="FY894" s="183"/>
    </row>
    <row r="895" spans="1:181" ht="11.25" customHeight="1">
      <c r="A895" s="183"/>
      <c r="B895" s="183"/>
      <c r="C895" s="183"/>
      <c r="D895" s="183"/>
      <c r="E895" s="183"/>
      <c r="F895" s="183"/>
      <c r="G895" s="183"/>
      <c r="H895" s="183"/>
      <c r="I895" s="183"/>
      <c r="J895" s="183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  <c r="FE895" s="183"/>
      <c r="FF895" s="183"/>
      <c r="FG895" s="183"/>
      <c r="FH895" s="183"/>
      <c r="FI895" s="183"/>
      <c r="FJ895" s="183"/>
      <c r="FK895" s="183"/>
      <c r="FL895" s="183"/>
      <c r="FM895" s="183"/>
      <c r="FN895" s="183"/>
      <c r="FO895" s="183"/>
      <c r="FP895" s="183"/>
      <c r="FQ895" s="183"/>
      <c r="FR895" s="183"/>
      <c r="FS895" s="183"/>
      <c r="FT895" s="183"/>
      <c r="FU895" s="183"/>
      <c r="FV895" s="183"/>
      <c r="FW895" s="183"/>
      <c r="FX895" s="183"/>
      <c r="FY895" s="183"/>
    </row>
    <row r="896" spans="1:181" ht="11.25" customHeight="1">
      <c r="A896" s="183"/>
      <c r="B896" s="183"/>
      <c r="C896" s="183"/>
      <c r="D896" s="183"/>
      <c r="E896" s="183"/>
      <c r="F896" s="183"/>
      <c r="G896" s="183"/>
      <c r="H896" s="183"/>
      <c r="I896" s="183"/>
      <c r="J896" s="183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  <c r="FE896" s="183"/>
      <c r="FF896" s="183"/>
      <c r="FG896" s="183"/>
      <c r="FH896" s="183"/>
      <c r="FI896" s="183"/>
      <c r="FJ896" s="183"/>
      <c r="FK896" s="183"/>
      <c r="FL896" s="183"/>
      <c r="FM896" s="183"/>
      <c r="FN896" s="183"/>
      <c r="FO896" s="183"/>
      <c r="FP896" s="183"/>
      <c r="FQ896" s="183"/>
      <c r="FR896" s="183"/>
      <c r="FS896" s="183"/>
      <c r="FT896" s="183"/>
      <c r="FU896" s="183"/>
      <c r="FV896" s="183"/>
      <c r="FW896" s="183"/>
      <c r="FX896" s="183"/>
      <c r="FY896" s="183"/>
    </row>
    <row r="897" spans="1:181" ht="11.25" customHeight="1">
      <c r="A897" s="183"/>
      <c r="B897" s="183"/>
      <c r="C897" s="183"/>
      <c r="D897" s="183"/>
      <c r="E897" s="183"/>
      <c r="F897" s="183"/>
      <c r="G897" s="183"/>
      <c r="H897" s="183"/>
      <c r="I897" s="183"/>
      <c r="J897" s="183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  <c r="FE897" s="183"/>
      <c r="FF897" s="183"/>
      <c r="FG897" s="183"/>
      <c r="FH897" s="183"/>
      <c r="FI897" s="183"/>
      <c r="FJ897" s="183"/>
      <c r="FK897" s="183"/>
      <c r="FL897" s="183"/>
      <c r="FM897" s="183"/>
      <c r="FN897" s="183"/>
      <c r="FO897" s="183"/>
      <c r="FP897" s="183"/>
      <c r="FQ897" s="183"/>
      <c r="FR897" s="183"/>
      <c r="FS897" s="183"/>
      <c r="FT897" s="183"/>
      <c r="FU897" s="183"/>
      <c r="FV897" s="183"/>
      <c r="FW897" s="183"/>
      <c r="FX897" s="183"/>
      <c r="FY897" s="183"/>
    </row>
    <row r="898" spans="1:181" ht="11.25" customHeight="1">
      <c r="A898" s="183"/>
      <c r="B898" s="183"/>
      <c r="C898" s="183"/>
      <c r="D898" s="183"/>
      <c r="E898" s="183"/>
      <c r="F898" s="183"/>
      <c r="G898" s="183"/>
      <c r="H898" s="183"/>
      <c r="I898" s="183"/>
      <c r="J898" s="183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  <c r="FE898" s="183"/>
      <c r="FF898" s="183"/>
      <c r="FG898" s="183"/>
      <c r="FH898" s="183"/>
      <c r="FI898" s="183"/>
      <c r="FJ898" s="183"/>
      <c r="FK898" s="183"/>
      <c r="FL898" s="183"/>
      <c r="FM898" s="183"/>
      <c r="FN898" s="183"/>
      <c r="FO898" s="183"/>
      <c r="FP898" s="183"/>
      <c r="FQ898" s="183"/>
      <c r="FR898" s="183"/>
      <c r="FS898" s="183"/>
      <c r="FT898" s="183"/>
      <c r="FU898" s="183"/>
      <c r="FV898" s="183"/>
      <c r="FW898" s="183"/>
      <c r="FX898" s="183"/>
      <c r="FY898" s="183"/>
    </row>
    <row r="899" spans="1:181" ht="11.25" customHeight="1">
      <c r="A899" s="183"/>
      <c r="B899" s="183"/>
      <c r="C899" s="183"/>
      <c r="D899" s="183"/>
      <c r="E899" s="183"/>
      <c r="F899" s="183"/>
      <c r="G899" s="183"/>
      <c r="H899" s="183"/>
      <c r="I899" s="183"/>
      <c r="J899" s="183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  <c r="FE899" s="183"/>
      <c r="FF899" s="183"/>
      <c r="FG899" s="183"/>
      <c r="FH899" s="183"/>
      <c r="FI899" s="183"/>
      <c r="FJ899" s="183"/>
      <c r="FK899" s="183"/>
      <c r="FL899" s="183"/>
      <c r="FM899" s="183"/>
      <c r="FN899" s="183"/>
      <c r="FO899" s="183"/>
      <c r="FP899" s="183"/>
      <c r="FQ899" s="183"/>
      <c r="FR899" s="183"/>
      <c r="FS899" s="183"/>
      <c r="FT899" s="183"/>
      <c r="FU899" s="183"/>
      <c r="FV899" s="183"/>
      <c r="FW899" s="183"/>
      <c r="FX899" s="183"/>
      <c r="FY899" s="183"/>
    </row>
    <row r="900" spans="1:181" ht="11.25" customHeight="1">
      <c r="A900" s="183"/>
      <c r="B900" s="183"/>
      <c r="C900" s="183"/>
      <c r="D900" s="183"/>
      <c r="E900" s="183"/>
      <c r="F900" s="183"/>
      <c r="G900" s="183"/>
      <c r="H900" s="183"/>
      <c r="I900" s="183"/>
      <c r="J900" s="183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  <c r="FE900" s="183"/>
      <c r="FF900" s="183"/>
      <c r="FG900" s="183"/>
      <c r="FH900" s="183"/>
      <c r="FI900" s="183"/>
      <c r="FJ900" s="183"/>
      <c r="FK900" s="183"/>
      <c r="FL900" s="183"/>
      <c r="FM900" s="183"/>
      <c r="FN900" s="183"/>
      <c r="FO900" s="183"/>
      <c r="FP900" s="183"/>
      <c r="FQ900" s="183"/>
      <c r="FR900" s="183"/>
      <c r="FS900" s="183"/>
      <c r="FT900" s="183"/>
      <c r="FU900" s="183"/>
      <c r="FV900" s="183"/>
      <c r="FW900" s="183"/>
      <c r="FX900" s="183"/>
      <c r="FY900" s="183"/>
    </row>
    <row r="901" spans="1:181" ht="11.25" customHeight="1">
      <c r="A901" s="183"/>
      <c r="B901" s="183"/>
      <c r="C901" s="183"/>
      <c r="D901" s="183"/>
      <c r="E901" s="183"/>
      <c r="F901" s="183"/>
      <c r="G901" s="183"/>
      <c r="H901" s="183"/>
      <c r="I901" s="183"/>
      <c r="J901" s="183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  <c r="FE901" s="183"/>
      <c r="FF901" s="183"/>
      <c r="FG901" s="183"/>
      <c r="FH901" s="183"/>
      <c r="FI901" s="183"/>
      <c r="FJ901" s="183"/>
      <c r="FK901" s="183"/>
      <c r="FL901" s="183"/>
      <c r="FM901" s="183"/>
      <c r="FN901" s="183"/>
      <c r="FO901" s="183"/>
      <c r="FP901" s="183"/>
      <c r="FQ901" s="183"/>
      <c r="FR901" s="183"/>
      <c r="FS901" s="183"/>
      <c r="FT901" s="183"/>
      <c r="FU901" s="183"/>
      <c r="FV901" s="183"/>
      <c r="FW901" s="183"/>
      <c r="FX901" s="183"/>
      <c r="FY901" s="183"/>
    </row>
    <row r="902" spans="1:181" ht="11.25" customHeight="1">
      <c r="A902" s="183"/>
      <c r="B902" s="183"/>
      <c r="C902" s="183"/>
      <c r="D902" s="183"/>
      <c r="E902" s="183"/>
      <c r="F902" s="183"/>
      <c r="G902" s="183"/>
      <c r="H902" s="183"/>
      <c r="I902" s="183"/>
      <c r="J902" s="183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  <c r="FE902" s="183"/>
      <c r="FF902" s="183"/>
      <c r="FG902" s="183"/>
      <c r="FH902" s="183"/>
      <c r="FI902" s="183"/>
      <c r="FJ902" s="183"/>
      <c r="FK902" s="183"/>
      <c r="FL902" s="183"/>
      <c r="FM902" s="183"/>
      <c r="FN902" s="183"/>
      <c r="FO902" s="183"/>
      <c r="FP902" s="183"/>
      <c r="FQ902" s="183"/>
      <c r="FR902" s="183"/>
      <c r="FS902" s="183"/>
      <c r="FT902" s="183"/>
      <c r="FU902" s="183"/>
      <c r="FV902" s="183"/>
      <c r="FW902" s="183"/>
      <c r="FX902" s="183"/>
      <c r="FY902" s="183"/>
    </row>
    <row r="903" spans="1:181" ht="11.25" customHeight="1">
      <c r="A903" s="183"/>
      <c r="B903" s="183"/>
      <c r="C903" s="183"/>
      <c r="D903" s="183"/>
      <c r="E903" s="183"/>
      <c r="F903" s="183"/>
      <c r="G903" s="183"/>
      <c r="H903" s="183"/>
      <c r="I903" s="183"/>
      <c r="J903" s="183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  <c r="FE903" s="183"/>
      <c r="FF903" s="183"/>
      <c r="FG903" s="183"/>
      <c r="FH903" s="183"/>
      <c r="FI903" s="183"/>
      <c r="FJ903" s="183"/>
      <c r="FK903" s="183"/>
      <c r="FL903" s="183"/>
      <c r="FM903" s="183"/>
      <c r="FN903" s="183"/>
      <c r="FO903" s="183"/>
      <c r="FP903" s="183"/>
      <c r="FQ903" s="183"/>
      <c r="FR903" s="183"/>
      <c r="FS903" s="183"/>
      <c r="FT903" s="183"/>
      <c r="FU903" s="183"/>
      <c r="FV903" s="183"/>
      <c r="FW903" s="183"/>
      <c r="FX903" s="183"/>
      <c r="FY903" s="183"/>
    </row>
    <row r="904" spans="1:181" ht="11.25" customHeight="1">
      <c r="A904" s="183"/>
      <c r="B904" s="183"/>
      <c r="C904" s="183"/>
      <c r="D904" s="183"/>
      <c r="E904" s="183"/>
      <c r="F904" s="183"/>
      <c r="G904" s="183"/>
      <c r="H904" s="183"/>
      <c r="I904" s="183"/>
      <c r="J904" s="183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  <c r="FE904" s="183"/>
      <c r="FF904" s="183"/>
      <c r="FG904" s="183"/>
      <c r="FH904" s="183"/>
      <c r="FI904" s="183"/>
      <c r="FJ904" s="183"/>
      <c r="FK904" s="183"/>
      <c r="FL904" s="183"/>
      <c r="FM904" s="183"/>
      <c r="FN904" s="183"/>
      <c r="FO904" s="183"/>
      <c r="FP904" s="183"/>
      <c r="FQ904" s="183"/>
      <c r="FR904" s="183"/>
      <c r="FS904" s="183"/>
      <c r="FT904" s="183"/>
      <c r="FU904" s="183"/>
      <c r="FV904" s="183"/>
      <c r="FW904" s="183"/>
      <c r="FX904" s="183"/>
      <c r="FY904" s="183"/>
    </row>
    <row r="905" spans="1:181" ht="11.25" customHeight="1">
      <c r="A905" s="183"/>
      <c r="B905" s="183"/>
      <c r="C905" s="183"/>
      <c r="D905" s="183"/>
      <c r="E905" s="183"/>
      <c r="F905" s="183"/>
      <c r="G905" s="183"/>
      <c r="H905" s="183"/>
      <c r="I905" s="183"/>
      <c r="J905" s="183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  <c r="FE905" s="183"/>
      <c r="FF905" s="183"/>
      <c r="FG905" s="183"/>
      <c r="FH905" s="183"/>
      <c r="FI905" s="183"/>
      <c r="FJ905" s="183"/>
      <c r="FK905" s="183"/>
      <c r="FL905" s="183"/>
      <c r="FM905" s="183"/>
      <c r="FN905" s="183"/>
      <c r="FO905" s="183"/>
      <c r="FP905" s="183"/>
      <c r="FQ905" s="183"/>
      <c r="FR905" s="183"/>
      <c r="FS905" s="183"/>
      <c r="FT905" s="183"/>
      <c r="FU905" s="183"/>
      <c r="FV905" s="183"/>
      <c r="FW905" s="183"/>
      <c r="FX905" s="183"/>
      <c r="FY905" s="183"/>
    </row>
    <row r="906" spans="1:181" ht="11.25" customHeight="1">
      <c r="A906" s="183"/>
      <c r="B906" s="183"/>
      <c r="C906" s="183"/>
      <c r="D906" s="183"/>
      <c r="E906" s="183"/>
      <c r="F906" s="183"/>
      <c r="G906" s="183"/>
      <c r="H906" s="183"/>
      <c r="I906" s="183"/>
      <c r="J906" s="183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  <c r="FE906" s="183"/>
      <c r="FF906" s="183"/>
      <c r="FG906" s="183"/>
      <c r="FH906" s="183"/>
      <c r="FI906" s="183"/>
      <c r="FJ906" s="183"/>
      <c r="FK906" s="183"/>
      <c r="FL906" s="183"/>
      <c r="FM906" s="183"/>
      <c r="FN906" s="183"/>
      <c r="FO906" s="183"/>
      <c r="FP906" s="183"/>
      <c r="FQ906" s="183"/>
      <c r="FR906" s="183"/>
      <c r="FS906" s="183"/>
      <c r="FT906" s="183"/>
      <c r="FU906" s="183"/>
      <c r="FV906" s="183"/>
      <c r="FW906" s="183"/>
      <c r="FX906" s="183"/>
      <c r="FY906" s="183"/>
    </row>
    <row r="907" spans="1:181" ht="11.25" customHeight="1">
      <c r="A907" s="183"/>
      <c r="B907" s="183"/>
      <c r="C907" s="183"/>
      <c r="D907" s="183"/>
      <c r="E907" s="183"/>
      <c r="F907" s="183"/>
      <c r="G907" s="183"/>
      <c r="H907" s="183"/>
      <c r="I907" s="183"/>
      <c r="J907" s="183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  <c r="FE907" s="183"/>
      <c r="FF907" s="183"/>
      <c r="FG907" s="183"/>
      <c r="FH907" s="183"/>
      <c r="FI907" s="183"/>
      <c r="FJ907" s="183"/>
      <c r="FK907" s="183"/>
      <c r="FL907" s="183"/>
      <c r="FM907" s="183"/>
      <c r="FN907" s="183"/>
      <c r="FO907" s="183"/>
      <c r="FP907" s="183"/>
      <c r="FQ907" s="183"/>
      <c r="FR907" s="183"/>
      <c r="FS907" s="183"/>
      <c r="FT907" s="183"/>
      <c r="FU907" s="183"/>
      <c r="FV907" s="183"/>
      <c r="FW907" s="183"/>
      <c r="FX907" s="183"/>
      <c r="FY907" s="183"/>
    </row>
    <row r="908" spans="1:181" ht="11.25" customHeight="1">
      <c r="A908" s="183"/>
      <c r="B908" s="183"/>
      <c r="C908" s="183"/>
      <c r="D908" s="183"/>
      <c r="E908" s="183"/>
      <c r="F908" s="183"/>
      <c r="G908" s="183"/>
      <c r="H908" s="183"/>
      <c r="I908" s="183"/>
      <c r="J908" s="183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  <c r="FE908" s="183"/>
      <c r="FF908" s="183"/>
      <c r="FG908" s="183"/>
      <c r="FH908" s="183"/>
      <c r="FI908" s="183"/>
      <c r="FJ908" s="183"/>
      <c r="FK908" s="183"/>
      <c r="FL908" s="183"/>
      <c r="FM908" s="183"/>
      <c r="FN908" s="183"/>
      <c r="FO908" s="183"/>
      <c r="FP908" s="183"/>
      <c r="FQ908" s="183"/>
      <c r="FR908" s="183"/>
      <c r="FS908" s="183"/>
      <c r="FT908" s="183"/>
      <c r="FU908" s="183"/>
      <c r="FV908" s="183"/>
      <c r="FW908" s="183"/>
      <c r="FX908" s="183"/>
      <c r="FY908" s="183"/>
    </row>
    <row r="909" spans="1:181" ht="11.25" customHeight="1">
      <c r="A909" s="183"/>
      <c r="B909" s="183"/>
      <c r="C909" s="183"/>
      <c r="D909" s="183"/>
      <c r="E909" s="183"/>
      <c r="F909" s="183"/>
      <c r="G909" s="183"/>
      <c r="H909" s="183"/>
      <c r="I909" s="183"/>
      <c r="J909" s="183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  <c r="FE909" s="183"/>
      <c r="FF909" s="183"/>
      <c r="FG909" s="183"/>
      <c r="FH909" s="183"/>
      <c r="FI909" s="183"/>
      <c r="FJ909" s="183"/>
      <c r="FK909" s="183"/>
      <c r="FL909" s="183"/>
      <c r="FM909" s="183"/>
      <c r="FN909" s="183"/>
      <c r="FO909" s="183"/>
      <c r="FP909" s="183"/>
      <c r="FQ909" s="183"/>
      <c r="FR909" s="183"/>
      <c r="FS909" s="183"/>
      <c r="FT909" s="183"/>
      <c r="FU909" s="183"/>
      <c r="FV909" s="183"/>
      <c r="FW909" s="183"/>
      <c r="FX909" s="183"/>
      <c r="FY909" s="183"/>
    </row>
    <row r="910" spans="1:181" ht="11.25" customHeight="1">
      <c r="A910" s="183"/>
      <c r="B910" s="183"/>
      <c r="C910" s="183"/>
      <c r="D910" s="183"/>
      <c r="E910" s="183"/>
      <c r="F910" s="183"/>
      <c r="G910" s="183"/>
      <c r="H910" s="183"/>
      <c r="I910" s="183"/>
      <c r="J910" s="183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  <c r="FE910" s="183"/>
      <c r="FF910" s="183"/>
      <c r="FG910" s="183"/>
      <c r="FH910" s="183"/>
      <c r="FI910" s="183"/>
      <c r="FJ910" s="183"/>
      <c r="FK910" s="183"/>
      <c r="FL910" s="183"/>
      <c r="FM910" s="183"/>
      <c r="FN910" s="183"/>
      <c r="FO910" s="183"/>
      <c r="FP910" s="183"/>
      <c r="FQ910" s="183"/>
      <c r="FR910" s="183"/>
      <c r="FS910" s="183"/>
      <c r="FT910" s="183"/>
      <c r="FU910" s="183"/>
      <c r="FV910" s="183"/>
      <c r="FW910" s="183"/>
      <c r="FX910" s="183"/>
      <c r="FY910" s="183"/>
    </row>
    <row r="911" spans="1:181" ht="11.25" customHeight="1">
      <c r="A911" s="183"/>
      <c r="B911" s="183"/>
      <c r="C911" s="183"/>
      <c r="D911" s="183"/>
      <c r="E911" s="183"/>
      <c r="F911" s="183"/>
      <c r="G911" s="183"/>
      <c r="H911" s="183"/>
      <c r="I911" s="183"/>
      <c r="J911" s="183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  <c r="FE911" s="183"/>
      <c r="FF911" s="183"/>
      <c r="FG911" s="183"/>
      <c r="FH911" s="183"/>
      <c r="FI911" s="183"/>
      <c r="FJ911" s="183"/>
      <c r="FK911" s="183"/>
      <c r="FL911" s="183"/>
      <c r="FM911" s="183"/>
      <c r="FN911" s="183"/>
      <c r="FO911" s="183"/>
      <c r="FP911" s="183"/>
      <c r="FQ911" s="183"/>
      <c r="FR911" s="183"/>
      <c r="FS911" s="183"/>
      <c r="FT911" s="183"/>
      <c r="FU911" s="183"/>
      <c r="FV911" s="183"/>
      <c r="FW911" s="183"/>
      <c r="FX911" s="183"/>
      <c r="FY911" s="183"/>
    </row>
    <row r="912" spans="1:181" ht="11.25" customHeight="1">
      <c r="A912" s="183"/>
      <c r="B912" s="183"/>
      <c r="C912" s="183"/>
      <c r="D912" s="183"/>
      <c r="E912" s="183"/>
      <c r="F912" s="183"/>
      <c r="G912" s="183"/>
      <c r="H912" s="183"/>
      <c r="I912" s="183"/>
      <c r="J912" s="183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  <c r="FE912" s="183"/>
      <c r="FF912" s="183"/>
      <c r="FG912" s="183"/>
      <c r="FH912" s="183"/>
      <c r="FI912" s="183"/>
      <c r="FJ912" s="183"/>
      <c r="FK912" s="183"/>
      <c r="FL912" s="183"/>
      <c r="FM912" s="183"/>
      <c r="FN912" s="183"/>
      <c r="FO912" s="183"/>
      <c r="FP912" s="183"/>
      <c r="FQ912" s="183"/>
      <c r="FR912" s="183"/>
      <c r="FS912" s="183"/>
      <c r="FT912" s="183"/>
      <c r="FU912" s="183"/>
      <c r="FV912" s="183"/>
      <c r="FW912" s="183"/>
      <c r="FX912" s="183"/>
      <c r="FY912" s="183"/>
    </row>
    <row r="913" spans="1:181" ht="11.25" customHeight="1">
      <c r="A913" s="183"/>
      <c r="B913" s="183"/>
      <c r="C913" s="183"/>
      <c r="D913" s="183"/>
      <c r="E913" s="183"/>
      <c r="F913" s="183"/>
      <c r="G913" s="183"/>
      <c r="H913" s="183"/>
      <c r="I913" s="183"/>
      <c r="J913" s="183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  <c r="FE913" s="183"/>
      <c r="FF913" s="183"/>
      <c r="FG913" s="183"/>
      <c r="FH913" s="183"/>
      <c r="FI913" s="183"/>
      <c r="FJ913" s="183"/>
      <c r="FK913" s="183"/>
      <c r="FL913" s="183"/>
      <c r="FM913" s="183"/>
      <c r="FN913" s="183"/>
      <c r="FO913" s="183"/>
      <c r="FP913" s="183"/>
      <c r="FQ913" s="183"/>
      <c r="FR913" s="183"/>
      <c r="FS913" s="183"/>
      <c r="FT913" s="183"/>
      <c r="FU913" s="183"/>
      <c r="FV913" s="183"/>
      <c r="FW913" s="183"/>
      <c r="FX913" s="183"/>
      <c r="FY913" s="183"/>
    </row>
    <row r="914" spans="1:181" ht="11.25" customHeight="1">
      <c r="A914" s="183"/>
      <c r="B914" s="183"/>
      <c r="C914" s="183"/>
      <c r="D914" s="183"/>
      <c r="E914" s="183"/>
      <c r="F914" s="183"/>
      <c r="G914" s="183"/>
      <c r="H914" s="183"/>
      <c r="I914" s="183"/>
      <c r="J914" s="183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  <c r="FE914" s="183"/>
      <c r="FF914" s="183"/>
      <c r="FG914" s="183"/>
      <c r="FH914" s="183"/>
      <c r="FI914" s="183"/>
      <c r="FJ914" s="183"/>
      <c r="FK914" s="183"/>
      <c r="FL914" s="183"/>
      <c r="FM914" s="183"/>
      <c r="FN914" s="183"/>
      <c r="FO914" s="183"/>
      <c r="FP914" s="183"/>
      <c r="FQ914" s="183"/>
      <c r="FR914" s="183"/>
      <c r="FS914" s="183"/>
      <c r="FT914" s="183"/>
      <c r="FU914" s="183"/>
      <c r="FV914" s="183"/>
      <c r="FW914" s="183"/>
      <c r="FX914" s="183"/>
      <c r="FY914" s="183"/>
    </row>
    <row r="915" spans="1:181" ht="11.25" customHeight="1">
      <c r="A915" s="183"/>
      <c r="B915" s="183"/>
      <c r="C915" s="183"/>
      <c r="D915" s="183"/>
      <c r="E915" s="183"/>
      <c r="F915" s="183"/>
      <c r="G915" s="183"/>
      <c r="H915" s="183"/>
      <c r="I915" s="183"/>
      <c r="J915" s="183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  <c r="FE915" s="183"/>
      <c r="FF915" s="183"/>
      <c r="FG915" s="183"/>
      <c r="FH915" s="183"/>
      <c r="FI915" s="183"/>
      <c r="FJ915" s="183"/>
      <c r="FK915" s="183"/>
      <c r="FL915" s="183"/>
      <c r="FM915" s="183"/>
      <c r="FN915" s="183"/>
      <c r="FO915" s="183"/>
      <c r="FP915" s="183"/>
      <c r="FQ915" s="183"/>
      <c r="FR915" s="183"/>
      <c r="FS915" s="183"/>
      <c r="FT915" s="183"/>
      <c r="FU915" s="183"/>
      <c r="FV915" s="183"/>
      <c r="FW915" s="183"/>
      <c r="FX915" s="183"/>
      <c r="FY915" s="183"/>
    </row>
    <row r="916" spans="1:181" ht="11.25" customHeight="1">
      <c r="A916" s="183"/>
      <c r="B916" s="183"/>
      <c r="C916" s="183"/>
      <c r="D916" s="183"/>
      <c r="E916" s="183"/>
      <c r="F916" s="183"/>
      <c r="G916" s="183"/>
      <c r="H916" s="183"/>
      <c r="I916" s="183"/>
      <c r="J916" s="183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  <c r="FE916" s="183"/>
      <c r="FF916" s="183"/>
      <c r="FG916" s="183"/>
      <c r="FH916" s="183"/>
      <c r="FI916" s="183"/>
      <c r="FJ916" s="183"/>
      <c r="FK916" s="183"/>
      <c r="FL916" s="183"/>
      <c r="FM916" s="183"/>
      <c r="FN916" s="183"/>
      <c r="FO916" s="183"/>
      <c r="FP916" s="183"/>
      <c r="FQ916" s="183"/>
      <c r="FR916" s="183"/>
      <c r="FS916" s="183"/>
      <c r="FT916" s="183"/>
      <c r="FU916" s="183"/>
      <c r="FV916" s="183"/>
      <c r="FW916" s="183"/>
      <c r="FX916" s="183"/>
      <c r="FY916" s="183"/>
    </row>
    <row r="917" spans="1:181" ht="11.25" customHeight="1">
      <c r="A917" s="183"/>
      <c r="B917" s="183"/>
      <c r="C917" s="183"/>
      <c r="D917" s="183"/>
      <c r="E917" s="183"/>
      <c r="F917" s="183"/>
      <c r="G917" s="183"/>
      <c r="H917" s="183"/>
      <c r="I917" s="183"/>
      <c r="J917" s="183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  <c r="FE917" s="183"/>
      <c r="FF917" s="183"/>
      <c r="FG917" s="183"/>
      <c r="FH917" s="183"/>
      <c r="FI917" s="183"/>
      <c r="FJ917" s="183"/>
      <c r="FK917" s="183"/>
      <c r="FL917" s="183"/>
      <c r="FM917" s="183"/>
      <c r="FN917" s="183"/>
      <c r="FO917" s="183"/>
      <c r="FP917" s="183"/>
      <c r="FQ917" s="183"/>
      <c r="FR917" s="183"/>
      <c r="FS917" s="183"/>
      <c r="FT917" s="183"/>
      <c r="FU917" s="183"/>
      <c r="FV917" s="183"/>
      <c r="FW917" s="183"/>
      <c r="FX917" s="183"/>
      <c r="FY917" s="183"/>
    </row>
    <row r="918" spans="1:181" ht="11.25" customHeight="1">
      <c r="A918" s="183"/>
      <c r="B918" s="183"/>
      <c r="C918" s="183"/>
      <c r="D918" s="183"/>
      <c r="E918" s="183"/>
      <c r="F918" s="183"/>
      <c r="G918" s="183"/>
      <c r="H918" s="183"/>
      <c r="I918" s="183"/>
      <c r="J918" s="183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  <c r="FE918" s="183"/>
      <c r="FF918" s="183"/>
      <c r="FG918" s="183"/>
      <c r="FH918" s="183"/>
      <c r="FI918" s="183"/>
      <c r="FJ918" s="183"/>
      <c r="FK918" s="183"/>
      <c r="FL918" s="183"/>
      <c r="FM918" s="183"/>
      <c r="FN918" s="183"/>
      <c r="FO918" s="183"/>
      <c r="FP918" s="183"/>
      <c r="FQ918" s="183"/>
      <c r="FR918" s="183"/>
      <c r="FS918" s="183"/>
      <c r="FT918" s="183"/>
      <c r="FU918" s="183"/>
      <c r="FV918" s="183"/>
      <c r="FW918" s="183"/>
      <c r="FX918" s="183"/>
      <c r="FY918" s="183"/>
    </row>
    <row r="919" spans="1:181" ht="11.25" customHeight="1">
      <c r="A919" s="183"/>
      <c r="B919" s="183"/>
      <c r="C919" s="183"/>
      <c r="D919" s="183"/>
      <c r="E919" s="183"/>
      <c r="F919" s="183"/>
      <c r="G919" s="183"/>
      <c r="H919" s="183"/>
      <c r="I919" s="183"/>
      <c r="J919" s="183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  <c r="FE919" s="183"/>
      <c r="FF919" s="183"/>
      <c r="FG919" s="183"/>
      <c r="FH919" s="183"/>
      <c r="FI919" s="183"/>
      <c r="FJ919" s="183"/>
      <c r="FK919" s="183"/>
      <c r="FL919" s="183"/>
      <c r="FM919" s="183"/>
      <c r="FN919" s="183"/>
      <c r="FO919" s="183"/>
      <c r="FP919" s="183"/>
      <c r="FQ919" s="183"/>
      <c r="FR919" s="183"/>
      <c r="FS919" s="183"/>
      <c r="FT919" s="183"/>
      <c r="FU919" s="183"/>
      <c r="FV919" s="183"/>
      <c r="FW919" s="183"/>
      <c r="FX919" s="183"/>
      <c r="FY919" s="183"/>
    </row>
    <row r="920" spans="1:181" ht="11.25" customHeight="1">
      <c r="A920" s="183"/>
      <c r="B920" s="183"/>
      <c r="C920" s="183"/>
      <c r="D920" s="183"/>
      <c r="E920" s="183"/>
      <c r="F920" s="183"/>
      <c r="G920" s="183"/>
      <c r="H920" s="183"/>
      <c r="I920" s="183"/>
      <c r="J920" s="183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  <c r="FE920" s="183"/>
      <c r="FF920" s="183"/>
      <c r="FG920" s="183"/>
      <c r="FH920" s="183"/>
      <c r="FI920" s="183"/>
      <c r="FJ920" s="183"/>
      <c r="FK920" s="183"/>
      <c r="FL920" s="183"/>
      <c r="FM920" s="183"/>
      <c r="FN920" s="183"/>
      <c r="FO920" s="183"/>
      <c r="FP920" s="183"/>
      <c r="FQ920" s="183"/>
      <c r="FR920" s="183"/>
      <c r="FS920" s="183"/>
      <c r="FT920" s="183"/>
      <c r="FU920" s="183"/>
      <c r="FV920" s="183"/>
      <c r="FW920" s="183"/>
      <c r="FX920" s="183"/>
      <c r="FY920" s="183"/>
    </row>
    <row r="921" spans="1:181" ht="11.25" customHeight="1">
      <c r="A921" s="183"/>
      <c r="B921" s="183"/>
      <c r="C921" s="183"/>
      <c r="D921" s="183"/>
      <c r="E921" s="183"/>
      <c r="F921" s="183"/>
      <c r="G921" s="183"/>
      <c r="H921" s="183"/>
      <c r="I921" s="183"/>
      <c r="J921" s="183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  <c r="FE921" s="183"/>
      <c r="FF921" s="183"/>
      <c r="FG921" s="183"/>
      <c r="FH921" s="183"/>
      <c r="FI921" s="183"/>
      <c r="FJ921" s="183"/>
      <c r="FK921" s="183"/>
      <c r="FL921" s="183"/>
      <c r="FM921" s="183"/>
      <c r="FN921" s="183"/>
      <c r="FO921" s="183"/>
      <c r="FP921" s="183"/>
      <c r="FQ921" s="183"/>
      <c r="FR921" s="183"/>
      <c r="FS921" s="183"/>
      <c r="FT921" s="183"/>
      <c r="FU921" s="183"/>
      <c r="FV921" s="183"/>
      <c r="FW921" s="183"/>
      <c r="FX921" s="183"/>
      <c r="FY921" s="183"/>
    </row>
    <row r="922" spans="1:181" ht="11.25" customHeight="1">
      <c r="A922" s="183"/>
      <c r="B922" s="183"/>
      <c r="C922" s="183"/>
      <c r="D922" s="183"/>
      <c r="E922" s="183"/>
      <c r="F922" s="183"/>
      <c r="G922" s="183"/>
      <c r="H922" s="183"/>
      <c r="I922" s="183"/>
      <c r="J922" s="183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  <c r="FE922" s="183"/>
      <c r="FF922" s="183"/>
      <c r="FG922" s="183"/>
      <c r="FH922" s="183"/>
      <c r="FI922" s="183"/>
      <c r="FJ922" s="183"/>
      <c r="FK922" s="183"/>
      <c r="FL922" s="183"/>
      <c r="FM922" s="183"/>
      <c r="FN922" s="183"/>
      <c r="FO922" s="183"/>
      <c r="FP922" s="183"/>
      <c r="FQ922" s="183"/>
      <c r="FR922" s="183"/>
      <c r="FS922" s="183"/>
      <c r="FT922" s="183"/>
      <c r="FU922" s="183"/>
      <c r="FV922" s="183"/>
      <c r="FW922" s="183"/>
      <c r="FX922" s="183"/>
      <c r="FY922" s="183"/>
    </row>
    <row r="923" spans="1:181" ht="11.25" customHeight="1">
      <c r="A923" s="183"/>
      <c r="B923" s="183"/>
      <c r="C923" s="183"/>
      <c r="D923" s="183"/>
      <c r="E923" s="183"/>
      <c r="F923" s="183"/>
      <c r="G923" s="183"/>
      <c r="H923" s="183"/>
      <c r="I923" s="183"/>
      <c r="J923" s="183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  <c r="FE923" s="183"/>
      <c r="FF923" s="183"/>
      <c r="FG923" s="183"/>
      <c r="FH923" s="183"/>
      <c r="FI923" s="183"/>
      <c r="FJ923" s="183"/>
      <c r="FK923" s="183"/>
      <c r="FL923" s="183"/>
      <c r="FM923" s="183"/>
      <c r="FN923" s="183"/>
      <c r="FO923" s="183"/>
      <c r="FP923" s="183"/>
      <c r="FQ923" s="183"/>
      <c r="FR923" s="183"/>
      <c r="FS923" s="183"/>
      <c r="FT923" s="183"/>
      <c r="FU923" s="183"/>
      <c r="FV923" s="183"/>
      <c r="FW923" s="183"/>
      <c r="FX923" s="183"/>
      <c r="FY923" s="183"/>
    </row>
    <row r="924" spans="1:181" ht="11.25" customHeight="1">
      <c r="A924" s="183"/>
      <c r="B924" s="183"/>
      <c r="C924" s="183"/>
      <c r="D924" s="183"/>
      <c r="E924" s="183"/>
      <c r="F924" s="183"/>
      <c r="G924" s="183"/>
      <c r="H924" s="183"/>
      <c r="I924" s="183"/>
      <c r="J924" s="183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  <c r="FE924" s="183"/>
      <c r="FF924" s="183"/>
      <c r="FG924" s="183"/>
      <c r="FH924" s="183"/>
      <c r="FI924" s="183"/>
      <c r="FJ924" s="183"/>
      <c r="FK924" s="183"/>
      <c r="FL924" s="183"/>
      <c r="FM924" s="183"/>
      <c r="FN924" s="183"/>
      <c r="FO924" s="183"/>
      <c r="FP924" s="183"/>
      <c r="FQ924" s="183"/>
      <c r="FR924" s="183"/>
      <c r="FS924" s="183"/>
      <c r="FT924" s="183"/>
      <c r="FU924" s="183"/>
      <c r="FV924" s="183"/>
      <c r="FW924" s="183"/>
      <c r="FX924" s="183"/>
      <c r="FY924" s="183"/>
    </row>
    <row r="925" spans="1:181" ht="11.25" customHeight="1">
      <c r="A925" s="183"/>
      <c r="B925" s="183"/>
      <c r="C925" s="183"/>
      <c r="D925" s="183"/>
      <c r="E925" s="183"/>
      <c r="F925" s="183"/>
      <c r="G925" s="183"/>
      <c r="H925" s="183"/>
      <c r="I925" s="183"/>
      <c r="J925" s="183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  <c r="FE925" s="183"/>
      <c r="FF925" s="183"/>
      <c r="FG925" s="183"/>
      <c r="FH925" s="183"/>
      <c r="FI925" s="183"/>
      <c r="FJ925" s="183"/>
      <c r="FK925" s="183"/>
      <c r="FL925" s="183"/>
      <c r="FM925" s="183"/>
      <c r="FN925" s="183"/>
      <c r="FO925" s="183"/>
      <c r="FP925" s="183"/>
      <c r="FQ925" s="183"/>
      <c r="FR925" s="183"/>
      <c r="FS925" s="183"/>
      <c r="FT925" s="183"/>
      <c r="FU925" s="183"/>
      <c r="FV925" s="183"/>
      <c r="FW925" s="183"/>
      <c r="FX925" s="183"/>
      <c r="FY925" s="183"/>
    </row>
    <row r="926" spans="1:181" ht="11.25" customHeight="1">
      <c r="A926" s="183"/>
      <c r="B926" s="183"/>
      <c r="C926" s="183"/>
      <c r="D926" s="183"/>
      <c r="E926" s="183"/>
      <c r="F926" s="183"/>
      <c r="G926" s="183"/>
      <c r="H926" s="183"/>
      <c r="I926" s="183"/>
      <c r="J926" s="183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  <c r="FE926" s="183"/>
      <c r="FF926" s="183"/>
      <c r="FG926" s="183"/>
      <c r="FH926" s="183"/>
      <c r="FI926" s="183"/>
      <c r="FJ926" s="183"/>
      <c r="FK926" s="183"/>
      <c r="FL926" s="183"/>
      <c r="FM926" s="183"/>
      <c r="FN926" s="183"/>
      <c r="FO926" s="183"/>
      <c r="FP926" s="183"/>
      <c r="FQ926" s="183"/>
      <c r="FR926" s="183"/>
      <c r="FS926" s="183"/>
      <c r="FT926" s="183"/>
      <c r="FU926" s="183"/>
      <c r="FV926" s="183"/>
      <c r="FW926" s="183"/>
      <c r="FX926" s="183"/>
      <c r="FY926" s="183"/>
    </row>
    <row r="927" spans="1:181" ht="11.25" customHeight="1">
      <c r="A927" s="183"/>
      <c r="B927" s="183"/>
      <c r="C927" s="183"/>
      <c r="D927" s="183"/>
      <c r="E927" s="183"/>
      <c r="F927" s="183"/>
      <c r="G927" s="183"/>
      <c r="H927" s="183"/>
      <c r="I927" s="183"/>
      <c r="J927" s="183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  <c r="FE927" s="183"/>
      <c r="FF927" s="183"/>
      <c r="FG927" s="183"/>
      <c r="FH927" s="183"/>
      <c r="FI927" s="183"/>
      <c r="FJ927" s="183"/>
      <c r="FK927" s="183"/>
      <c r="FL927" s="183"/>
      <c r="FM927" s="183"/>
      <c r="FN927" s="183"/>
      <c r="FO927" s="183"/>
      <c r="FP927" s="183"/>
      <c r="FQ927" s="183"/>
      <c r="FR927" s="183"/>
      <c r="FS927" s="183"/>
      <c r="FT927" s="183"/>
      <c r="FU927" s="183"/>
      <c r="FV927" s="183"/>
      <c r="FW927" s="183"/>
      <c r="FX927" s="183"/>
      <c r="FY927" s="183"/>
    </row>
    <row r="928" spans="1:181" ht="11.25" customHeight="1">
      <c r="A928" s="183"/>
      <c r="B928" s="183"/>
      <c r="C928" s="183"/>
      <c r="D928" s="183"/>
      <c r="E928" s="183"/>
      <c r="F928" s="183"/>
      <c r="G928" s="183"/>
      <c r="H928" s="183"/>
      <c r="I928" s="183"/>
      <c r="J928" s="183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  <c r="FE928" s="183"/>
      <c r="FF928" s="183"/>
      <c r="FG928" s="183"/>
      <c r="FH928" s="183"/>
      <c r="FI928" s="183"/>
      <c r="FJ928" s="183"/>
      <c r="FK928" s="183"/>
      <c r="FL928" s="183"/>
      <c r="FM928" s="183"/>
      <c r="FN928" s="183"/>
      <c r="FO928" s="183"/>
      <c r="FP928" s="183"/>
      <c r="FQ928" s="183"/>
      <c r="FR928" s="183"/>
      <c r="FS928" s="183"/>
      <c r="FT928" s="183"/>
      <c r="FU928" s="183"/>
      <c r="FV928" s="183"/>
      <c r="FW928" s="183"/>
      <c r="FX928" s="183"/>
      <c r="FY928" s="183"/>
    </row>
    <row r="929" spans="1:181" ht="11.25" customHeight="1">
      <c r="A929" s="183"/>
      <c r="B929" s="183"/>
      <c r="C929" s="183"/>
      <c r="D929" s="183"/>
      <c r="E929" s="183"/>
      <c r="F929" s="183"/>
      <c r="G929" s="183"/>
      <c r="H929" s="183"/>
      <c r="I929" s="183"/>
      <c r="J929" s="183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  <c r="FE929" s="183"/>
      <c r="FF929" s="183"/>
      <c r="FG929" s="183"/>
      <c r="FH929" s="183"/>
      <c r="FI929" s="183"/>
      <c r="FJ929" s="183"/>
      <c r="FK929" s="183"/>
      <c r="FL929" s="183"/>
      <c r="FM929" s="183"/>
      <c r="FN929" s="183"/>
      <c r="FO929" s="183"/>
      <c r="FP929" s="183"/>
      <c r="FQ929" s="183"/>
      <c r="FR929" s="183"/>
      <c r="FS929" s="183"/>
      <c r="FT929" s="183"/>
      <c r="FU929" s="183"/>
      <c r="FV929" s="183"/>
      <c r="FW929" s="183"/>
      <c r="FX929" s="183"/>
      <c r="FY929" s="183"/>
    </row>
    <row r="930" spans="1:181" ht="11.25" customHeight="1">
      <c r="A930" s="183"/>
      <c r="B930" s="183"/>
      <c r="C930" s="183"/>
      <c r="D930" s="183"/>
      <c r="E930" s="183"/>
      <c r="F930" s="183"/>
      <c r="G930" s="183"/>
      <c r="H930" s="183"/>
      <c r="I930" s="183"/>
      <c r="J930" s="183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  <c r="FE930" s="183"/>
      <c r="FF930" s="183"/>
      <c r="FG930" s="183"/>
      <c r="FH930" s="183"/>
      <c r="FI930" s="183"/>
      <c r="FJ930" s="183"/>
      <c r="FK930" s="183"/>
      <c r="FL930" s="183"/>
      <c r="FM930" s="183"/>
      <c r="FN930" s="183"/>
      <c r="FO930" s="183"/>
      <c r="FP930" s="183"/>
      <c r="FQ930" s="183"/>
      <c r="FR930" s="183"/>
      <c r="FS930" s="183"/>
      <c r="FT930" s="183"/>
      <c r="FU930" s="183"/>
      <c r="FV930" s="183"/>
      <c r="FW930" s="183"/>
      <c r="FX930" s="183"/>
      <c r="FY930" s="183"/>
    </row>
    <row r="931" spans="1:181" ht="11.25" customHeight="1">
      <c r="A931" s="183"/>
      <c r="B931" s="183"/>
      <c r="C931" s="183"/>
      <c r="D931" s="183"/>
      <c r="E931" s="183"/>
      <c r="F931" s="183"/>
      <c r="G931" s="183"/>
      <c r="H931" s="183"/>
      <c r="I931" s="183"/>
      <c r="J931" s="183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  <c r="FE931" s="183"/>
      <c r="FF931" s="183"/>
      <c r="FG931" s="183"/>
      <c r="FH931" s="183"/>
      <c r="FI931" s="183"/>
      <c r="FJ931" s="183"/>
      <c r="FK931" s="183"/>
      <c r="FL931" s="183"/>
      <c r="FM931" s="183"/>
      <c r="FN931" s="183"/>
      <c r="FO931" s="183"/>
      <c r="FP931" s="183"/>
      <c r="FQ931" s="183"/>
      <c r="FR931" s="183"/>
      <c r="FS931" s="183"/>
      <c r="FT931" s="183"/>
      <c r="FU931" s="183"/>
      <c r="FV931" s="183"/>
      <c r="FW931" s="183"/>
      <c r="FX931" s="183"/>
      <c r="FY931" s="183"/>
    </row>
    <row r="932" spans="1:181" ht="11.25" customHeight="1">
      <c r="A932" s="183"/>
      <c r="B932" s="183"/>
      <c r="C932" s="183"/>
      <c r="D932" s="183"/>
      <c r="E932" s="183"/>
      <c r="F932" s="183"/>
      <c r="G932" s="183"/>
      <c r="H932" s="183"/>
      <c r="I932" s="183"/>
      <c r="J932" s="183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  <c r="FE932" s="183"/>
      <c r="FF932" s="183"/>
      <c r="FG932" s="183"/>
      <c r="FH932" s="183"/>
      <c r="FI932" s="183"/>
      <c r="FJ932" s="183"/>
      <c r="FK932" s="183"/>
      <c r="FL932" s="183"/>
      <c r="FM932" s="183"/>
      <c r="FN932" s="183"/>
      <c r="FO932" s="183"/>
      <c r="FP932" s="183"/>
      <c r="FQ932" s="183"/>
      <c r="FR932" s="183"/>
      <c r="FS932" s="183"/>
      <c r="FT932" s="183"/>
      <c r="FU932" s="183"/>
      <c r="FV932" s="183"/>
      <c r="FW932" s="183"/>
      <c r="FX932" s="183"/>
      <c r="FY932" s="183"/>
    </row>
    <row r="933" spans="1:181" ht="11.25" customHeight="1">
      <c r="A933" s="183"/>
      <c r="B933" s="183"/>
      <c r="C933" s="183"/>
      <c r="D933" s="183"/>
      <c r="E933" s="183"/>
      <c r="F933" s="183"/>
      <c r="G933" s="183"/>
      <c r="H933" s="183"/>
      <c r="I933" s="183"/>
      <c r="J933" s="183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  <c r="FE933" s="183"/>
      <c r="FF933" s="183"/>
      <c r="FG933" s="183"/>
      <c r="FH933" s="183"/>
      <c r="FI933" s="183"/>
      <c r="FJ933" s="183"/>
      <c r="FK933" s="183"/>
      <c r="FL933" s="183"/>
      <c r="FM933" s="183"/>
      <c r="FN933" s="183"/>
      <c r="FO933" s="183"/>
      <c r="FP933" s="183"/>
      <c r="FQ933" s="183"/>
      <c r="FR933" s="183"/>
      <c r="FS933" s="183"/>
      <c r="FT933" s="183"/>
      <c r="FU933" s="183"/>
      <c r="FV933" s="183"/>
      <c r="FW933" s="183"/>
      <c r="FX933" s="183"/>
      <c r="FY933" s="183"/>
    </row>
    <row r="934" spans="1:181" ht="11.25" customHeight="1">
      <c r="A934" s="183"/>
      <c r="B934" s="183"/>
      <c r="C934" s="183"/>
      <c r="D934" s="183"/>
      <c r="E934" s="183"/>
      <c r="F934" s="183"/>
      <c r="G934" s="183"/>
      <c r="H934" s="183"/>
      <c r="I934" s="183"/>
      <c r="J934" s="183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  <c r="FE934" s="183"/>
      <c r="FF934" s="183"/>
      <c r="FG934" s="183"/>
      <c r="FH934" s="183"/>
      <c r="FI934" s="183"/>
      <c r="FJ934" s="183"/>
      <c r="FK934" s="183"/>
      <c r="FL934" s="183"/>
      <c r="FM934" s="183"/>
      <c r="FN934" s="183"/>
      <c r="FO934" s="183"/>
      <c r="FP934" s="183"/>
      <c r="FQ934" s="183"/>
      <c r="FR934" s="183"/>
      <c r="FS934" s="183"/>
      <c r="FT934" s="183"/>
      <c r="FU934" s="183"/>
      <c r="FV934" s="183"/>
      <c r="FW934" s="183"/>
      <c r="FX934" s="183"/>
      <c r="FY934" s="183"/>
    </row>
    <row r="935" spans="1:181" ht="11.25" customHeight="1">
      <c r="A935" s="183"/>
      <c r="B935" s="183"/>
      <c r="C935" s="183"/>
      <c r="D935" s="183"/>
      <c r="E935" s="183"/>
      <c r="F935" s="183"/>
      <c r="G935" s="183"/>
      <c r="H935" s="183"/>
      <c r="I935" s="183"/>
      <c r="J935" s="183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  <c r="FE935" s="183"/>
      <c r="FF935" s="183"/>
      <c r="FG935" s="183"/>
      <c r="FH935" s="183"/>
      <c r="FI935" s="183"/>
      <c r="FJ935" s="183"/>
      <c r="FK935" s="183"/>
      <c r="FL935" s="183"/>
      <c r="FM935" s="183"/>
      <c r="FN935" s="183"/>
      <c r="FO935" s="183"/>
      <c r="FP935" s="183"/>
      <c r="FQ935" s="183"/>
      <c r="FR935" s="183"/>
      <c r="FS935" s="183"/>
      <c r="FT935" s="183"/>
      <c r="FU935" s="183"/>
      <c r="FV935" s="183"/>
      <c r="FW935" s="183"/>
      <c r="FX935" s="183"/>
      <c r="FY935" s="183"/>
    </row>
    <row r="936" spans="1:181" ht="11.25" customHeight="1">
      <c r="A936" s="183"/>
      <c r="B936" s="183"/>
      <c r="C936" s="183"/>
      <c r="D936" s="183"/>
      <c r="E936" s="183"/>
      <c r="F936" s="183"/>
      <c r="G936" s="183"/>
      <c r="H936" s="183"/>
      <c r="I936" s="183"/>
      <c r="J936" s="183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  <c r="FE936" s="183"/>
      <c r="FF936" s="183"/>
      <c r="FG936" s="183"/>
      <c r="FH936" s="183"/>
      <c r="FI936" s="183"/>
      <c r="FJ936" s="183"/>
      <c r="FK936" s="183"/>
      <c r="FL936" s="183"/>
      <c r="FM936" s="183"/>
      <c r="FN936" s="183"/>
      <c r="FO936" s="183"/>
      <c r="FP936" s="183"/>
      <c r="FQ936" s="183"/>
      <c r="FR936" s="183"/>
      <c r="FS936" s="183"/>
      <c r="FT936" s="183"/>
      <c r="FU936" s="183"/>
      <c r="FV936" s="183"/>
      <c r="FW936" s="183"/>
      <c r="FX936" s="183"/>
      <c r="FY936" s="183"/>
    </row>
    <row r="937" spans="1:181" ht="11.25" customHeight="1">
      <c r="A937" s="183"/>
      <c r="B937" s="183"/>
      <c r="C937" s="183"/>
      <c r="D937" s="183"/>
      <c r="E937" s="183"/>
      <c r="F937" s="183"/>
      <c r="G937" s="183"/>
      <c r="H937" s="183"/>
      <c r="I937" s="183"/>
      <c r="J937" s="183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  <c r="FE937" s="183"/>
      <c r="FF937" s="183"/>
      <c r="FG937" s="183"/>
      <c r="FH937" s="183"/>
      <c r="FI937" s="183"/>
      <c r="FJ937" s="183"/>
      <c r="FK937" s="183"/>
      <c r="FL937" s="183"/>
      <c r="FM937" s="183"/>
      <c r="FN937" s="183"/>
      <c r="FO937" s="183"/>
      <c r="FP937" s="183"/>
      <c r="FQ937" s="183"/>
      <c r="FR937" s="183"/>
      <c r="FS937" s="183"/>
      <c r="FT937" s="183"/>
      <c r="FU937" s="183"/>
      <c r="FV937" s="183"/>
      <c r="FW937" s="183"/>
      <c r="FX937" s="183"/>
      <c r="FY937" s="183"/>
    </row>
    <row r="938" spans="1:181" ht="11.25" customHeight="1">
      <c r="A938" s="183"/>
      <c r="B938" s="183"/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  <c r="FE938" s="183"/>
      <c r="FF938" s="183"/>
      <c r="FG938" s="183"/>
      <c r="FH938" s="183"/>
      <c r="FI938" s="183"/>
      <c r="FJ938" s="183"/>
      <c r="FK938" s="183"/>
      <c r="FL938" s="183"/>
      <c r="FM938" s="183"/>
      <c r="FN938" s="183"/>
      <c r="FO938" s="183"/>
      <c r="FP938" s="183"/>
      <c r="FQ938" s="183"/>
      <c r="FR938" s="183"/>
      <c r="FS938" s="183"/>
      <c r="FT938" s="183"/>
      <c r="FU938" s="183"/>
      <c r="FV938" s="183"/>
      <c r="FW938" s="183"/>
      <c r="FX938" s="183"/>
      <c r="FY938" s="183"/>
    </row>
    <row r="939" spans="1:181" ht="11.25" customHeight="1">
      <c r="A939" s="183"/>
      <c r="B939" s="183"/>
      <c r="C939" s="183"/>
      <c r="D939" s="183"/>
      <c r="E939" s="183"/>
      <c r="F939" s="183"/>
      <c r="G939" s="183"/>
      <c r="H939" s="183"/>
      <c r="I939" s="183"/>
      <c r="J939" s="183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  <c r="FE939" s="183"/>
      <c r="FF939" s="183"/>
      <c r="FG939" s="183"/>
      <c r="FH939" s="183"/>
      <c r="FI939" s="183"/>
      <c r="FJ939" s="183"/>
      <c r="FK939" s="183"/>
      <c r="FL939" s="183"/>
      <c r="FM939" s="183"/>
      <c r="FN939" s="183"/>
      <c r="FO939" s="183"/>
      <c r="FP939" s="183"/>
      <c r="FQ939" s="183"/>
      <c r="FR939" s="183"/>
      <c r="FS939" s="183"/>
      <c r="FT939" s="183"/>
      <c r="FU939" s="183"/>
      <c r="FV939" s="183"/>
      <c r="FW939" s="183"/>
      <c r="FX939" s="183"/>
      <c r="FY939" s="183"/>
    </row>
    <row r="940" spans="1:181" ht="11.25" customHeight="1">
      <c r="A940" s="183"/>
      <c r="B940" s="183"/>
      <c r="C940" s="183"/>
      <c r="D940" s="183"/>
      <c r="E940" s="183"/>
      <c r="F940" s="183"/>
      <c r="G940" s="183"/>
      <c r="H940" s="183"/>
      <c r="I940" s="183"/>
      <c r="J940" s="183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  <c r="FE940" s="183"/>
      <c r="FF940" s="183"/>
      <c r="FG940" s="183"/>
      <c r="FH940" s="183"/>
      <c r="FI940" s="183"/>
      <c r="FJ940" s="183"/>
      <c r="FK940" s="183"/>
      <c r="FL940" s="183"/>
      <c r="FM940" s="183"/>
      <c r="FN940" s="183"/>
      <c r="FO940" s="183"/>
      <c r="FP940" s="183"/>
      <c r="FQ940" s="183"/>
      <c r="FR940" s="183"/>
      <c r="FS940" s="183"/>
      <c r="FT940" s="183"/>
      <c r="FU940" s="183"/>
      <c r="FV940" s="183"/>
      <c r="FW940" s="183"/>
      <c r="FX940" s="183"/>
      <c r="FY940" s="183"/>
    </row>
    <row r="941" spans="1:181" ht="11.25" customHeight="1">
      <c r="A941" s="183"/>
      <c r="B941" s="183"/>
      <c r="C941" s="183"/>
      <c r="D941" s="183"/>
      <c r="E941" s="183"/>
      <c r="F941" s="183"/>
      <c r="G941" s="183"/>
      <c r="H941" s="183"/>
      <c r="I941" s="183"/>
      <c r="J941" s="183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  <c r="FE941" s="183"/>
      <c r="FF941" s="183"/>
      <c r="FG941" s="183"/>
      <c r="FH941" s="183"/>
      <c r="FI941" s="183"/>
      <c r="FJ941" s="183"/>
      <c r="FK941" s="183"/>
      <c r="FL941" s="183"/>
      <c r="FM941" s="183"/>
      <c r="FN941" s="183"/>
      <c r="FO941" s="183"/>
      <c r="FP941" s="183"/>
      <c r="FQ941" s="183"/>
      <c r="FR941" s="183"/>
      <c r="FS941" s="183"/>
      <c r="FT941" s="183"/>
      <c r="FU941" s="183"/>
      <c r="FV941" s="183"/>
      <c r="FW941" s="183"/>
      <c r="FX941" s="183"/>
      <c r="FY941" s="183"/>
    </row>
    <row r="942" spans="1:181" ht="11.25" customHeight="1">
      <c r="A942" s="183"/>
      <c r="B942" s="183"/>
      <c r="C942" s="183"/>
      <c r="D942" s="183"/>
      <c r="E942" s="183"/>
      <c r="F942" s="183"/>
      <c r="G942" s="183"/>
      <c r="H942" s="183"/>
      <c r="I942" s="183"/>
      <c r="J942" s="183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  <c r="FE942" s="183"/>
      <c r="FF942" s="183"/>
      <c r="FG942" s="183"/>
      <c r="FH942" s="183"/>
      <c r="FI942" s="183"/>
      <c r="FJ942" s="183"/>
      <c r="FK942" s="183"/>
      <c r="FL942" s="183"/>
      <c r="FM942" s="183"/>
      <c r="FN942" s="183"/>
      <c r="FO942" s="183"/>
      <c r="FP942" s="183"/>
      <c r="FQ942" s="183"/>
      <c r="FR942" s="183"/>
      <c r="FS942" s="183"/>
      <c r="FT942" s="183"/>
      <c r="FU942" s="183"/>
      <c r="FV942" s="183"/>
      <c r="FW942" s="183"/>
      <c r="FX942" s="183"/>
      <c r="FY942" s="183"/>
    </row>
    <row r="943" spans="1:181" ht="11.25" customHeight="1">
      <c r="A943" s="183"/>
      <c r="B943" s="183"/>
      <c r="C943" s="183"/>
      <c r="D943" s="183"/>
      <c r="E943" s="183"/>
      <c r="F943" s="183"/>
      <c r="G943" s="183"/>
      <c r="H943" s="183"/>
      <c r="I943" s="183"/>
      <c r="J943" s="183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  <c r="FE943" s="183"/>
      <c r="FF943" s="183"/>
      <c r="FG943" s="183"/>
      <c r="FH943" s="183"/>
      <c r="FI943" s="183"/>
      <c r="FJ943" s="183"/>
      <c r="FK943" s="183"/>
      <c r="FL943" s="183"/>
      <c r="FM943" s="183"/>
      <c r="FN943" s="183"/>
      <c r="FO943" s="183"/>
      <c r="FP943" s="183"/>
      <c r="FQ943" s="183"/>
      <c r="FR943" s="183"/>
      <c r="FS943" s="183"/>
      <c r="FT943" s="183"/>
      <c r="FU943" s="183"/>
      <c r="FV943" s="183"/>
      <c r="FW943" s="183"/>
      <c r="FX943" s="183"/>
      <c r="FY943" s="183"/>
    </row>
    <row r="944" spans="1:181" ht="11.25" customHeight="1">
      <c r="A944" s="183"/>
      <c r="B944" s="183"/>
      <c r="C944" s="183"/>
      <c r="D944" s="183"/>
      <c r="E944" s="183"/>
      <c r="F944" s="183"/>
      <c r="G944" s="183"/>
      <c r="H944" s="183"/>
      <c r="I944" s="183"/>
      <c r="J944" s="183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  <c r="FE944" s="183"/>
      <c r="FF944" s="183"/>
      <c r="FG944" s="183"/>
      <c r="FH944" s="183"/>
      <c r="FI944" s="183"/>
      <c r="FJ944" s="183"/>
      <c r="FK944" s="183"/>
      <c r="FL944" s="183"/>
      <c r="FM944" s="183"/>
      <c r="FN944" s="183"/>
      <c r="FO944" s="183"/>
      <c r="FP944" s="183"/>
      <c r="FQ944" s="183"/>
      <c r="FR944" s="183"/>
      <c r="FS944" s="183"/>
      <c r="FT944" s="183"/>
      <c r="FU944" s="183"/>
      <c r="FV944" s="183"/>
      <c r="FW944" s="183"/>
      <c r="FX944" s="183"/>
      <c r="FY944" s="183"/>
    </row>
    <row r="945" spans="1:181" ht="11.25" customHeight="1">
      <c r="A945" s="183"/>
      <c r="B945" s="183"/>
      <c r="C945" s="183"/>
      <c r="D945" s="183"/>
      <c r="E945" s="183"/>
      <c r="F945" s="183"/>
      <c r="G945" s="183"/>
      <c r="H945" s="183"/>
      <c r="I945" s="183"/>
      <c r="J945" s="183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  <c r="FE945" s="183"/>
      <c r="FF945" s="183"/>
      <c r="FG945" s="183"/>
      <c r="FH945" s="183"/>
      <c r="FI945" s="183"/>
      <c r="FJ945" s="183"/>
      <c r="FK945" s="183"/>
      <c r="FL945" s="183"/>
      <c r="FM945" s="183"/>
      <c r="FN945" s="183"/>
      <c r="FO945" s="183"/>
      <c r="FP945" s="183"/>
      <c r="FQ945" s="183"/>
      <c r="FR945" s="183"/>
      <c r="FS945" s="183"/>
      <c r="FT945" s="183"/>
      <c r="FU945" s="183"/>
      <c r="FV945" s="183"/>
      <c r="FW945" s="183"/>
      <c r="FX945" s="183"/>
      <c r="FY945" s="183"/>
    </row>
    <row r="946" spans="1:181" ht="11.25" customHeight="1">
      <c r="A946" s="183"/>
      <c r="B946" s="183"/>
      <c r="C946" s="183"/>
      <c r="D946" s="183"/>
      <c r="E946" s="183"/>
      <c r="F946" s="183"/>
      <c r="G946" s="183"/>
      <c r="H946" s="183"/>
      <c r="I946" s="183"/>
      <c r="J946" s="183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  <c r="FE946" s="183"/>
      <c r="FF946" s="183"/>
      <c r="FG946" s="183"/>
      <c r="FH946" s="183"/>
      <c r="FI946" s="183"/>
      <c r="FJ946" s="183"/>
      <c r="FK946" s="183"/>
      <c r="FL946" s="183"/>
      <c r="FM946" s="183"/>
      <c r="FN946" s="183"/>
      <c r="FO946" s="183"/>
      <c r="FP946" s="183"/>
      <c r="FQ946" s="183"/>
      <c r="FR946" s="183"/>
      <c r="FS946" s="183"/>
      <c r="FT946" s="183"/>
      <c r="FU946" s="183"/>
      <c r="FV946" s="183"/>
      <c r="FW946" s="183"/>
      <c r="FX946" s="183"/>
      <c r="FY946" s="183"/>
    </row>
    <row r="947" spans="1:181" ht="11.25" customHeight="1">
      <c r="A947" s="183"/>
      <c r="B947" s="183"/>
      <c r="C947" s="183"/>
      <c r="D947" s="183"/>
      <c r="E947" s="183"/>
      <c r="F947" s="183"/>
      <c r="G947" s="183"/>
      <c r="H947" s="183"/>
      <c r="I947" s="183"/>
      <c r="J947" s="183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  <c r="FE947" s="183"/>
      <c r="FF947" s="183"/>
      <c r="FG947" s="183"/>
      <c r="FH947" s="183"/>
      <c r="FI947" s="183"/>
      <c r="FJ947" s="183"/>
      <c r="FK947" s="183"/>
      <c r="FL947" s="183"/>
      <c r="FM947" s="183"/>
      <c r="FN947" s="183"/>
      <c r="FO947" s="183"/>
      <c r="FP947" s="183"/>
      <c r="FQ947" s="183"/>
      <c r="FR947" s="183"/>
      <c r="FS947" s="183"/>
      <c r="FT947" s="183"/>
      <c r="FU947" s="183"/>
      <c r="FV947" s="183"/>
      <c r="FW947" s="183"/>
      <c r="FX947" s="183"/>
      <c r="FY947" s="183"/>
    </row>
    <row r="948" spans="1:181" ht="11.25" customHeight="1">
      <c r="A948" s="183"/>
      <c r="B948" s="183"/>
      <c r="C948" s="183"/>
      <c r="D948" s="183"/>
      <c r="E948" s="183"/>
      <c r="F948" s="183"/>
      <c r="G948" s="183"/>
      <c r="H948" s="183"/>
      <c r="I948" s="183"/>
      <c r="J948" s="183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  <c r="FE948" s="183"/>
      <c r="FF948" s="183"/>
      <c r="FG948" s="183"/>
      <c r="FH948" s="183"/>
      <c r="FI948" s="183"/>
      <c r="FJ948" s="183"/>
      <c r="FK948" s="183"/>
      <c r="FL948" s="183"/>
      <c r="FM948" s="183"/>
      <c r="FN948" s="183"/>
      <c r="FO948" s="183"/>
      <c r="FP948" s="183"/>
      <c r="FQ948" s="183"/>
      <c r="FR948" s="183"/>
      <c r="FS948" s="183"/>
      <c r="FT948" s="183"/>
      <c r="FU948" s="183"/>
      <c r="FV948" s="183"/>
      <c r="FW948" s="183"/>
      <c r="FX948" s="183"/>
      <c r="FY948" s="183"/>
    </row>
    <row r="949" spans="1:181" ht="11.25" customHeight="1">
      <c r="A949" s="183"/>
      <c r="B949" s="183"/>
      <c r="C949" s="183"/>
      <c r="D949" s="183"/>
      <c r="E949" s="183"/>
      <c r="F949" s="183"/>
      <c r="G949" s="183"/>
      <c r="H949" s="183"/>
      <c r="I949" s="183"/>
      <c r="J949" s="183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  <c r="FE949" s="183"/>
      <c r="FF949" s="183"/>
      <c r="FG949" s="183"/>
      <c r="FH949" s="183"/>
      <c r="FI949" s="183"/>
      <c r="FJ949" s="183"/>
      <c r="FK949" s="183"/>
      <c r="FL949" s="183"/>
      <c r="FM949" s="183"/>
      <c r="FN949" s="183"/>
      <c r="FO949" s="183"/>
      <c r="FP949" s="183"/>
      <c r="FQ949" s="183"/>
      <c r="FR949" s="183"/>
      <c r="FS949" s="183"/>
      <c r="FT949" s="183"/>
      <c r="FU949" s="183"/>
      <c r="FV949" s="183"/>
      <c r="FW949" s="183"/>
      <c r="FX949" s="183"/>
      <c r="FY949" s="183"/>
    </row>
    <row r="950" spans="1:181" ht="11.25" customHeight="1">
      <c r="A950" s="183"/>
      <c r="B950" s="183"/>
      <c r="C950" s="183"/>
      <c r="D950" s="183"/>
      <c r="E950" s="183"/>
      <c r="F950" s="183"/>
      <c r="G950" s="183"/>
      <c r="H950" s="183"/>
      <c r="I950" s="183"/>
      <c r="J950" s="183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  <c r="FE950" s="183"/>
      <c r="FF950" s="183"/>
      <c r="FG950" s="183"/>
      <c r="FH950" s="183"/>
      <c r="FI950" s="183"/>
      <c r="FJ950" s="183"/>
      <c r="FK950" s="183"/>
      <c r="FL950" s="183"/>
      <c r="FM950" s="183"/>
      <c r="FN950" s="183"/>
      <c r="FO950" s="183"/>
      <c r="FP950" s="183"/>
      <c r="FQ950" s="183"/>
      <c r="FR950" s="183"/>
      <c r="FS950" s="183"/>
      <c r="FT950" s="183"/>
      <c r="FU950" s="183"/>
      <c r="FV950" s="183"/>
      <c r="FW950" s="183"/>
      <c r="FX950" s="183"/>
      <c r="FY950" s="183"/>
    </row>
    <row r="951" spans="1:181" ht="11.25" customHeight="1">
      <c r="A951" s="183"/>
      <c r="B951" s="183"/>
      <c r="C951" s="183"/>
      <c r="D951" s="183"/>
      <c r="E951" s="183"/>
      <c r="F951" s="183"/>
      <c r="G951" s="183"/>
      <c r="H951" s="183"/>
      <c r="I951" s="183"/>
      <c r="J951" s="183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  <c r="FE951" s="183"/>
      <c r="FF951" s="183"/>
      <c r="FG951" s="183"/>
      <c r="FH951" s="183"/>
      <c r="FI951" s="183"/>
      <c r="FJ951" s="183"/>
      <c r="FK951" s="183"/>
      <c r="FL951" s="183"/>
      <c r="FM951" s="183"/>
      <c r="FN951" s="183"/>
      <c r="FO951" s="183"/>
      <c r="FP951" s="183"/>
      <c r="FQ951" s="183"/>
      <c r="FR951" s="183"/>
      <c r="FS951" s="183"/>
      <c r="FT951" s="183"/>
      <c r="FU951" s="183"/>
      <c r="FV951" s="183"/>
      <c r="FW951" s="183"/>
      <c r="FX951" s="183"/>
      <c r="FY951" s="183"/>
    </row>
    <row r="952" spans="1:181" ht="11.25" customHeight="1">
      <c r="A952" s="183"/>
      <c r="B952" s="183"/>
      <c r="C952" s="183"/>
      <c r="D952" s="183"/>
      <c r="E952" s="183"/>
      <c r="F952" s="183"/>
      <c r="G952" s="183"/>
      <c r="H952" s="183"/>
      <c r="I952" s="183"/>
      <c r="J952" s="183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  <c r="FE952" s="183"/>
      <c r="FF952" s="183"/>
      <c r="FG952" s="183"/>
      <c r="FH952" s="183"/>
      <c r="FI952" s="183"/>
      <c r="FJ952" s="183"/>
      <c r="FK952" s="183"/>
      <c r="FL952" s="183"/>
      <c r="FM952" s="183"/>
      <c r="FN952" s="183"/>
      <c r="FO952" s="183"/>
      <c r="FP952" s="183"/>
      <c r="FQ952" s="183"/>
      <c r="FR952" s="183"/>
      <c r="FS952" s="183"/>
      <c r="FT952" s="183"/>
      <c r="FU952" s="183"/>
      <c r="FV952" s="183"/>
      <c r="FW952" s="183"/>
      <c r="FX952" s="183"/>
      <c r="FY952" s="183"/>
    </row>
    <row r="953" spans="1:181" ht="11.25" customHeight="1">
      <c r="A953" s="183"/>
      <c r="B953" s="183"/>
      <c r="C953" s="183"/>
      <c r="D953" s="183"/>
      <c r="E953" s="183"/>
      <c r="F953" s="183"/>
      <c r="G953" s="183"/>
      <c r="H953" s="183"/>
      <c r="I953" s="183"/>
      <c r="J953" s="183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  <c r="FE953" s="183"/>
      <c r="FF953" s="183"/>
      <c r="FG953" s="183"/>
      <c r="FH953" s="183"/>
      <c r="FI953" s="183"/>
      <c r="FJ953" s="183"/>
      <c r="FK953" s="183"/>
      <c r="FL953" s="183"/>
      <c r="FM953" s="183"/>
      <c r="FN953" s="183"/>
      <c r="FO953" s="183"/>
      <c r="FP953" s="183"/>
      <c r="FQ953" s="183"/>
      <c r="FR953" s="183"/>
      <c r="FS953" s="183"/>
      <c r="FT953" s="183"/>
      <c r="FU953" s="183"/>
      <c r="FV953" s="183"/>
      <c r="FW953" s="183"/>
      <c r="FX953" s="183"/>
      <c r="FY953" s="183"/>
    </row>
    <row r="954" spans="1:181" ht="11.25" customHeight="1">
      <c r="A954" s="183"/>
      <c r="B954" s="183"/>
      <c r="C954" s="183"/>
      <c r="D954" s="183"/>
      <c r="E954" s="183"/>
      <c r="F954" s="183"/>
      <c r="G954" s="183"/>
      <c r="H954" s="183"/>
      <c r="I954" s="183"/>
      <c r="J954" s="183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  <c r="FE954" s="183"/>
      <c r="FF954" s="183"/>
      <c r="FG954" s="183"/>
      <c r="FH954" s="183"/>
      <c r="FI954" s="183"/>
      <c r="FJ954" s="183"/>
      <c r="FK954" s="183"/>
      <c r="FL954" s="183"/>
      <c r="FM954" s="183"/>
      <c r="FN954" s="183"/>
      <c r="FO954" s="183"/>
      <c r="FP954" s="183"/>
      <c r="FQ954" s="183"/>
      <c r="FR954" s="183"/>
      <c r="FS954" s="183"/>
      <c r="FT954" s="183"/>
      <c r="FU954" s="183"/>
      <c r="FV954" s="183"/>
      <c r="FW954" s="183"/>
      <c r="FX954" s="183"/>
      <c r="FY954" s="183"/>
    </row>
    <row r="955" spans="1:181" ht="11.25" customHeight="1">
      <c r="A955" s="183"/>
      <c r="B955" s="183"/>
      <c r="C955" s="183"/>
      <c r="D955" s="183"/>
      <c r="E955" s="183"/>
      <c r="F955" s="183"/>
      <c r="G955" s="183"/>
      <c r="H955" s="183"/>
      <c r="I955" s="183"/>
      <c r="J955" s="183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  <c r="FE955" s="183"/>
      <c r="FF955" s="183"/>
      <c r="FG955" s="183"/>
      <c r="FH955" s="183"/>
      <c r="FI955" s="183"/>
      <c r="FJ955" s="183"/>
      <c r="FK955" s="183"/>
      <c r="FL955" s="183"/>
      <c r="FM955" s="183"/>
      <c r="FN955" s="183"/>
      <c r="FO955" s="183"/>
      <c r="FP955" s="183"/>
      <c r="FQ955" s="183"/>
      <c r="FR955" s="183"/>
      <c r="FS955" s="183"/>
      <c r="FT955" s="183"/>
      <c r="FU955" s="183"/>
      <c r="FV955" s="183"/>
      <c r="FW955" s="183"/>
      <c r="FX955" s="183"/>
      <c r="FY955" s="183"/>
    </row>
    <row r="956" spans="1:181" ht="11.25" customHeight="1">
      <c r="A956" s="183"/>
      <c r="B956" s="183"/>
      <c r="C956" s="183"/>
      <c r="D956" s="183"/>
      <c r="E956" s="183"/>
      <c r="F956" s="183"/>
      <c r="G956" s="183"/>
      <c r="H956" s="183"/>
      <c r="I956" s="183"/>
      <c r="J956" s="183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  <c r="FE956" s="183"/>
      <c r="FF956" s="183"/>
      <c r="FG956" s="183"/>
      <c r="FH956" s="183"/>
      <c r="FI956" s="183"/>
      <c r="FJ956" s="183"/>
      <c r="FK956" s="183"/>
      <c r="FL956" s="183"/>
      <c r="FM956" s="183"/>
      <c r="FN956" s="183"/>
      <c r="FO956" s="183"/>
      <c r="FP956" s="183"/>
      <c r="FQ956" s="183"/>
      <c r="FR956" s="183"/>
      <c r="FS956" s="183"/>
      <c r="FT956" s="183"/>
      <c r="FU956" s="183"/>
      <c r="FV956" s="183"/>
      <c r="FW956" s="183"/>
      <c r="FX956" s="183"/>
      <c r="FY956" s="183"/>
    </row>
    <row r="957" spans="1:181" ht="11.25" customHeight="1">
      <c r="A957" s="183"/>
      <c r="B957" s="183"/>
      <c r="C957" s="183"/>
      <c r="D957" s="183"/>
      <c r="E957" s="183"/>
      <c r="F957" s="183"/>
      <c r="G957" s="183"/>
      <c r="H957" s="183"/>
      <c r="I957" s="183"/>
      <c r="J957" s="183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  <c r="FE957" s="183"/>
      <c r="FF957" s="183"/>
      <c r="FG957" s="183"/>
      <c r="FH957" s="183"/>
      <c r="FI957" s="183"/>
      <c r="FJ957" s="183"/>
      <c r="FK957" s="183"/>
      <c r="FL957" s="183"/>
      <c r="FM957" s="183"/>
      <c r="FN957" s="183"/>
      <c r="FO957" s="183"/>
      <c r="FP957" s="183"/>
      <c r="FQ957" s="183"/>
      <c r="FR957" s="183"/>
      <c r="FS957" s="183"/>
      <c r="FT957" s="183"/>
      <c r="FU957" s="183"/>
      <c r="FV957" s="183"/>
      <c r="FW957" s="183"/>
      <c r="FX957" s="183"/>
      <c r="FY957" s="183"/>
    </row>
    <row r="958" spans="1:181" ht="11.25" customHeight="1">
      <c r="A958" s="183"/>
      <c r="B958" s="183"/>
      <c r="C958" s="183"/>
      <c r="D958" s="183"/>
      <c r="E958" s="183"/>
      <c r="F958" s="183"/>
      <c r="G958" s="183"/>
      <c r="H958" s="183"/>
      <c r="I958" s="183"/>
      <c r="J958" s="183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  <c r="FE958" s="183"/>
      <c r="FF958" s="183"/>
      <c r="FG958" s="183"/>
      <c r="FH958" s="183"/>
      <c r="FI958" s="183"/>
      <c r="FJ958" s="183"/>
      <c r="FK958" s="183"/>
      <c r="FL958" s="183"/>
      <c r="FM958" s="183"/>
      <c r="FN958" s="183"/>
      <c r="FO958" s="183"/>
      <c r="FP958" s="183"/>
      <c r="FQ958" s="183"/>
      <c r="FR958" s="183"/>
      <c r="FS958" s="183"/>
      <c r="FT958" s="183"/>
      <c r="FU958" s="183"/>
      <c r="FV958" s="183"/>
      <c r="FW958" s="183"/>
      <c r="FX958" s="183"/>
      <c r="FY958" s="183"/>
    </row>
    <row r="959" spans="1:181" ht="11.25" customHeight="1">
      <c r="A959" s="183"/>
      <c r="B959" s="183"/>
      <c r="C959" s="183"/>
      <c r="D959" s="183"/>
      <c r="E959" s="183"/>
      <c r="F959" s="183"/>
      <c r="G959" s="183"/>
      <c r="H959" s="183"/>
      <c r="I959" s="183"/>
      <c r="J959" s="183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  <c r="FE959" s="183"/>
      <c r="FF959" s="183"/>
      <c r="FG959" s="183"/>
      <c r="FH959" s="183"/>
      <c r="FI959" s="183"/>
      <c r="FJ959" s="183"/>
      <c r="FK959" s="183"/>
      <c r="FL959" s="183"/>
      <c r="FM959" s="183"/>
      <c r="FN959" s="183"/>
      <c r="FO959" s="183"/>
      <c r="FP959" s="183"/>
      <c r="FQ959" s="183"/>
      <c r="FR959" s="183"/>
      <c r="FS959" s="183"/>
      <c r="FT959" s="183"/>
      <c r="FU959" s="183"/>
      <c r="FV959" s="183"/>
      <c r="FW959" s="183"/>
      <c r="FX959" s="183"/>
      <c r="FY959" s="183"/>
    </row>
    <row r="960" spans="1:181" ht="11.25" customHeight="1">
      <c r="A960" s="183"/>
      <c r="B960" s="183"/>
      <c r="C960" s="183"/>
      <c r="D960" s="183"/>
      <c r="E960" s="183"/>
      <c r="F960" s="183"/>
      <c r="G960" s="183"/>
      <c r="H960" s="183"/>
      <c r="I960" s="183"/>
      <c r="J960" s="183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  <c r="FE960" s="183"/>
      <c r="FF960" s="183"/>
      <c r="FG960" s="183"/>
      <c r="FH960" s="183"/>
      <c r="FI960" s="183"/>
      <c r="FJ960" s="183"/>
      <c r="FK960" s="183"/>
      <c r="FL960" s="183"/>
      <c r="FM960" s="183"/>
      <c r="FN960" s="183"/>
      <c r="FO960" s="183"/>
      <c r="FP960" s="183"/>
      <c r="FQ960" s="183"/>
      <c r="FR960" s="183"/>
      <c r="FS960" s="183"/>
      <c r="FT960" s="183"/>
      <c r="FU960" s="183"/>
      <c r="FV960" s="183"/>
      <c r="FW960" s="183"/>
      <c r="FX960" s="183"/>
      <c r="FY960" s="183"/>
    </row>
    <row r="961" spans="1:181" ht="11.25" customHeight="1">
      <c r="A961" s="183"/>
      <c r="B961" s="183"/>
      <c r="C961" s="183"/>
      <c r="D961" s="183"/>
      <c r="E961" s="183"/>
      <c r="F961" s="183"/>
      <c r="G961" s="183"/>
      <c r="H961" s="183"/>
      <c r="I961" s="183"/>
      <c r="J961" s="183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  <c r="FE961" s="183"/>
      <c r="FF961" s="183"/>
      <c r="FG961" s="183"/>
      <c r="FH961" s="183"/>
      <c r="FI961" s="183"/>
      <c r="FJ961" s="183"/>
      <c r="FK961" s="183"/>
      <c r="FL961" s="183"/>
      <c r="FM961" s="183"/>
      <c r="FN961" s="183"/>
      <c r="FO961" s="183"/>
      <c r="FP961" s="183"/>
      <c r="FQ961" s="183"/>
      <c r="FR961" s="183"/>
      <c r="FS961" s="183"/>
      <c r="FT961" s="183"/>
      <c r="FU961" s="183"/>
      <c r="FV961" s="183"/>
      <c r="FW961" s="183"/>
      <c r="FX961" s="183"/>
      <c r="FY961" s="183"/>
    </row>
    <row r="962" spans="1:181" ht="11.25" customHeight="1">
      <c r="A962" s="183"/>
      <c r="B962" s="183"/>
      <c r="C962" s="183"/>
      <c r="D962" s="183"/>
      <c r="E962" s="183"/>
      <c r="F962" s="183"/>
      <c r="G962" s="183"/>
      <c r="H962" s="183"/>
      <c r="I962" s="183"/>
      <c r="J962" s="183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  <c r="FE962" s="183"/>
      <c r="FF962" s="183"/>
      <c r="FG962" s="183"/>
      <c r="FH962" s="183"/>
      <c r="FI962" s="183"/>
      <c r="FJ962" s="183"/>
      <c r="FK962" s="183"/>
      <c r="FL962" s="183"/>
      <c r="FM962" s="183"/>
      <c r="FN962" s="183"/>
      <c r="FO962" s="183"/>
      <c r="FP962" s="183"/>
      <c r="FQ962" s="183"/>
      <c r="FR962" s="183"/>
      <c r="FS962" s="183"/>
      <c r="FT962" s="183"/>
      <c r="FU962" s="183"/>
      <c r="FV962" s="183"/>
      <c r="FW962" s="183"/>
      <c r="FX962" s="183"/>
      <c r="FY962" s="183"/>
    </row>
    <row r="963" spans="1:181" ht="11.25" customHeight="1">
      <c r="A963" s="183"/>
      <c r="B963" s="183"/>
      <c r="C963" s="183"/>
      <c r="D963" s="183"/>
      <c r="E963" s="183"/>
      <c r="F963" s="183"/>
      <c r="G963" s="183"/>
      <c r="H963" s="183"/>
      <c r="I963" s="183"/>
      <c r="J963" s="183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  <c r="FE963" s="183"/>
      <c r="FF963" s="183"/>
      <c r="FG963" s="183"/>
      <c r="FH963" s="183"/>
      <c r="FI963" s="183"/>
      <c r="FJ963" s="183"/>
      <c r="FK963" s="183"/>
      <c r="FL963" s="183"/>
      <c r="FM963" s="183"/>
      <c r="FN963" s="183"/>
      <c r="FO963" s="183"/>
      <c r="FP963" s="183"/>
      <c r="FQ963" s="183"/>
      <c r="FR963" s="183"/>
      <c r="FS963" s="183"/>
      <c r="FT963" s="183"/>
      <c r="FU963" s="183"/>
      <c r="FV963" s="183"/>
      <c r="FW963" s="183"/>
      <c r="FX963" s="183"/>
      <c r="FY963" s="183"/>
    </row>
    <row r="964" spans="1:181" ht="11.25" customHeight="1">
      <c r="A964" s="183"/>
      <c r="B964" s="183"/>
      <c r="C964" s="183"/>
      <c r="D964" s="183"/>
      <c r="E964" s="183"/>
      <c r="F964" s="183"/>
      <c r="G964" s="183"/>
      <c r="H964" s="183"/>
      <c r="I964" s="183"/>
      <c r="J964" s="183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  <c r="FE964" s="183"/>
      <c r="FF964" s="183"/>
      <c r="FG964" s="183"/>
      <c r="FH964" s="183"/>
      <c r="FI964" s="183"/>
      <c r="FJ964" s="183"/>
      <c r="FK964" s="183"/>
      <c r="FL964" s="183"/>
      <c r="FM964" s="183"/>
      <c r="FN964" s="183"/>
      <c r="FO964" s="183"/>
      <c r="FP964" s="183"/>
      <c r="FQ964" s="183"/>
      <c r="FR964" s="183"/>
      <c r="FS964" s="183"/>
      <c r="FT964" s="183"/>
      <c r="FU964" s="183"/>
      <c r="FV964" s="183"/>
      <c r="FW964" s="183"/>
      <c r="FX964" s="183"/>
      <c r="FY964" s="183"/>
    </row>
    <row r="965" spans="1:181" ht="11.25" customHeight="1">
      <c r="A965" s="183"/>
      <c r="B965" s="183"/>
      <c r="C965" s="183"/>
      <c r="D965" s="183"/>
      <c r="E965" s="183"/>
      <c r="F965" s="183"/>
      <c r="G965" s="183"/>
      <c r="H965" s="183"/>
      <c r="I965" s="183"/>
      <c r="J965" s="183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  <c r="FE965" s="183"/>
      <c r="FF965" s="183"/>
      <c r="FG965" s="183"/>
      <c r="FH965" s="183"/>
      <c r="FI965" s="183"/>
      <c r="FJ965" s="183"/>
      <c r="FK965" s="183"/>
      <c r="FL965" s="183"/>
      <c r="FM965" s="183"/>
      <c r="FN965" s="183"/>
      <c r="FO965" s="183"/>
      <c r="FP965" s="183"/>
      <c r="FQ965" s="183"/>
      <c r="FR965" s="183"/>
      <c r="FS965" s="183"/>
      <c r="FT965" s="183"/>
      <c r="FU965" s="183"/>
      <c r="FV965" s="183"/>
      <c r="FW965" s="183"/>
      <c r="FX965" s="183"/>
      <c r="FY965" s="183"/>
    </row>
    <row r="966" spans="1:181" ht="11.25" customHeight="1">
      <c r="A966" s="183"/>
      <c r="B966" s="183"/>
      <c r="C966" s="183"/>
      <c r="D966" s="183"/>
      <c r="E966" s="183"/>
      <c r="F966" s="183"/>
      <c r="G966" s="183"/>
      <c r="H966" s="183"/>
      <c r="I966" s="183"/>
      <c r="J966" s="183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  <c r="FE966" s="183"/>
      <c r="FF966" s="183"/>
      <c r="FG966" s="183"/>
      <c r="FH966" s="183"/>
      <c r="FI966" s="183"/>
      <c r="FJ966" s="183"/>
      <c r="FK966" s="183"/>
      <c r="FL966" s="183"/>
      <c r="FM966" s="183"/>
      <c r="FN966" s="183"/>
      <c r="FO966" s="183"/>
      <c r="FP966" s="183"/>
      <c r="FQ966" s="183"/>
      <c r="FR966" s="183"/>
      <c r="FS966" s="183"/>
      <c r="FT966" s="183"/>
      <c r="FU966" s="183"/>
      <c r="FV966" s="183"/>
      <c r="FW966" s="183"/>
      <c r="FX966" s="183"/>
      <c r="FY966" s="183"/>
    </row>
    <row r="967" spans="1:181" ht="11.25" customHeight="1">
      <c r="A967" s="183"/>
      <c r="B967" s="183"/>
      <c r="C967" s="183"/>
      <c r="D967" s="183"/>
      <c r="E967" s="183"/>
      <c r="F967" s="183"/>
      <c r="G967" s="183"/>
      <c r="H967" s="183"/>
      <c r="I967" s="183"/>
      <c r="J967" s="183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  <c r="FE967" s="183"/>
      <c r="FF967" s="183"/>
      <c r="FG967" s="183"/>
      <c r="FH967" s="183"/>
      <c r="FI967" s="183"/>
      <c r="FJ967" s="183"/>
      <c r="FK967" s="183"/>
      <c r="FL967" s="183"/>
      <c r="FM967" s="183"/>
      <c r="FN967" s="183"/>
      <c r="FO967" s="183"/>
      <c r="FP967" s="183"/>
      <c r="FQ967" s="183"/>
      <c r="FR967" s="183"/>
      <c r="FS967" s="183"/>
      <c r="FT967" s="183"/>
      <c r="FU967" s="183"/>
      <c r="FV967" s="183"/>
      <c r="FW967" s="183"/>
      <c r="FX967" s="183"/>
      <c r="FY967" s="183"/>
    </row>
    <row r="968" spans="1:181" ht="11.25" customHeight="1">
      <c r="A968" s="183"/>
      <c r="B968" s="183"/>
      <c r="C968" s="183"/>
      <c r="D968" s="183"/>
      <c r="E968" s="183"/>
      <c r="F968" s="183"/>
      <c r="G968" s="183"/>
      <c r="H968" s="183"/>
      <c r="I968" s="183"/>
      <c r="J968" s="183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  <c r="FE968" s="183"/>
      <c r="FF968" s="183"/>
      <c r="FG968" s="183"/>
      <c r="FH968" s="183"/>
      <c r="FI968" s="183"/>
      <c r="FJ968" s="183"/>
      <c r="FK968" s="183"/>
      <c r="FL968" s="183"/>
      <c r="FM968" s="183"/>
      <c r="FN968" s="183"/>
      <c r="FO968" s="183"/>
      <c r="FP968" s="183"/>
      <c r="FQ968" s="183"/>
      <c r="FR968" s="183"/>
      <c r="FS968" s="183"/>
      <c r="FT968" s="183"/>
      <c r="FU968" s="183"/>
      <c r="FV968" s="183"/>
      <c r="FW968" s="183"/>
      <c r="FX968" s="183"/>
      <c r="FY968" s="183"/>
    </row>
    <row r="969" spans="1:181" ht="11.25" customHeight="1">
      <c r="A969" s="183"/>
      <c r="B969" s="183"/>
      <c r="C969" s="183"/>
      <c r="D969" s="183"/>
      <c r="E969" s="183"/>
      <c r="F969" s="183"/>
      <c r="G969" s="183"/>
      <c r="H969" s="183"/>
      <c r="I969" s="183"/>
      <c r="J969" s="183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  <c r="FE969" s="183"/>
      <c r="FF969" s="183"/>
      <c r="FG969" s="183"/>
      <c r="FH969" s="183"/>
      <c r="FI969" s="183"/>
      <c r="FJ969" s="183"/>
      <c r="FK969" s="183"/>
      <c r="FL969" s="183"/>
      <c r="FM969" s="183"/>
      <c r="FN969" s="183"/>
      <c r="FO969" s="183"/>
      <c r="FP969" s="183"/>
      <c r="FQ969" s="183"/>
      <c r="FR969" s="183"/>
      <c r="FS969" s="183"/>
      <c r="FT969" s="183"/>
      <c r="FU969" s="183"/>
      <c r="FV969" s="183"/>
      <c r="FW969" s="183"/>
      <c r="FX969" s="183"/>
      <c r="FY969" s="183"/>
    </row>
    <row r="970" spans="1:181" ht="11.25" customHeight="1">
      <c r="A970" s="183"/>
      <c r="B970" s="183"/>
      <c r="C970" s="183"/>
      <c r="D970" s="183"/>
      <c r="E970" s="183"/>
      <c r="F970" s="183"/>
      <c r="G970" s="183"/>
      <c r="H970" s="183"/>
      <c r="I970" s="183"/>
      <c r="J970" s="183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  <c r="FE970" s="183"/>
      <c r="FF970" s="183"/>
      <c r="FG970" s="183"/>
      <c r="FH970" s="183"/>
      <c r="FI970" s="183"/>
      <c r="FJ970" s="183"/>
      <c r="FK970" s="183"/>
      <c r="FL970" s="183"/>
      <c r="FM970" s="183"/>
      <c r="FN970" s="183"/>
      <c r="FO970" s="183"/>
      <c r="FP970" s="183"/>
      <c r="FQ970" s="183"/>
      <c r="FR970" s="183"/>
      <c r="FS970" s="183"/>
      <c r="FT970" s="183"/>
      <c r="FU970" s="183"/>
      <c r="FV970" s="183"/>
      <c r="FW970" s="183"/>
      <c r="FX970" s="183"/>
      <c r="FY970" s="183"/>
    </row>
    <row r="971" spans="1:181" ht="11.25" customHeight="1">
      <c r="A971" s="183"/>
      <c r="B971" s="183"/>
      <c r="C971" s="183"/>
      <c r="D971" s="183"/>
      <c r="E971" s="183"/>
      <c r="F971" s="183"/>
      <c r="G971" s="183"/>
      <c r="H971" s="183"/>
      <c r="I971" s="183"/>
      <c r="J971" s="183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  <c r="FE971" s="183"/>
      <c r="FF971" s="183"/>
      <c r="FG971" s="183"/>
      <c r="FH971" s="183"/>
      <c r="FI971" s="183"/>
      <c r="FJ971" s="183"/>
      <c r="FK971" s="183"/>
      <c r="FL971" s="183"/>
      <c r="FM971" s="183"/>
      <c r="FN971" s="183"/>
      <c r="FO971" s="183"/>
      <c r="FP971" s="183"/>
      <c r="FQ971" s="183"/>
      <c r="FR971" s="183"/>
      <c r="FS971" s="183"/>
      <c r="FT971" s="183"/>
      <c r="FU971" s="183"/>
      <c r="FV971" s="183"/>
      <c r="FW971" s="183"/>
      <c r="FX971" s="183"/>
      <c r="FY971" s="183"/>
    </row>
    <row r="972" spans="1:181" ht="11.25" customHeight="1">
      <c r="A972" s="183"/>
      <c r="B972" s="183"/>
      <c r="C972" s="183"/>
      <c r="D972" s="183"/>
      <c r="E972" s="183"/>
      <c r="F972" s="183"/>
      <c r="G972" s="183"/>
      <c r="H972" s="183"/>
      <c r="I972" s="183"/>
      <c r="J972" s="183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  <c r="FE972" s="183"/>
      <c r="FF972" s="183"/>
      <c r="FG972" s="183"/>
      <c r="FH972" s="183"/>
      <c r="FI972" s="183"/>
      <c r="FJ972" s="183"/>
      <c r="FK972" s="183"/>
      <c r="FL972" s="183"/>
      <c r="FM972" s="183"/>
      <c r="FN972" s="183"/>
      <c r="FO972" s="183"/>
      <c r="FP972" s="183"/>
      <c r="FQ972" s="183"/>
      <c r="FR972" s="183"/>
      <c r="FS972" s="183"/>
      <c r="FT972" s="183"/>
      <c r="FU972" s="183"/>
      <c r="FV972" s="183"/>
      <c r="FW972" s="183"/>
      <c r="FX972" s="183"/>
      <c r="FY972" s="183"/>
    </row>
    <row r="973" spans="1:181" ht="11.25" customHeight="1">
      <c r="A973" s="183"/>
      <c r="B973" s="183"/>
      <c r="C973" s="183"/>
      <c r="D973" s="183"/>
      <c r="E973" s="183"/>
      <c r="F973" s="183"/>
      <c r="G973" s="183"/>
      <c r="H973" s="183"/>
      <c r="I973" s="183"/>
      <c r="J973" s="183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  <c r="FE973" s="183"/>
      <c r="FF973" s="183"/>
      <c r="FG973" s="183"/>
      <c r="FH973" s="183"/>
      <c r="FI973" s="183"/>
      <c r="FJ973" s="183"/>
      <c r="FK973" s="183"/>
      <c r="FL973" s="183"/>
      <c r="FM973" s="183"/>
      <c r="FN973" s="183"/>
      <c r="FO973" s="183"/>
      <c r="FP973" s="183"/>
      <c r="FQ973" s="183"/>
      <c r="FR973" s="183"/>
      <c r="FS973" s="183"/>
      <c r="FT973" s="183"/>
      <c r="FU973" s="183"/>
      <c r="FV973" s="183"/>
      <c r="FW973" s="183"/>
      <c r="FX973" s="183"/>
      <c r="FY973" s="183"/>
    </row>
    <row r="974" spans="1:181" ht="11.25" customHeight="1">
      <c r="A974" s="183"/>
      <c r="B974" s="183"/>
      <c r="C974" s="183"/>
      <c r="D974" s="183"/>
      <c r="E974" s="183"/>
      <c r="F974" s="183"/>
      <c r="G974" s="183"/>
      <c r="H974" s="183"/>
      <c r="I974" s="183"/>
      <c r="J974" s="183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  <c r="FE974" s="183"/>
      <c r="FF974" s="183"/>
      <c r="FG974" s="183"/>
      <c r="FH974" s="183"/>
      <c r="FI974" s="183"/>
      <c r="FJ974" s="183"/>
      <c r="FK974" s="183"/>
      <c r="FL974" s="183"/>
      <c r="FM974" s="183"/>
      <c r="FN974" s="183"/>
      <c r="FO974" s="183"/>
      <c r="FP974" s="183"/>
      <c r="FQ974" s="183"/>
      <c r="FR974" s="183"/>
      <c r="FS974" s="183"/>
      <c r="FT974" s="183"/>
      <c r="FU974" s="183"/>
      <c r="FV974" s="183"/>
      <c r="FW974" s="183"/>
      <c r="FX974" s="183"/>
      <c r="FY974" s="183"/>
    </row>
    <row r="975" spans="1:181" ht="11.25" customHeight="1">
      <c r="A975" s="183"/>
      <c r="B975" s="183"/>
      <c r="C975" s="183"/>
      <c r="D975" s="183"/>
      <c r="E975" s="183"/>
      <c r="F975" s="183"/>
      <c r="G975" s="183"/>
      <c r="H975" s="183"/>
      <c r="I975" s="183"/>
      <c r="J975" s="183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  <c r="FE975" s="183"/>
      <c r="FF975" s="183"/>
      <c r="FG975" s="183"/>
      <c r="FH975" s="183"/>
      <c r="FI975" s="183"/>
      <c r="FJ975" s="183"/>
      <c r="FK975" s="183"/>
      <c r="FL975" s="183"/>
      <c r="FM975" s="183"/>
      <c r="FN975" s="183"/>
      <c r="FO975" s="183"/>
      <c r="FP975" s="183"/>
      <c r="FQ975" s="183"/>
      <c r="FR975" s="183"/>
      <c r="FS975" s="183"/>
      <c r="FT975" s="183"/>
      <c r="FU975" s="183"/>
      <c r="FV975" s="183"/>
      <c r="FW975" s="183"/>
      <c r="FX975" s="183"/>
      <c r="FY975" s="183"/>
    </row>
    <row r="976" spans="1:181" ht="11.25" customHeight="1">
      <c r="A976" s="183"/>
      <c r="B976" s="183"/>
      <c r="C976" s="183"/>
      <c r="D976" s="183"/>
      <c r="E976" s="183"/>
      <c r="F976" s="183"/>
      <c r="G976" s="183"/>
      <c r="H976" s="183"/>
      <c r="I976" s="183"/>
      <c r="J976" s="183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  <c r="FE976" s="183"/>
      <c r="FF976" s="183"/>
      <c r="FG976" s="183"/>
      <c r="FH976" s="183"/>
      <c r="FI976" s="183"/>
      <c r="FJ976" s="183"/>
      <c r="FK976" s="183"/>
      <c r="FL976" s="183"/>
      <c r="FM976" s="183"/>
      <c r="FN976" s="183"/>
      <c r="FO976" s="183"/>
      <c r="FP976" s="183"/>
      <c r="FQ976" s="183"/>
      <c r="FR976" s="183"/>
      <c r="FS976" s="183"/>
      <c r="FT976" s="183"/>
      <c r="FU976" s="183"/>
      <c r="FV976" s="183"/>
      <c r="FW976" s="183"/>
      <c r="FX976" s="183"/>
      <c r="FY976" s="183"/>
    </row>
    <row r="977" spans="1:181" ht="11.25" customHeight="1">
      <c r="A977" s="183"/>
      <c r="B977" s="183"/>
      <c r="C977" s="183"/>
      <c r="D977" s="183"/>
      <c r="E977" s="183"/>
      <c r="F977" s="183"/>
      <c r="G977" s="183"/>
      <c r="H977" s="183"/>
      <c r="I977" s="183"/>
      <c r="J977" s="183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  <c r="FE977" s="183"/>
      <c r="FF977" s="183"/>
      <c r="FG977" s="183"/>
      <c r="FH977" s="183"/>
      <c r="FI977" s="183"/>
      <c r="FJ977" s="183"/>
      <c r="FK977" s="183"/>
      <c r="FL977" s="183"/>
      <c r="FM977" s="183"/>
      <c r="FN977" s="183"/>
      <c r="FO977" s="183"/>
      <c r="FP977" s="183"/>
      <c r="FQ977" s="183"/>
      <c r="FR977" s="183"/>
      <c r="FS977" s="183"/>
      <c r="FT977" s="183"/>
      <c r="FU977" s="183"/>
      <c r="FV977" s="183"/>
      <c r="FW977" s="183"/>
      <c r="FX977" s="183"/>
      <c r="FY977" s="183"/>
    </row>
    <row r="978" spans="1:181" ht="11.25" customHeight="1">
      <c r="A978" s="183"/>
      <c r="B978" s="183"/>
      <c r="C978" s="183"/>
      <c r="D978" s="183"/>
      <c r="E978" s="183"/>
      <c r="F978" s="183"/>
      <c r="G978" s="183"/>
      <c r="H978" s="183"/>
      <c r="I978" s="183"/>
      <c r="J978" s="183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  <c r="FE978" s="183"/>
      <c r="FF978" s="183"/>
      <c r="FG978" s="183"/>
      <c r="FH978" s="183"/>
      <c r="FI978" s="183"/>
      <c r="FJ978" s="183"/>
      <c r="FK978" s="183"/>
      <c r="FL978" s="183"/>
      <c r="FM978" s="183"/>
      <c r="FN978" s="183"/>
      <c r="FO978" s="183"/>
      <c r="FP978" s="183"/>
      <c r="FQ978" s="183"/>
      <c r="FR978" s="183"/>
      <c r="FS978" s="183"/>
      <c r="FT978" s="183"/>
      <c r="FU978" s="183"/>
      <c r="FV978" s="183"/>
      <c r="FW978" s="183"/>
      <c r="FX978" s="183"/>
      <c r="FY978" s="183"/>
    </row>
    <row r="979" spans="1:181" ht="11.25" customHeight="1">
      <c r="A979" s="183"/>
      <c r="B979" s="183"/>
      <c r="C979" s="183"/>
      <c r="D979" s="183"/>
      <c r="E979" s="183"/>
      <c r="F979" s="183"/>
      <c r="G979" s="183"/>
      <c r="H979" s="183"/>
      <c r="I979" s="183"/>
      <c r="J979" s="183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  <c r="FE979" s="183"/>
      <c r="FF979" s="183"/>
      <c r="FG979" s="183"/>
      <c r="FH979" s="183"/>
      <c r="FI979" s="183"/>
      <c r="FJ979" s="183"/>
      <c r="FK979" s="183"/>
      <c r="FL979" s="183"/>
      <c r="FM979" s="183"/>
      <c r="FN979" s="183"/>
      <c r="FO979" s="183"/>
      <c r="FP979" s="183"/>
      <c r="FQ979" s="183"/>
      <c r="FR979" s="183"/>
      <c r="FS979" s="183"/>
      <c r="FT979" s="183"/>
      <c r="FU979" s="183"/>
      <c r="FV979" s="183"/>
      <c r="FW979" s="183"/>
      <c r="FX979" s="183"/>
      <c r="FY979" s="183"/>
    </row>
    <row r="980" spans="1:181" ht="11.25" customHeight="1">
      <c r="A980" s="183"/>
      <c r="B980" s="183"/>
      <c r="C980" s="183"/>
      <c r="D980" s="183"/>
      <c r="E980" s="183"/>
      <c r="F980" s="183"/>
      <c r="G980" s="183"/>
      <c r="H980" s="183"/>
      <c r="I980" s="183"/>
      <c r="J980" s="183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  <c r="FE980" s="183"/>
      <c r="FF980" s="183"/>
      <c r="FG980" s="183"/>
      <c r="FH980" s="183"/>
      <c r="FI980" s="183"/>
      <c r="FJ980" s="183"/>
      <c r="FK980" s="183"/>
      <c r="FL980" s="183"/>
      <c r="FM980" s="183"/>
      <c r="FN980" s="183"/>
      <c r="FO980" s="183"/>
      <c r="FP980" s="183"/>
      <c r="FQ980" s="183"/>
      <c r="FR980" s="183"/>
      <c r="FS980" s="183"/>
      <c r="FT980" s="183"/>
      <c r="FU980" s="183"/>
      <c r="FV980" s="183"/>
      <c r="FW980" s="183"/>
      <c r="FX980" s="183"/>
      <c r="FY980" s="183"/>
    </row>
    <row r="981" spans="1:181" ht="11.25" customHeight="1">
      <c r="A981" s="183"/>
      <c r="B981" s="183"/>
      <c r="C981" s="183"/>
      <c r="D981" s="183"/>
      <c r="E981" s="183"/>
      <c r="F981" s="183"/>
      <c r="G981" s="183"/>
      <c r="H981" s="183"/>
      <c r="I981" s="183"/>
      <c r="J981" s="183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  <c r="FE981" s="183"/>
      <c r="FF981" s="183"/>
      <c r="FG981" s="183"/>
      <c r="FH981" s="183"/>
      <c r="FI981" s="183"/>
      <c r="FJ981" s="183"/>
      <c r="FK981" s="183"/>
      <c r="FL981" s="183"/>
      <c r="FM981" s="183"/>
      <c r="FN981" s="183"/>
      <c r="FO981" s="183"/>
      <c r="FP981" s="183"/>
      <c r="FQ981" s="183"/>
      <c r="FR981" s="183"/>
      <c r="FS981" s="183"/>
      <c r="FT981" s="183"/>
      <c r="FU981" s="183"/>
      <c r="FV981" s="183"/>
      <c r="FW981" s="183"/>
      <c r="FX981" s="183"/>
      <c r="FY981" s="183"/>
    </row>
    <row r="982" spans="1:181" ht="11.25" customHeight="1">
      <c r="A982" s="183"/>
      <c r="B982" s="183"/>
      <c r="C982" s="183"/>
      <c r="D982" s="183"/>
      <c r="E982" s="183"/>
      <c r="F982" s="183"/>
      <c r="G982" s="183"/>
      <c r="H982" s="183"/>
      <c r="I982" s="183"/>
      <c r="J982" s="183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  <c r="FE982" s="183"/>
      <c r="FF982" s="183"/>
      <c r="FG982" s="183"/>
      <c r="FH982" s="183"/>
      <c r="FI982" s="183"/>
      <c r="FJ982" s="183"/>
      <c r="FK982" s="183"/>
      <c r="FL982" s="183"/>
      <c r="FM982" s="183"/>
      <c r="FN982" s="183"/>
      <c r="FO982" s="183"/>
      <c r="FP982" s="183"/>
      <c r="FQ982" s="183"/>
      <c r="FR982" s="183"/>
      <c r="FS982" s="183"/>
      <c r="FT982" s="183"/>
      <c r="FU982" s="183"/>
      <c r="FV982" s="183"/>
      <c r="FW982" s="183"/>
      <c r="FX982" s="183"/>
      <c r="FY982" s="183"/>
    </row>
    <row r="983" spans="1:181" ht="11.25" customHeight="1">
      <c r="A983" s="183"/>
      <c r="B983" s="183"/>
      <c r="C983" s="183"/>
      <c r="D983" s="183"/>
      <c r="E983" s="183"/>
      <c r="F983" s="183"/>
      <c r="G983" s="183"/>
      <c r="H983" s="183"/>
      <c r="I983" s="183"/>
      <c r="J983" s="183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  <c r="FE983" s="183"/>
      <c r="FF983" s="183"/>
      <c r="FG983" s="183"/>
      <c r="FH983" s="183"/>
      <c r="FI983" s="183"/>
      <c r="FJ983" s="183"/>
      <c r="FK983" s="183"/>
      <c r="FL983" s="183"/>
      <c r="FM983" s="183"/>
      <c r="FN983" s="183"/>
      <c r="FO983" s="183"/>
      <c r="FP983" s="183"/>
      <c r="FQ983" s="183"/>
      <c r="FR983" s="183"/>
      <c r="FS983" s="183"/>
      <c r="FT983" s="183"/>
      <c r="FU983" s="183"/>
      <c r="FV983" s="183"/>
      <c r="FW983" s="183"/>
      <c r="FX983" s="183"/>
      <c r="FY983" s="183"/>
    </row>
    <row r="984" spans="1:181" ht="11.25" customHeight="1">
      <c r="A984" s="183"/>
      <c r="B984" s="183"/>
      <c r="C984" s="183"/>
      <c r="D984" s="183"/>
      <c r="E984" s="183"/>
      <c r="F984" s="183"/>
      <c r="G984" s="183"/>
      <c r="H984" s="183"/>
      <c r="I984" s="183"/>
      <c r="J984" s="183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  <c r="FE984" s="183"/>
      <c r="FF984" s="183"/>
      <c r="FG984" s="183"/>
      <c r="FH984" s="183"/>
      <c r="FI984" s="183"/>
      <c r="FJ984" s="183"/>
      <c r="FK984" s="183"/>
      <c r="FL984" s="183"/>
      <c r="FM984" s="183"/>
      <c r="FN984" s="183"/>
      <c r="FO984" s="183"/>
      <c r="FP984" s="183"/>
      <c r="FQ984" s="183"/>
      <c r="FR984" s="183"/>
      <c r="FS984" s="183"/>
      <c r="FT984" s="183"/>
      <c r="FU984" s="183"/>
      <c r="FV984" s="183"/>
      <c r="FW984" s="183"/>
      <c r="FX984" s="183"/>
      <c r="FY984" s="183"/>
    </row>
    <row r="985" spans="1:181" ht="11.25" customHeight="1">
      <c r="A985" s="183"/>
      <c r="B985" s="183"/>
      <c r="C985" s="183"/>
      <c r="D985" s="183"/>
      <c r="E985" s="183"/>
      <c r="F985" s="183"/>
      <c r="G985" s="183"/>
      <c r="H985" s="183"/>
      <c r="I985" s="183"/>
      <c r="J985" s="183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  <c r="FE985" s="183"/>
      <c r="FF985" s="183"/>
      <c r="FG985" s="183"/>
      <c r="FH985" s="183"/>
      <c r="FI985" s="183"/>
      <c r="FJ985" s="183"/>
      <c r="FK985" s="183"/>
      <c r="FL985" s="183"/>
      <c r="FM985" s="183"/>
      <c r="FN985" s="183"/>
      <c r="FO985" s="183"/>
      <c r="FP985" s="183"/>
      <c r="FQ985" s="183"/>
      <c r="FR985" s="183"/>
      <c r="FS985" s="183"/>
      <c r="FT985" s="183"/>
      <c r="FU985" s="183"/>
      <c r="FV985" s="183"/>
      <c r="FW985" s="183"/>
      <c r="FX985" s="183"/>
      <c r="FY985" s="183"/>
    </row>
    <row r="986" spans="1:181" ht="11.25" customHeight="1">
      <c r="A986" s="183"/>
      <c r="B986" s="183"/>
      <c r="C986" s="183"/>
      <c r="D986" s="183"/>
      <c r="E986" s="183"/>
      <c r="F986" s="183"/>
      <c r="G986" s="183"/>
      <c r="H986" s="183"/>
      <c r="I986" s="183"/>
      <c r="J986" s="183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  <c r="FE986" s="183"/>
      <c r="FF986" s="183"/>
      <c r="FG986" s="183"/>
      <c r="FH986" s="183"/>
      <c r="FI986" s="183"/>
      <c r="FJ986" s="183"/>
      <c r="FK986" s="183"/>
      <c r="FL986" s="183"/>
      <c r="FM986" s="183"/>
      <c r="FN986" s="183"/>
      <c r="FO986" s="183"/>
      <c r="FP986" s="183"/>
      <c r="FQ986" s="183"/>
      <c r="FR986" s="183"/>
      <c r="FS986" s="183"/>
      <c r="FT986" s="183"/>
      <c r="FU986" s="183"/>
      <c r="FV986" s="183"/>
      <c r="FW986" s="183"/>
      <c r="FX986" s="183"/>
      <c r="FY986" s="183"/>
    </row>
    <row r="987" spans="1:181" ht="11.25" customHeight="1">
      <c r="A987" s="183"/>
      <c r="B987" s="183"/>
      <c r="C987" s="183"/>
      <c r="D987" s="183"/>
      <c r="E987" s="183"/>
      <c r="F987" s="183"/>
      <c r="G987" s="183"/>
      <c r="H987" s="183"/>
      <c r="I987" s="183"/>
      <c r="J987" s="183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  <c r="FE987" s="183"/>
      <c r="FF987" s="183"/>
      <c r="FG987" s="183"/>
      <c r="FH987" s="183"/>
      <c r="FI987" s="183"/>
      <c r="FJ987" s="183"/>
      <c r="FK987" s="183"/>
      <c r="FL987" s="183"/>
      <c r="FM987" s="183"/>
      <c r="FN987" s="183"/>
      <c r="FO987" s="183"/>
      <c r="FP987" s="183"/>
      <c r="FQ987" s="183"/>
      <c r="FR987" s="183"/>
      <c r="FS987" s="183"/>
      <c r="FT987" s="183"/>
      <c r="FU987" s="183"/>
      <c r="FV987" s="183"/>
      <c r="FW987" s="183"/>
      <c r="FX987" s="183"/>
      <c r="FY987" s="183"/>
    </row>
    <row r="988" spans="1:181" ht="11.25" customHeight="1">
      <c r="A988" s="183"/>
      <c r="B988" s="183"/>
      <c r="C988" s="183"/>
      <c r="D988" s="183"/>
      <c r="E988" s="183"/>
      <c r="F988" s="183"/>
      <c r="G988" s="183"/>
      <c r="H988" s="183"/>
      <c r="I988" s="183"/>
      <c r="J988" s="183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  <c r="FE988" s="183"/>
      <c r="FF988" s="183"/>
      <c r="FG988" s="183"/>
      <c r="FH988" s="183"/>
      <c r="FI988" s="183"/>
      <c r="FJ988" s="183"/>
      <c r="FK988" s="183"/>
      <c r="FL988" s="183"/>
      <c r="FM988" s="183"/>
      <c r="FN988" s="183"/>
      <c r="FO988" s="183"/>
      <c r="FP988" s="183"/>
      <c r="FQ988" s="183"/>
      <c r="FR988" s="183"/>
      <c r="FS988" s="183"/>
      <c r="FT988" s="183"/>
      <c r="FU988" s="183"/>
      <c r="FV988" s="183"/>
      <c r="FW988" s="183"/>
      <c r="FX988" s="183"/>
      <c r="FY988" s="183"/>
    </row>
    <row r="989" spans="1:181" ht="11.25" customHeight="1">
      <c r="A989" s="183"/>
      <c r="B989" s="183"/>
      <c r="C989" s="183"/>
      <c r="D989" s="183"/>
      <c r="E989" s="183"/>
      <c r="F989" s="183"/>
      <c r="G989" s="183"/>
      <c r="H989" s="183"/>
      <c r="I989" s="183"/>
      <c r="J989" s="183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  <c r="FE989" s="183"/>
      <c r="FF989" s="183"/>
      <c r="FG989" s="183"/>
      <c r="FH989" s="183"/>
      <c r="FI989" s="183"/>
      <c r="FJ989" s="183"/>
      <c r="FK989" s="183"/>
      <c r="FL989" s="183"/>
      <c r="FM989" s="183"/>
      <c r="FN989" s="183"/>
      <c r="FO989" s="183"/>
      <c r="FP989" s="183"/>
      <c r="FQ989" s="183"/>
      <c r="FR989" s="183"/>
      <c r="FS989" s="183"/>
      <c r="FT989" s="183"/>
      <c r="FU989" s="183"/>
      <c r="FV989" s="183"/>
      <c r="FW989" s="183"/>
      <c r="FX989" s="183"/>
      <c r="FY989" s="183"/>
    </row>
    <row r="990" spans="1:181" ht="11.25" customHeight="1">
      <c r="A990" s="183"/>
      <c r="B990" s="183"/>
      <c r="C990" s="183"/>
      <c r="D990" s="183"/>
      <c r="E990" s="183"/>
      <c r="F990" s="183"/>
      <c r="G990" s="183"/>
      <c r="H990" s="183"/>
      <c r="I990" s="183"/>
      <c r="J990" s="183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  <c r="FE990" s="183"/>
      <c r="FF990" s="183"/>
      <c r="FG990" s="183"/>
      <c r="FH990" s="183"/>
      <c r="FI990" s="183"/>
      <c r="FJ990" s="183"/>
      <c r="FK990" s="183"/>
      <c r="FL990" s="183"/>
      <c r="FM990" s="183"/>
      <c r="FN990" s="183"/>
      <c r="FO990" s="183"/>
      <c r="FP990" s="183"/>
      <c r="FQ990" s="183"/>
      <c r="FR990" s="183"/>
      <c r="FS990" s="183"/>
      <c r="FT990" s="183"/>
      <c r="FU990" s="183"/>
      <c r="FV990" s="183"/>
      <c r="FW990" s="183"/>
      <c r="FX990" s="183"/>
      <c r="FY990" s="183"/>
    </row>
    <row r="991" spans="1:181" ht="11.25" customHeight="1">
      <c r="A991" s="183"/>
      <c r="B991" s="183"/>
      <c r="C991" s="183"/>
      <c r="D991" s="183"/>
      <c r="E991" s="183"/>
      <c r="F991" s="183"/>
      <c r="G991" s="183"/>
      <c r="H991" s="183"/>
      <c r="I991" s="183"/>
      <c r="J991" s="183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  <c r="FE991" s="183"/>
      <c r="FF991" s="183"/>
      <c r="FG991" s="183"/>
      <c r="FH991" s="183"/>
      <c r="FI991" s="183"/>
      <c r="FJ991" s="183"/>
      <c r="FK991" s="183"/>
      <c r="FL991" s="183"/>
      <c r="FM991" s="183"/>
      <c r="FN991" s="183"/>
      <c r="FO991" s="183"/>
      <c r="FP991" s="183"/>
      <c r="FQ991" s="183"/>
      <c r="FR991" s="183"/>
      <c r="FS991" s="183"/>
      <c r="FT991" s="183"/>
      <c r="FU991" s="183"/>
      <c r="FV991" s="183"/>
      <c r="FW991" s="183"/>
      <c r="FX991" s="183"/>
      <c r="FY991" s="183"/>
    </row>
    <row r="992" spans="1:181" ht="11.25" customHeight="1">
      <c r="A992" s="183"/>
      <c r="B992" s="183"/>
      <c r="C992" s="183"/>
      <c r="D992" s="183"/>
      <c r="E992" s="183"/>
      <c r="F992" s="183"/>
      <c r="G992" s="183"/>
      <c r="H992" s="183"/>
      <c r="I992" s="183"/>
      <c r="J992" s="183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  <c r="FE992" s="183"/>
      <c r="FF992" s="183"/>
      <c r="FG992" s="183"/>
      <c r="FH992" s="183"/>
      <c r="FI992" s="183"/>
      <c r="FJ992" s="183"/>
      <c r="FK992" s="183"/>
      <c r="FL992" s="183"/>
      <c r="FM992" s="183"/>
      <c r="FN992" s="183"/>
      <c r="FO992" s="183"/>
      <c r="FP992" s="183"/>
      <c r="FQ992" s="183"/>
      <c r="FR992" s="183"/>
      <c r="FS992" s="183"/>
      <c r="FT992" s="183"/>
      <c r="FU992" s="183"/>
      <c r="FV992" s="183"/>
      <c r="FW992" s="183"/>
      <c r="FX992" s="183"/>
      <c r="FY992" s="183"/>
    </row>
    <row r="993" spans="1:181" ht="11.25" customHeight="1">
      <c r="A993" s="183"/>
      <c r="B993" s="183"/>
      <c r="C993" s="183"/>
      <c r="D993" s="183"/>
      <c r="E993" s="183"/>
      <c r="F993" s="183"/>
      <c r="G993" s="183"/>
      <c r="H993" s="183"/>
      <c r="I993" s="183"/>
      <c r="J993" s="183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  <c r="FE993" s="183"/>
      <c r="FF993" s="183"/>
      <c r="FG993" s="183"/>
      <c r="FH993" s="183"/>
      <c r="FI993" s="183"/>
      <c r="FJ993" s="183"/>
      <c r="FK993" s="183"/>
      <c r="FL993" s="183"/>
      <c r="FM993" s="183"/>
      <c r="FN993" s="183"/>
      <c r="FO993" s="183"/>
      <c r="FP993" s="183"/>
      <c r="FQ993" s="183"/>
      <c r="FR993" s="183"/>
      <c r="FS993" s="183"/>
      <c r="FT993" s="183"/>
      <c r="FU993" s="183"/>
      <c r="FV993" s="183"/>
      <c r="FW993" s="183"/>
      <c r="FX993" s="183"/>
      <c r="FY993" s="183"/>
    </row>
    <row r="994" spans="1:181" ht="11.25" customHeight="1">
      <c r="A994" s="183"/>
      <c r="B994" s="183"/>
      <c r="C994" s="183"/>
      <c r="D994" s="183"/>
      <c r="E994" s="183"/>
      <c r="F994" s="183"/>
      <c r="G994" s="183"/>
      <c r="H994" s="183"/>
      <c r="I994" s="183"/>
      <c r="J994" s="183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  <c r="FE994" s="183"/>
      <c r="FF994" s="183"/>
      <c r="FG994" s="183"/>
      <c r="FH994" s="183"/>
      <c r="FI994" s="183"/>
      <c r="FJ994" s="183"/>
      <c r="FK994" s="183"/>
      <c r="FL994" s="183"/>
      <c r="FM994" s="183"/>
      <c r="FN994" s="183"/>
      <c r="FO994" s="183"/>
      <c r="FP994" s="183"/>
      <c r="FQ994" s="183"/>
      <c r="FR994" s="183"/>
      <c r="FS994" s="183"/>
      <c r="FT994" s="183"/>
      <c r="FU994" s="183"/>
      <c r="FV994" s="183"/>
      <c r="FW994" s="183"/>
      <c r="FX994" s="183"/>
      <c r="FY994" s="183"/>
    </row>
    <row r="995" spans="1:181" ht="11.25" customHeight="1">
      <c r="A995" s="183"/>
      <c r="B995" s="183"/>
      <c r="C995" s="183"/>
      <c r="D995" s="183"/>
      <c r="E995" s="183"/>
      <c r="F995" s="183"/>
      <c r="G995" s="183"/>
      <c r="H995" s="183"/>
      <c r="I995" s="183"/>
      <c r="J995" s="183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  <c r="FE995" s="183"/>
      <c r="FF995" s="183"/>
      <c r="FG995" s="183"/>
      <c r="FH995" s="183"/>
      <c r="FI995" s="183"/>
      <c r="FJ995" s="183"/>
      <c r="FK995" s="183"/>
      <c r="FL995" s="183"/>
      <c r="FM995" s="183"/>
      <c r="FN995" s="183"/>
      <c r="FO995" s="183"/>
      <c r="FP995" s="183"/>
      <c r="FQ995" s="183"/>
      <c r="FR995" s="183"/>
      <c r="FS995" s="183"/>
      <c r="FT995" s="183"/>
      <c r="FU995" s="183"/>
      <c r="FV995" s="183"/>
      <c r="FW995" s="183"/>
      <c r="FX995" s="183"/>
      <c r="FY995" s="183"/>
    </row>
    <row r="996" spans="1:181" ht="11.25" customHeight="1">
      <c r="A996" s="183"/>
      <c r="B996" s="183"/>
      <c r="C996" s="183"/>
      <c r="D996" s="183"/>
      <c r="E996" s="183"/>
      <c r="F996" s="183"/>
      <c r="G996" s="183"/>
      <c r="H996" s="183"/>
      <c r="I996" s="183"/>
      <c r="J996" s="183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  <c r="FE996" s="183"/>
      <c r="FF996" s="183"/>
      <c r="FG996" s="183"/>
      <c r="FH996" s="183"/>
      <c r="FI996" s="183"/>
      <c r="FJ996" s="183"/>
      <c r="FK996" s="183"/>
      <c r="FL996" s="183"/>
      <c r="FM996" s="183"/>
      <c r="FN996" s="183"/>
      <c r="FO996" s="183"/>
      <c r="FP996" s="183"/>
      <c r="FQ996" s="183"/>
      <c r="FR996" s="183"/>
      <c r="FS996" s="183"/>
      <c r="FT996" s="183"/>
      <c r="FU996" s="183"/>
      <c r="FV996" s="183"/>
      <c r="FW996" s="183"/>
      <c r="FX996" s="183"/>
      <c r="FY996" s="183"/>
    </row>
    <row r="997" spans="1:181" ht="11.25" customHeight="1">
      <c r="A997" s="183"/>
      <c r="B997" s="183"/>
      <c r="C997" s="183"/>
      <c r="D997" s="183"/>
      <c r="E997" s="183"/>
      <c r="F997" s="183"/>
      <c r="G997" s="183"/>
      <c r="H997" s="183"/>
      <c r="I997" s="183"/>
      <c r="J997" s="183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  <c r="FE997" s="183"/>
      <c r="FF997" s="183"/>
      <c r="FG997" s="183"/>
      <c r="FH997" s="183"/>
      <c r="FI997" s="183"/>
      <c r="FJ997" s="183"/>
      <c r="FK997" s="183"/>
      <c r="FL997" s="183"/>
      <c r="FM997" s="183"/>
      <c r="FN997" s="183"/>
      <c r="FO997" s="183"/>
      <c r="FP997" s="183"/>
      <c r="FQ997" s="183"/>
      <c r="FR997" s="183"/>
      <c r="FS997" s="183"/>
      <c r="FT997" s="183"/>
      <c r="FU997" s="183"/>
      <c r="FV997" s="183"/>
      <c r="FW997" s="183"/>
      <c r="FX997" s="183"/>
      <c r="FY997" s="183"/>
    </row>
    <row r="998" spans="1:181" ht="11.25" customHeight="1">
      <c r="A998" s="183"/>
      <c r="B998" s="183"/>
      <c r="C998" s="183"/>
      <c r="D998" s="183"/>
      <c r="E998" s="183"/>
      <c r="F998" s="183"/>
      <c r="G998" s="183"/>
      <c r="H998" s="183"/>
      <c r="I998" s="183"/>
      <c r="J998" s="183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  <c r="FE998" s="183"/>
      <c r="FF998" s="183"/>
      <c r="FG998" s="183"/>
      <c r="FH998" s="183"/>
      <c r="FI998" s="183"/>
      <c r="FJ998" s="183"/>
      <c r="FK998" s="183"/>
      <c r="FL998" s="183"/>
      <c r="FM998" s="183"/>
      <c r="FN998" s="183"/>
      <c r="FO998" s="183"/>
      <c r="FP998" s="183"/>
      <c r="FQ998" s="183"/>
      <c r="FR998" s="183"/>
      <c r="FS998" s="183"/>
      <c r="FT998" s="183"/>
      <c r="FU998" s="183"/>
      <c r="FV998" s="183"/>
      <c r="FW998" s="183"/>
      <c r="FX998" s="183"/>
      <c r="FY998" s="183"/>
    </row>
    <row r="999" spans="1:181" ht="11.25" customHeight="1">
      <c r="A999" s="183"/>
      <c r="B999" s="183"/>
      <c r="C999" s="183"/>
      <c r="D999" s="183"/>
      <c r="E999" s="183"/>
      <c r="F999" s="183"/>
      <c r="G999" s="183"/>
      <c r="H999" s="183"/>
      <c r="I999" s="183"/>
      <c r="J999" s="183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  <c r="FE999" s="183"/>
      <c r="FF999" s="183"/>
      <c r="FG999" s="183"/>
      <c r="FH999" s="183"/>
      <c r="FI999" s="183"/>
      <c r="FJ999" s="183"/>
      <c r="FK999" s="183"/>
      <c r="FL999" s="183"/>
      <c r="FM999" s="183"/>
      <c r="FN999" s="183"/>
      <c r="FO999" s="183"/>
      <c r="FP999" s="183"/>
      <c r="FQ999" s="183"/>
      <c r="FR999" s="183"/>
      <c r="FS999" s="183"/>
      <c r="FT999" s="183"/>
      <c r="FU999" s="183"/>
      <c r="FV999" s="183"/>
      <c r="FW999" s="183"/>
      <c r="FX999" s="183"/>
      <c r="FY999" s="183"/>
    </row>
    <row r="1000" spans="1:181" ht="11.25" customHeight="1">
      <c r="A1000" s="183"/>
      <c r="B1000" s="183"/>
      <c r="C1000" s="183"/>
      <c r="D1000" s="183"/>
      <c r="E1000" s="183"/>
      <c r="F1000" s="183"/>
      <c r="G1000" s="183"/>
      <c r="H1000" s="183"/>
      <c r="I1000" s="183"/>
      <c r="J1000" s="183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  <c r="AL1000" s="183"/>
      <c r="AM1000" s="183"/>
      <c r="AN1000" s="183"/>
      <c r="AO1000" s="183"/>
      <c r="AP1000" s="183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183"/>
      <c r="BR1000" s="183"/>
      <c r="BS1000" s="183"/>
      <c r="BT1000" s="183"/>
      <c r="BU1000" s="183"/>
      <c r="BV1000" s="183"/>
      <c r="BW1000" s="183"/>
      <c r="BX1000" s="183"/>
      <c r="BY1000" s="183"/>
      <c r="BZ1000" s="183"/>
      <c r="CA1000" s="183"/>
      <c r="CB1000" s="183"/>
      <c r="CC1000" s="183"/>
      <c r="CD1000" s="183"/>
      <c r="CE1000" s="183"/>
      <c r="CF1000" s="183"/>
      <c r="CG1000" s="183"/>
      <c r="CH1000" s="183"/>
      <c r="CI1000" s="183"/>
      <c r="CJ1000" s="183"/>
      <c r="CK1000" s="183"/>
      <c r="CL1000" s="183"/>
      <c r="CM1000" s="183"/>
      <c r="CN1000" s="183"/>
      <c r="CO1000" s="183"/>
      <c r="CP1000" s="183"/>
      <c r="CQ1000" s="183"/>
      <c r="CR1000" s="183"/>
      <c r="CS1000" s="183"/>
      <c r="CT1000" s="183"/>
      <c r="CU1000" s="183"/>
      <c r="CV1000" s="183"/>
      <c r="CW1000" s="183"/>
      <c r="CX1000" s="183"/>
      <c r="CY1000" s="183"/>
      <c r="CZ1000" s="183"/>
      <c r="DA1000" s="183"/>
      <c r="DB1000" s="183"/>
      <c r="DC1000" s="183"/>
      <c r="DD1000" s="183"/>
      <c r="DE1000" s="183"/>
      <c r="DF1000" s="183"/>
      <c r="DG1000" s="183"/>
      <c r="DH1000" s="183"/>
      <c r="DI1000" s="183"/>
      <c r="DJ1000" s="183"/>
      <c r="DK1000" s="183"/>
      <c r="DL1000" s="183"/>
      <c r="DM1000" s="183"/>
      <c r="DN1000" s="183"/>
      <c r="DO1000" s="183"/>
      <c r="DP1000" s="183"/>
      <c r="DQ1000" s="183"/>
      <c r="DR1000" s="183"/>
      <c r="DS1000" s="183"/>
      <c r="DT1000" s="183"/>
      <c r="DU1000" s="183"/>
      <c r="DV1000" s="183"/>
      <c r="DW1000" s="183"/>
      <c r="DX1000" s="183"/>
      <c r="DY1000" s="183"/>
      <c r="DZ1000" s="183"/>
      <c r="EA1000" s="183"/>
      <c r="EB1000" s="183"/>
      <c r="EC1000" s="183"/>
      <c r="ED1000" s="183"/>
      <c r="EE1000" s="183"/>
      <c r="EF1000" s="183"/>
      <c r="EG1000" s="183"/>
      <c r="EH1000" s="183"/>
      <c r="EI1000" s="183"/>
      <c r="EJ1000" s="183"/>
      <c r="EK1000" s="183"/>
      <c r="EL1000" s="183"/>
      <c r="EM1000" s="183"/>
      <c r="EN1000" s="183"/>
      <c r="EO1000" s="183"/>
      <c r="EP1000" s="183"/>
      <c r="EQ1000" s="183"/>
      <c r="ER1000" s="183"/>
      <c r="ES1000" s="183"/>
      <c r="ET1000" s="183"/>
      <c r="EU1000" s="183"/>
      <c r="EV1000" s="183"/>
      <c r="EW1000" s="183"/>
      <c r="EX1000" s="183"/>
      <c r="EY1000" s="183"/>
      <c r="EZ1000" s="183"/>
      <c r="FA1000" s="183"/>
      <c r="FB1000" s="183"/>
      <c r="FC1000" s="183"/>
      <c r="FD1000" s="183"/>
      <c r="FE1000" s="183"/>
      <c r="FF1000" s="183"/>
      <c r="FG1000" s="183"/>
      <c r="FH1000" s="183"/>
      <c r="FI1000" s="183"/>
      <c r="FJ1000" s="183"/>
      <c r="FK1000" s="183"/>
      <c r="FL1000" s="183"/>
      <c r="FM1000" s="183"/>
      <c r="FN1000" s="183"/>
      <c r="FO1000" s="183"/>
      <c r="FP1000" s="183"/>
      <c r="FQ1000" s="183"/>
      <c r="FR1000" s="183"/>
      <c r="FS1000" s="183"/>
      <c r="FT1000" s="183"/>
      <c r="FU1000" s="183"/>
      <c r="FV1000" s="183"/>
      <c r="FW1000" s="183"/>
      <c r="FX1000" s="183"/>
      <c r="FY1000" s="183"/>
    </row>
    <row r="1001" spans="1:181" ht="11.25" customHeight="1">
      <c r="A1001" s="183"/>
      <c r="B1001" s="183"/>
      <c r="C1001" s="183"/>
      <c r="D1001" s="183"/>
      <c r="E1001" s="183"/>
      <c r="F1001" s="183"/>
      <c r="G1001" s="183"/>
      <c r="H1001" s="183"/>
      <c r="I1001" s="183"/>
      <c r="J1001" s="183"/>
      <c r="K1001" s="183"/>
      <c r="L1001" s="183"/>
      <c r="M1001" s="183"/>
      <c r="N1001" s="183"/>
      <c r="O1001" s="183"/>
      <c r="P1001" s="183"/>
      <c r="Q1001" s="183"/>
      <c r="R1001" s="183"/>
      <c r="S1001" s="183"/>
      <c r="T1001" s="183"/>
      <c r="U1001" s="183"/>
      <c r="V1001" s="183"/>
      <c r="W1001" s="183"/>
      <c r="X1001" s="183"/>
      <c r="Y1001" s="183"/>
      <c r="Z1001" s="183"/>
      <c r="AA1001" s="183"/>
      <c r="AB1001" s="183"/>
      <c r="AC1001" s="183"/>
      <c r="AD1001" s="183"/>
      <c r="AE1001" s="183"/>
      <c r="AF1001" s="183"/>
      <c r="AG1001" s="183"/>
      <c r="AH1001" s="183"/>
      <c r="AI1001" s="183"/>
      <c r="AJ1001" s="183"/>
      <c r="AK1001" s="183"/>
      <c r="AL1001" s="183"/>
      <c r="AM1001" s="183"/>
      <c r="AN1001" s="183"/>
      <c r="AO1001" s="183"/>
      <c r="AP1001" s="183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183"/>
      <c r="BR1001" s="183"/>
      <c r="BS1001" s="183"/>
      <c r="BT1001" s="183"/>
      <c r="BU1001" s="183"/>
      <c r="BV1001" s="183"/>
      <c r="BW1001" s="183"/>
      <c r="BX1001" s="183"/>
      <c r="BY1001" s="183"/>
      <c r="BZ1001" s="183"/>
      <c r="CA1001" s="183"/>
      <c r="CB1001" s="183"/>
      <c r="CC1001" s="183"/>
      <c r="CD1001" s="183"/>
      <c r="CE1001" s="183"/>
      <c r="CF1001" s="183"/>
      <c r="CG1001" s="183"/>
      <c r="CH1001" s="183"/>
      <c r="CI1001" s="183"/>
      <c r="CJ1001" s="183"/>
      <c r="CK1001" s="183"/>
      <c r="CL1001" s="183"/>
      <c r="CM1001" s="183"/>
      <c r="CN1001" s="183"/>
      <c r="CO1001" s="183"/>
      <c r="CP1001" s="183"/>
      <c r="CQ1001" s="183"/>
      <c r="CR1001" s="183"/>
      <c r="CS1001" s="183"/>
      <c r="CT1001" s="183"/>
      <c r="CU1001" s="183"/>
      <c r="CV1001" s="183"/>
      <c r="CW1001" s="183"/>
      <c r="CX1001" s="183"/>
      <c r="CY1001" s="183"/>
      <c r="CZ1001" s="183"/>
      <c r="DA1001" s="183"/>
      <c r="DB1001" s="183"/>
      <c r="DC1001" s="183"/>
      <c r="DD1001" s="183"/>
      <c r="DE1001" s="183"/>
      <c r="DF1001" s="183"/>
      <c r="DG1001" s="183"/>
      <c r="DH1001" s="183"/>
      <c r="DI1001" s="183"/>
      <c r="DJ1001" s="183"/>
      <c r="DK1001" s="183"/>
      <c r="DL1001" s="183"/>
      <c r="DM1001" s="183"/>
      <c r="DN1001" s="183"/>
      <c r="DO1001" s="183"/>
      <c r="DP1001" s="183"/>
      <c r="DQ1001" s="183"/>
      <c r="DR1001" s="183"/>
      <c r="DS1001" s="183"/>
      <c r="DT1001" s="183"/>
      <c r="DU1001" s="183"/>
      <c r="DV1001" s="183"/>
      <c r="DW1001" s="183"/>
      <c r="DX1001" s="183"/>
      <c r="DY1001" s="183"/>
      <c r="DZ1001" s="183"/>
      <c r="EA1001" s="183"/>
      <c r="EB1001" s="183"/>
      <c r="EC1001" s="183"/>
      <c r="ED1001" s="183"/>
      <c r="EE1001" s="183"/>
      <c r="EF1001" s="183"/>
      <c r="EG1001" s="183"/>
      <c r="EH1001" s="183"/>
      <c r="EI1001" s="183"/>
      <c r="EJ1001" s="183"/>
      <c r="EK1001" s="183"/>
      <c r="EL1001" s="183"/>
      <c r="EM1001" s="183"/>
      <c r="EN1001" s="183"/>
      <c r="EO1001" s="183"/>
      <c r="EP1001" s="183"/>
      <c r="EQ1001" s="183"/>
      <c r="ER1001" s="183"/>
      <c r="ES1001" s="183"/>
      <c r="ET1001" s="183"/>
      <c r="EU1001" s="183"/>
      <c r="EV1001" s="183"/>
      <c r="EW1001" s="183"/>
      <c r="EX1001" s="183"/>
      <c r="EY1001" s="183"/>
      <c r="EZ1001" s="183"/>
      <c r="FA1001" s="183"/>
      <c r="FB1001" s="183"/>
      <c r="FC1001" s="183"/>
      <c r="FD1001" s="183"/>
      <c r="FE1001" s="183"/>
      <c r="FF1001" s="183"/>
      <c r="FG1001" s="183"/>
      <c r="FH1001" s="183"/>
      <c r="FI1001" s="183"/>
      <c r="FJ1001" s="183"/>
      <c r="FK1001" s="183"/>
      <c r="FL1001" s="183"/>
      <c r="FM1001" s="183"/>
      <c r="FN1001" s="183"/>
      <c r="FO1001" s="183"/>
      <c r="FP1001" s="183"/>
      <c r="FQ1001" s="183"/>
      <c r="FR1001" s="183"/>
      <c r="FS1001" s="183"/>
      <c r="FT1001" s="183"/>
      <c r="FU1001" s="183"/>
      <c r="FV1001" s="183"/>
      <c r="FW1001" s="183"/>
      <c r="FX1001" s="183"/>
      <c r="FY1001" s="183"/>
    </row>
    <row r="1002" spans="1:181" ht="11.25" customHeight="1">
      <c r="A1002" s="183"/>
      <c r="B1002" s="183"/>
      <c r="C1002" s="183"/>
      <c r="D1002" s="183"/>
      <c r="E1002" s="183"/>
      <c r="F1002" s="183"/>
      <c r="G1002" s="183"/>
      <c r="H1002" s="183"/>
      <c r="I1002" s="183"/>
      <c r="J1002" s="183"/>
      <c r="K1002" s="183"/>
      <c r="L1002" s="183"/>
      <c r="M1002" s="183"/>
      <c r="N1002" s="183"/>
      <c r="O1002" s="183"/>
      <c r="P1002" s="183"/>
      <c r="Q1002" s="183"/>
      <c r="R1002" s="183"/>
      <c r="S1002" s="183"/>
      <c r="T1002" s="183"/>
      <c r="U1002" s="183"/>
      <c r="V1002" s="183"/>
      <c r="W1002" s="183"/>
      <c r="X1002" s="183"/>
      <c r="Y1002" s="183"/>
      <c r="Z1002" s="183"/>
      <c r="AA1002" s="183"/>
      <c r="AB1002" s="183"/>
      <c r="AC1002" s="183"/>
      <c r="AD1002" s="183"/>
      <c r="AE1002" s="183"/>
      <c r="AF1002" s="183"/>
      <c r="AG1002" s="183"/>
      <c r="AH1002" s="183"/>
      <c r="AI1002" s="183"/>
      <c r="AJ1002" s="183"/>
      <c r="AK1002" s="183"/>
      <c r="AL1002" s="183"/>
      <c r="AM1002" s="183"/>
      <c r="AN1002" s="183"/>
      <c r="AO1002" s="183"/>
      <c r="AP1002" s="183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183"/>
      <c r="BR1002" s="183"/>
      <c r="BS1002" s="183"/>
      <c r="BT1002" s="183"/>
      <c r="BU1002" s="183"/>
      <c r="BV1002" s="183"/>
      <c r="BW1002" s="183"/>
      <c r="BX1002" s="183"/>
      <c r="BY1002" s="183"/>
      <c r="BZ1002" s="183"/>
      <c r="CA1002" s="183"/>
      <c r="CB1002" s="183"/>
      <c r="CC1002" s="183"/>
      <c r="CD1002" s="183"/>
      <c r="CE1002" s="183"/>
      <c r="CF1002" s="183"/>
      <c r="CG1002" s="183"/>
      <c r="CH1002" s="183"/>
      <c r="CI1002" s="183"/>
      <c r="CJ1002" s="183"/>
      <c r="CK1002" s="183"/>
      <c r="CL1002" s="183"/>
      <c r="CM1002" s="183"/>
      <c r="CN1002" s="183"/>
      <c r="CO1002" s="183"/>
      <c r="CP1002" s="183"/>
      <c r="CQ1002" s="183"/>
      <c r="CR1002" s="183"/>
      <c r="CS1002" s="183"/>
      <c r="CT1002" s="183"/>
      <c r="CU1002" s="183"/>
      <c r="CV1002" s="183"/>
      <c r="CW1002" s="183"/>
      <c r="CX1002" s="183"/>
      <c r="CY1002" s="183"/>
      <c r="CZ1002" s="183"/>
      <c r="DA1002" s="183"/>
      <c r="DB1002" s="183"/>
      <c r="DC1002" s="183"/>
      <c r="DD1002" s="183"/>
      <c r="DE1002" s="183"/>
      <c r="DF1002" s="183"/>
      <c r="DG1002" s="183"/>
      <c r="DH1002" s="183"/>
      <c r="DI1002" s="183"/>
      <c r="DJ1002" s="183"/>
      <c r="DK1002" s="183"/>
      <c r="DL1002" s="183"/>
      <c r="DM1002" s="183"/>
      <c r="DN1002" s="183"/>
      <c r="DO1002" s="183"/>
      <c r="DP1002" s="183"/>
      <c r="DQ1002" s="183"/>
      <c r="DR1002" s="183"/>
      <c r="DS1002" s="183"/>
      <c r="DT1002" s="183"/>
      <c r="DU1002" s="183"/>
      <c r="DV1002" s="183"/>
      <c r="DW1002" s="183"/>
      <c r="DX1002" s="183"/>
      <c r="DY1002" s="183"/>
      <c r="DZ1002" s="183"/>
      <c r="EA1002" s="183"/>
      <c r="EB1002" s="183"/>
      <c r="EC1002" s="183"/>
      <c r="ED1002" s="183"/>
      <c r="EE1002" s="183"/>
      <c r="EF1002" s="183"/>
      <c r="EG1002" s="183"/>
      <c r="EH1002" s="183"/>
      <c r="EI1002" s="183"/>
      <c r="EJ1002" s="183"/>
      <c r="EK1002" s="183"/>
      <c r="EL1002" s="183"/>
      <c r="EM1002" s="183"/>
      <c r="EN1002" s="183"/>
      <c r="EO1002" s="183"/>
      <c r="EP1002" s="183"/>
      <c r="EQ1002" s="183"/>
      <c r="ER1002" s="183"/>
      <c r="ES1002" s="183"/>
      <c r="ET1002" s="183"/>
      <c r="EU1002" s="183"/>
      <c r="EV1002" s="183"/>
      <c r="EW1002" s="183"/>
      <c r="EX1002" s="183"/>
      <c r="EY1002" s="183"/>
      <c r="EZ1002" s="183"/>
      <c r="FA1002" s="183"/>
      <c r="FB1002" s="183"/>
      <c r="FC1002" s="183"/>
      <c r="FD1002" s="183"/>
      <c r="FE1002" s="183"/>
      <c r="FF1002" s="183"/>
      <c r="FG1002" s="183"/>
      <c r="FH1002" s="183"/>
      <c r="FI1002" s="183"/>
      <c r="FJ1002" s="183"/>
      <c r="FK1002" s="183"/>
      <c r="FL1002" s="183"/>
      <c r="FM1002" s="183"/>
      <c r="FN1002" s="183"/>
      <c r="FO1002" s="183"/>
      <c r="FP1002" s="183"/>
      <c r="FQ1002" s="183"/>
      <c r="FR1002" s="183"/>
      <c r="FS1002" s="183"/>
      <c r="FT1002" s="183"/>
      <c r="FU1002" s="183"/>
      <c r="FV1002" s="183"/>
      <c r="FW1002" s="183"/>
      <c r="FX1002" s="183"/>
      <c r="FY1002" s="183"/>
    </row>
    <row r="1003" spans="1:181" ht="11.25" customHeight="1">
      <c r="A1003" s="183"/>
      <c r="B1003" s="183"/>
      <c r="C1003" s="183"/>
      <c r="D1003" s="183"/>
      <c r="E1003" s="183"/>
      <c r="F1003" s="183"/>
      <c r="G1003" s="183"/>
      <c r="H1003" s="183"/>
      <c r="I1003" s="183"/>
      <c r="J1003" s="183"/>
      <c r="K1003" s="183"/>
      <c r="L1003" s="183"/>
      <c r="M1003" s="183"/>
      <c r="N1003" s="183"/>
      <c r="O1003" s="183"/>
      <c r="P1003" s="183"/>
      <c r="Q1003" s="183"/>
      <c r="R1003" s="183"/>
      <c r="S1003" s="183"/>
      <c r="T1003" s="183"/>
      <c r="U1003" s="183"/>
      <c r="V1003" s="183"/>
      <c r="W1003" s="183"/>
      <c r="X1003" s="183"/>
      <c r="Y1003" s="183"/>
      <c r="Z1003" s="183"/>
      <c r="AA1003" s="183"/>
      <c r="AB1003" s="183"/>
      <c r="AC1003" s="183"/>
      <c r="AD1003" s="183"/>
      <c r="AE1003" s="183"/>
      <c r="AF1003" s="183"/>
      <c r="AG1003" s="183"/>
      <c r="AH1003" s="183"/>
      <c r="AI1003" s="183"/>
      <c r="AJ1003" s="183"/>
      <c r="AK1003" s="183"/>
      <c r="AL1003" s="183"/>
      <c r="AM1003" s="183"/>
      <c r="AN1003" s="183"/>
      <c r="AO1003" s="183"/>
      <c r="AP1003" s="183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183"/>
      <c r="BR1003" s="183"/>
      <c r="BS1003" s="183"/>
      <c r="BT1003" s="183"/>
      <c r="BU1003" s="183"/>
      <c r="BV1003" s="183"/>
      <c r="BW1003" s="183"/>
      <c r="BX1003" s="183"/>
      <c r="BY1003" s="183"/>
      <c r="BZ1003" s="183"/>
      <c r="CA1003" s="183"/>
      <c r="CB1003" s="183"/>
      <c r="CC1003" s="183"/>
      <c r="CD1003" s="183"/>
      <c r="CE1003" s="183"/>
      <c r="CF1003" s="183"/>
      <c r="CG1003" s="183"/>
      <c r="CH1003" s="183"/>
      <c r="CI1003" s="183"/>
      <c r="CJ1003" s="183"/>
      <c r="CK1003" s="183"/>
      <c r="CL1003" s="183"/>
      <c r="CM1003" s="183"/>
      <c r="CN1003" s="183"/>
      <c r="CO1003" s="183"/>
      <c r="CP1003" s="183"/>
      <c r="CQ1003" s="183"/>
      <c r="CR1003" s="183"/>
      <c r="CS1003" s="183"/>
      <c r="CT1003" s="183"/>
      <c r="CU1003" s="183"/>
      <c r="CV1003" s="183"/>
      <c r="CW1003" s="183"/>
      <c r="CX1003" s="183"/>
      <c r="CY1003" s="183"/>
      <c r="CZ1003" s="183"/>
      <c r="DA1003" s="183"/>
      <c r="DB1003" s="183"/>
      <c r="DC1003" s="183"/>
      <c r="DD1003" s="183"/>
      <c r="DE1003" s="183"/>
      <c r="DF1003" s="183"/>
      <c r="DG1003" s="183"/>
      <c r="DH1003" s="183"/>
      <c r="DI1003" s="183"/>
      <c r="DJ1003" s="183"/>
      <c r="DK1003" s="183"/>
      <c r="DL1003" s="183"/>
      <c r="DM1003" s="183"/>
      <c r="DN1003" s="183"/>
      <c r="DO1003" s="183"/>
      <c r="DP1003" s="183"/>
      <c r="DQ1003" s="183"/>
      <c r="DR1003" s="183"/>
      <c r="DS1003" s="183"/>
      <c r="DT1003" s="183"/>
      <c r="DU1003" s="183"/>
      <c r="DV1003" s="183"/>
      <c r="DW1003" s="183"/>
      <c r="DX1003" s="183"/>
      <c r="DY1003" s="183"/>
      <c r="DZ1003" s="183"/>
      <c r="EA1003" s="183"/>
      <c r="EB1003" s="183"/>
      <c r="EC1003" s="183"/>
      <c r="ED1003" s="183"/>
      <c r="EE1003" s="183"/>
      <c r="EF1003" s="183"/>
      <c r="EG1003" s="183"/>
      <c r="EH1003" s="183"/>
      <c r="EI1003" s="183"/>
      <c r="EJ1003" s="183"/>
      <c r="EK1003" s="183"/>
      <c r="EL1003" s="183"/>
      <c r="EM1003" s="183"/>
      <c r="EN1003" s="183"/>
      <c r="EO1003" s="183"/>
      <c r="EP1003" s="183"/>
      <c r="EQ1003" s="183"/>
      <c r="ER1003" s="183"/>
      <c r="ES1003" s="183"/>
      <c r="ET1003" s="183"/>
      <c r="EU1003" s="183"/>
      <c r="EV1003" s="183"/>
      <c r="EW1003" s="183"/>
      <c r="EX1003" s="183"/>
      <c r="EY1003" s="183"/>
      <c r="EZ1003" s="183"/>
      <c r="FA1003" s="183"/>
      <c r="FB1003" s="183"/>
      <c r="FC1003" s="183"/>
      <c r="FD1003" s="183"/>
      <c r="FE1003" s="183"/>
      <c r="FF1003" s="183"/>
      <c r="FG1003" s="183"/>
      <c r="FH1003" s="183"/>
      <c r="FI1003" s="183"/>
      <c r="FJ1003" s="183"/>
      <c r="FK1003" s="183"/>
      <c r="FL1003" s="183"/>
      <c r="FM1003" s="183"/>
      <c r="FN1003" s="183"/>
      <c r="FO1003" s="183"/>
      <c r="FP1003" s="183"/>
      <c r="FQ1003" s="183"/>
      <c r="FR1003" s="183"/>
      <c r="FS1003" s="183"/>
      <c r="FT1003" s="183"/>
      <c r="FU1003" s="183"/>
      <c r="FV1003" s="183"/>
      <c r="FW1003" s="183"/>
      <c r="FX1003" s="183"/>
      <c r="FY1003" s="183"/>
    </row>
    <row r="1004" spans="1:181" ht="11.25" customHeight="1">
      <c r="A1004" s="183"/>
      <c r="B1004" s="183"/>
      <c r="C1004" s="183"/>
      <c r="D1004" s="183"/>
      <c r="E1004" s="183"/>
      <c r="F1004" s="183"/>
      <c r="G1004" s="183"/>
      <c r="H1004" s="183"/>
      <c r="I1004" s="183"/>
      <c r="J1004" s="183"/>
      <c r="K1004" s="183"/>
      <c r="L1004" s="183"/>
      <c r="M1004" s="183"/>
      <c r="N1004" s="183"/>
      <c r="O1004" s="183"/>
      <c r="P1004" s="183"/>
      <c r="Q1004" s="183"/>
      <c r="R1004" s="183"/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3"/>
      <c r="AO1004" s="183"/>
      <c r="AP1004" s="183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183"/>
      <c r="BR1004" s="183"/>
      <c r="BS1004" s="183"/>
      <c r="BT1004" s="183"/>
      <c r="BU1004" s="183"/>
      <c r="BV1004" s="183"/>
      <c r="BW1004" s="183"/>
      <c r="BX1004" s="183"/>
      <c r="BY1004" s="183"/>
      <c r="BZ1004" s="183"/>
      <c r="CA1004" s="183"/>
      <c r="CB1004" s="183"/>
      <c r="CC1004" s="183"/>
      <c r="CD1004" s="183"/>
      <c r="CE1004" s="183"/>
      <c r="CF1004" s="183"/>
      <c r="CG1004" s="183"/>
      <c r="CH1004" s="183"/>
      <c r="CI1004" s="183"/>
      <c r="CJ1004" s="183"/>
      <c r="CK1004" s="183"/>
      <c r="CL1004" s="183"/>
      <c r="CM1004" s="183"/>
      <c r="CN1004" s="183"/>
      <c r="CO1004" s="183"/>
      <c r="CP1004" s="183"/>
      <c r="CQ1004" s="183"/>
      <c r="CR1004" s="183"/>
      <c r="CS1004" s="183"/>
      <c r="CT1004" s="183"/>
      <c r="CU1004" s="183"/>
      <c r="CV1004" s="183"/>
      <c r="CW1004" s="183"/>
      <c r="CX1004" s="183"/>
      <c r="CY1004" s="183"/>
      <c r="CZ1004" s="183"/>
      <c r="DA1004" s="183"/>
      <c r="DB1004" s="183"/>
      <c r="DC1004" s="183"/>
      <c r="DD1004" s="183"/>
      <c r="DE1004" s="183"/>
      <c r="DF1004" s="183"/>
      <c r="DG1004" s="183"/>
      <c r="DH1004" s="183"/>
      <c r="DI1004" s="183"/>
      <c r="DJ1004" s="183"/>
      <c r="DK1004" s="183"/>
      <c r="DL1004" s="183"/>
      <c r="DM1004" s="183"/>
      <c r="DN1004" s="183"/>
      <c r="DO1004" s="183"/>
      <c r="DP1004" s="183"/>
      <c r="DQ1004" s="183"/>
      <c r="DR1004" s="183"/>
      <c r="DS1004" s="183"/>
      <c r="DT1004" s="183"/>
      <c r="DU1004" s="183"/>
      <c r="DV1004" s="183"/>
      <c r="DW1004" s="183"/>
      <c r="DX1004" s="183"/>
      <c r="DY1004" s="183"/>
      <c r="DZ1004" s="183"/>
      <c r="EA1004" s="183"/>
      <c r="EB1004" s="183"/>
      <c r="EC1004" s="183"/>
      <c r="ED1004" s="183"/>
      <c r="EE1004" s="183"/>
      <c r="EF1004" s="183"/>
      <c r="EG1004" s="183"/>
      <c r="EH1004" s="183"/>
      <c r="EI1004" s="183"/>
      <c r="EJ1004" s="183"/>
      <c r="EK1004" s="183"/>
      <c r="EL1004" s="183"/>
      <c r="EM1004" s="183"/>
      <c r="EN1004" s="183"/>
      <c r="EO1004" s="183"/>
      <c r="EP1004" s="183"/>
      <c r="EQ1004" s="183"/>
      <c r="ER1004" s="183"/>
      <c r="ES1004" s="183"/>
      <c r="ET1004" s="183"/>
      <c r="EU1004" s="183"/>
      <c r="EV1004" s="183"/>
      <c r="EW1004" s="183"/>
      <c r="EX1004" s="183"/>
      <c r="EY1004" s="183"/>
      <c r="EZ1004" s="183"/>
      <c r="FA1004" s="183"/>
      <c r="FB1004" s="183"/>
      <c r="FC1004" s="183"/>
      <c r="FD1004" s="183"/>
      <c r="FE1004" s="183"/>
      <c r="FF1004" s="183"/>
      <c r="FG1004" s="183"/>
      <c r="FH1004" s="183"/>
      <c r="FI1004" s="183"/>
      <c r="FJ1004" s="183"/>
      <c r="FK1004" s="183"/>
      <c r="FL1004" s="183"/>
      <c r="FM1004" s="183"/>
      <c r="FN1004" s="183"/>
      <c r="FO1004" s="183"/>
      <c r="FP1004" s="183"/>
      <c r="FQ1004" s="183"/>
      <c r="FR1004" s="183"/>
      <c r="FS1004" s="183"/>
      <c r="FT1004" s="183"/>
      <c r="FU1004" s="183"/>
      <c r="FV1004" s="183"/>
      <c r="FW1004" s="183"/>
      <c r="FX1004" s="183"/>
      <c r="FY1004" s="183"/>
    </row>
    <row r="1005" spans="1:181" ht="11.25" customHeight="1">
      <c r="A1005" s="183"/>
      <c r="B1005" s="183"/>
      <c r="C1005" s="183"/>
      <c r="D1005" s="183"/>
      <c r="E1005" s="183"/>
      <c r="F1005" s="183"/>
      <c r="G1005" s="183"/>
      <c r="H1005" s="183"/>
      <c r="I1005" s="183"/>
      <c r="J1005" s="183"/>
      <c r="K1005" s="183"/>
      <c r="L1005" s="183"/>
      <c r="M1005" s="183"/>
      <c r="N1005" s="183"/>
      <c r="O1005" s="183"/>
      <c r="P1005" s="183"/>
      <c r="Q1005" s="183"/>
      <c r="R1005" s="183"/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3"/>
      <c r="AO1005" s="183"/>
      <c r="AP1005" s="183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183"/>
      <c r="BR1005" s="183"/>
      <c r="BS1005" s="183"/>
      <c r="BT1005" s="183"/>
      <c r="BU1005" s="183"/>
      <c r="BV1005" s="183"/>
      <c r="BW1005" s="183"/>
      <c r="BX1005" s="183"/>
      <c r="BY1005" s="183"/>
      <c r="BZ1005" s="183"/>
      <c r="CA1005" s="183"/>
      <c r="CB1005" s="183"/>
      <c r="CC1005" s="183"/>
      <c r="CD1005" s="183"/>
      <c r="CE1005" s="183"/>
      <c r="CF1005" s="183"/>
      <c r="CG1005" s="183"/>
      <c r="CH1005" s="183"/>
      <c r="CI1005" s="183"/>
      <c r="CJ1005" s="183"/>
      <c r="CK1005" s="183"/>
      <c r="CL1005" s="183"/>
      <c r="CM1005" s="183"/>
      <c r="CN1005" s="183"/>
      <c r="CO1005" s="183"/>
      <c r="CP1005" s="183"/>
      <c r="CQ1005" s="183"/>
      <c r="CR1005" s="183"/>
      <c r="CS1005" s="183"/>
      <c r="CT1005" s="183"/>
      <c r="CU1005" s="183"/>
      <c r="CV1005" s="183"/>
      <c r="CW1005" s="183"/>
      <c r="CX1005" s="183"/>
      <c r="CY1005" s="183"/>
      <c r="CZ1005" s="183"/>
      <c r="DA1005" s="183"/>
      <c r="DB1005" s="183"/>
      <c r="DC1005" s="183"/>
      <c r="DD1005" s="183"/>
      <c r="DE1005" s="183"/>
      <c r="DF1005" s="183"/>
      <c r="DG1005" s="183"/>
      <c r="DH1005" s="183"/>
      <c r="DI1005" s="183"/>
      <c r="DJ1005" s="183"/>
      <c r="DK1005" s="183"/>
      <c r="DL1005" s="183"/>
      <c r="DM1005" s="183"/>
      <c r="DN1005" s="183"/>
      <c r="DO1005" s="183"/>
      <c r="DP1005" s="183"/>
      <c r="DQ1005" s="183"/>
      <c r="DR1005" s="183"/>
      <c r="DS1005" s="183"/>
      <c r="DT1005" s="183"/>
      <c r="DU1005" s="183"/>
      <c r="DV1005" s="183"/>
      <c r="DW1005" s="183"/>
      <c r="DX1005" s="183"/>
      <c r="DY1005" s="183"/>
      <c r="DZ1005" s="183"/>
      <c r="EA1005" s="183"/>
      <c r="EB1005" s="183"/>
      <c r="EC1005" s="183"/>
      <c r="ED1005" s="183"/>
      <c r="EE1005" s="183"/>
      <c r="EF1005" s="183"/>
      <c r="EG1005" s="183"/>
      <c r="EH1005" s="183"/>
      <c r="EI1005" s="183"/>
      <c r="EJ1005" s="183"/>
      <c r="EK1005" s="183"/>
      <c r="EL1005" s="183"/>
      <c r="EM1005" s="183"/>
      <c r="EN1005" s="183"/>
      <c r="EO1005" s="183"/>
      <c r="EP1005" s="183"/>
      <c r="EQ1005" s="183"/>
      <c r="ER1005" s="183"/>
      <c r="ES1005" s="183"/>
      <c r="ET1005" s="183"/>
      <c r="EU1005" s="183"/>
      <c r="EV1005" s="183"/>
      <c r="EW1005" s="183"/>
      <c r="EX1005" s="183"/>
      <c r="EY1005" s="183"/>
      <c r="EZ1005" s="183"/>
      <c r="FA1005" s="183"/>
      <c r="FB1005" s="183"/>
      <c r="FC1005" s="183"/>
      <c r="FD1005" s="183"/>
      <c r="FE1005" s="183"/>
      <c r="FF1005" s="183"/>
      <c r="FG1005" s="183"/>
      <c r="FH1005" s="183"/>
      <c r="FI1005" s="183"/>
      <c r="FJ1005" s="183"/>
      <c r="FK1005" s="183"/>
      <c r="FL1005" s="183"/>
      <c r="FM1005" s="183"/>
      <c r="FN1005" s="183"/>
      <c r="FO1005" s="183"/>
      <c r="FP1005" s="183"/>
      <c r="FQ1005" s="183"/>
      <c r="FR1005" s="183"/>
      <c r="FS1005" s="183"/>
      <c r="FT1005" s="183"/>
      <c r="FU1005" s="183"/>
      <c r="FV1005" s="183"/>
      <c r="FW1005" s="183"/>
      <c r="FX1005" s="183"/>
      <c r="FY1005" s="183"/>
    </row>
    <row r="1006" spans="1:181" ht="11.25" customHeight="1">
      <c r="A1006" s="183"/>
      <c r="B1006" s="183"/>
      <c r="C1006" s="183"/>
      <c r="D1006" s="183"/>
      <c r="E1006" s="183"/>
      <c r="F1006" s="183"/>
      <c r="G1006" s="183"/>
      <c r="H1006" s="183"/>
      <c r="I1006" s="183"/>
      <c r="J1006" s="183"/>
      <c r="K1006" s="183"/>
      <c r="L1006" s="183"/>
      <c r="M1006" s="183"/>
      <c r="N1006" s="183"/>
      <c r="O1006" s="183"/>
      <c r="P1006" s="183"/>
      <c r="Q1006" s="183"/>
      <c r="R1006" s="183"/>
      <c r="S1006" s="183"/>
      <c r="T1006" s="183"/>
      <c r="U1006" s="183"/>
      <c r="V1006" s="183"/>
      <c r="W1006" s="183"/>
      <c r="X1006" s="183"/>
      <c r="Y1006" s="183"/>
      <c r="Z1006" s="183"/>
      <c r="AA1006" s="183"/>
      <c r="AB1006" s="183"/>
      <c r="AC1006" s="183"/>
      <c r="AD1006" s="183"/>
      <c r="AE1006" s="183"/>
      <c r="AF1006" s="183"/>
      <c r="AG1006" s="183"/>
      <c r="AH1006" s="183"/>
      <c r="AI1006" s="183"/>
      <c r="AJ1006" s="183"/>
      <c r="AK1006" s="183"/>
      <c r="AL1006" s="183"/>
      <c r="AM1006" s="183"/>
      <c r="AN1006" s="183"/>
      <c r="AO1006" s="183"/>
      <c r="AP1006" s="183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183"/>
      <c r="BR1006" s="183"/>
      <c r="BS1006" s="183"/>
      <c r="BT1006" s="183"/>
      <c r="BU1006" s="183"/>
      <c r="BV1006" s="183"/>
      <c r="BW1006" s="183"/>
      <c r="BX1006" s="183"/>
      <c r="BY1006" s="183"/>
      <c r="BZ1006" s="183"/>
      <c r="CA1006" s="183"/>
      <c r="CB1006" s="183"/>
      <c r="CC1006" s="183"/>
      <c r="CD1006" s="183"/>
      <c r="CE1006" s="183"/>
      <c r="CF1006" s="183"/>
      <c r="CG1006" s="183"/>
      <c r="CH1006" s="183"/>
      <c r="CI1006" s="183"/>
      <c r="CJ1006" s="183"/>
      <c r="CK1006" s="183"/>
      <c r="CL1006" s="183"/>
      <c r="CM1006" s="183"/>
      <c r="CN1006" s="183"/>
      <c r="CO1006" s="183"/>
      <c r="CP1006" s="183"/>
      <c r="CQ1006" s="183"/>
      <c r="CR1006" s="183"/>
      <c r="CS1006" s="183"/>
      <c r="CT1006" s="183"/>
      <c r="CU1006" s="183"/>
      <c r="CV1006" s="183"/>
      <c r="CW1006" s="183"/>
      <c r="CX1006" s="183"/>
      <c r="CY1006" s="183"/>
      <c r="CZ1006" s="183"/>
      <c r="DA1006" s="183"/>
      <c r="DB1006" s="183"/>
      <c r="DC1006" s="183"/>
      <c r="DD1006" s="183"/>
      <c r="DE1006" s="183"/>
      <c r="DF1006" s="183"/>
      <c r="DG1006" s="183"/>
      <c r="DH1006" s="183"/>
      <c r="DI1006" s="183"/>
      <c r="DJ1006" s="183"/>
      <c r="DK1006" s="183"/>
      <c r="DL1006" s="183"/>
      <c r="DM1006" s="183"/>
      <c r="DN1006" s="183"/>
      <c r="DO1006" s="183"/>
      <c r="DP1006" s="183"/>
      <c r="DQ1006" s="183"/>
      <c r="DR1006" s="183"/>
      <c r="DS1006" s="183"/>
      <c r="DT1006" s="183"/>
      <c r="DU1006" s="183"/>
      <c r="DV1006" s="183"/>
      <c r="DW1006" s="183"/>
      <c r="DX1006" s="183"/>
      <c r="DY1006" s="183"/>
      <c r="DZ1006" s="183"/>
      <c r="EA1006" s="183"/>
      <c r="EB1006" s="183"/>
      <c r="EC1006" s="183"/>
      <c r="ED1006" s="183"/>
      <c r="EE1006" s="183"/>
      <c r="EF1006" s="183"/>
      <c r="EG1006" s="183"/>
      <c r="EH1006" s="183"/>
      <c r="EI1006" s="183"/>
      <c r="EJ1006" s="183"/>
      <c r="EK1006" s="183"/>
      <c r="EL1006" s="183"/>
      <c r="EM1006" s="183"/>
      <c r="EN1006" s="183"/>
      <c r="EO1006" s="183"/>
      <c r="EP1006" s="183"/>
      <c r="EQ1006" s="183"/>
      <c r="ER1006" s="183"/>
      <c r="ES1006" s="183"/>
      <c r="ET1006" s="183"/>
      <c r="EU1006" s="183"/>
      <c r="EV1006" s="183"/>
      <c r="EW1006" s="183"/>
      <c r="EX1006" s="183"/>
      <c r="EY1006" s="183"/>
      <c r="EZ1006" s="183"/>
      <c r="FA1006" s="183"/>
      <c r="FB1006" s="183"/>
      <c r="FC1006" s="183"/>
      <c r="FD1006" s="183"/>
      <c r="FE1006" s="183"/>
      <c r="FF1006" s="183"/>
      <c r="FG1006" s="183"/>
      <c r="FH1006" s="183"/>
      <c r="FI1006" s="183"/>
      <c r="FJ1006" s="183"/>
      <c r="FK1006" s="183"/>
      <c r="FL1006" s="183"/>
      <c r="FM1006" s="183"/>
      <c r="FN1006" s="183"/>
      <c r="FO1006" s="183"/>
      <c r="FP1006" s="183"/>
      <c r="FQ1006" s="183"/>
      <c r="FR1006" s="183"/>
      <c r="FS1006" s="183"/>
      <c r="FT1006" s="183"/>
      <c r="FU1006" s="183"/>
      <c r="FV1006" s="183"/>
      <c r="FW1006" s="183"/>
      <c r="FX1006" s="183"/>
      <c r="FY1006" s="183"/>
    </row>
    <row r="1007" spans="1:181" ht="11.25" customHeight="1">
      <c r="A1007" s="183"/>
      <c r="B1007" s="183"/>
      <c r="C1007" s="183"/>
      <c r="D1007" s="183"/>
      <c r="E1007" s="183"/>
      <c r="F1007" s="183"/>
      <c r="G1007" s="183"/>
      <c r="H1007" s="183"/>
      <c r="I1007" s="183"/>
      <c r="J1007" s="183"/>
      <c r="K1007" s="183"/>
      <c r="L1007" s="183"/>
      <c r="M1007" s="183"/>
      <c r="N1007" s="183"/>
      <c r="O1007" s="183"/>
      <c r="P1007" s="183"/>
      <c r="Q1007" s="183"/>
      <c r="R1007" s="183"/>
      <c r="S1007" s="183"/>
      <c r="T1007" s="183"/>
      <c r="U1007" s="183"/>
      <c r="V1007" s="183"/>
      <c r="W1007" s="183"/>
      <c r="X1007" s="183"/>
      <c r="Y1007" s="183"/>
      <c r="Z1007" s="183"/>
      <c r="AA1007" s="183"/>
      <c r="AB1007" s="183"/>
      <c r="AC1007" s="183"/>
      <c r="AD1007" s="183"/>
      <c r="AE1007" s="183"/>
      <c r="AF1007" s="183"/>
      <c r="AG1007" s="183"/>
      <c r="AH1007" s="183"/>
      <c r="AI1007" s="183"/>
      <c r="AJ1007" s="183"/>
      <c r="AK1007" s="183"/>
      <c r="AL1007" s="183"/>
      <c r="AM1007" s="183"/>
      <c r="AN1007" s="183"/>
      <c r="AO1007" s="183"/>
      <c r="AP1007" s="183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183"/>
      <c r="BR1007" s="183"/>
      <c r="BS1007" s="183"/>
      <c r="BT1007" s="183"/>
      <c r="BU1007" s="183"/>
      <c r="BV1007" s="183"/>
      <c r="BW1007" s="183"/>
      <c r="BX1007" s="183"/>
      <c r="BY1007" s="183"/>
      <c r="BZ1007" s="183"/>
      <c r="CA1007" s="183"/>
      <c r="CB1007" s="183"/>
      <c r="CC1007" s="183"/>
      <c r="CD1007" s="183"/>
      <c r="CE1007" s="183"/>
      <c r="CF1007" s="183"/>
      <c r="CG1007" s="183"/>
      <c r="CH1007" s="183"/>
      <c r="CI1007" s="183"/>
      <c r="CJ1007" s="183"/>
      <c r="CK1007" s="183"/>
      <c r="CL1007" s="183"/>
      <c r="CM1007" s="183"/>
      <c r="CN1007" s="183"/>
      <c r="CO1007" s="183"/>
      <c r="CP1007" s="183"/>
      <c r="CQ1007" s="183"/>
      <c r="CR1007" s="183"/>
      <c r="CS1007" s="183"/>
      <c r="CT1007" s="183"/>
      <c r="CU1007" s="183"/>
      <c r="CV1007" s="183"/>
      <c r="CW1007" s="183"/>
      <c r="CX1007" s="183"/>
      <c r="CY1007" s="183"/>
      <c r="CZ1007" s="183"/>
      <c r="DA1007" s="183"/>
      <c r="DB1007" s="183"/>
      <c r="DC1007" s="183"/>
      <c r="DD1007" s="183"/>
      <c r="DE1007" s="183"/>
      <c r="DF1007" s="183"/>
      <c r="DG1007" s="183"/>
      <c r="DH1007" s="183"/>
      <c r="DI1007" s="183"/>
      <c r="DJ1007" s="183"/>
      <c r="DK1007" s="183"/>
      <c r="DL1007" s="183"/>
      <c r="DM1007" s="183"/>
      <c r="DN1007" s="183"/>
      <c r="DO1007" s="183"/>
      <c r="DP1007" s="183"/>
      <c r="DQ1007" s="183"/>
      <c r="DR1007" s="183"/>
      <c r="DS1007" s="183"/>
      <c r="DT1007" s="183"/>
      <c r="DU1007" s="183"/>
      <c r="DV1007" s="183"/>
      <c r="DW1007" s="183"/>
      <c r="DX1007" s="183"/>
      <c r="DY1007" s="183"/>
      <c r="DZ1007" s="183"/>
      <c r="EA1007" s="183"/>
      <c r="EB1007" s="183"/>
      <c r="EC1007" s="183"/>
      <c r="ED1007" s="183"/>
      <c r="EE1007" s="183"/>
      <c r="EF1007" s="183"/>
      <c r="EG1007" s="183"/>
      <c r="EH1007" s="183"/>
      <c r="EI1007" s="183"/>
      <c r="EJ1007" s="183"/>
      <c r="EK1007" s="183"/>
      <c r="EL1007" s="183"/>
      <c r="EM1007" s="183"/>
      <c r="EN1007" s="183"/>
      <c r="EO1007" s="183"/>
      <c r="EP1007" s="183"/>
      <c r="EQ1007" s="183"/>
      <c r="ER1007" s="183"/>
      <c r="ES1007" s="183"/>
      <c r="ET1007" s="183"/>
      <c r="EU1007" s="183"/>
      <c r="EV1007" s="183"/>
      <c r="EW1007" s="183"/>
      <c r="EX1007" s="183"/>
      <c r="EY1007" s="183"/>
      <c r="EZ1007" s="183"/>
      <c r="FA1007" s="183"/>
      <c r="FB1007" s="183"/>
      <c r="FC1007" s="183"/>
      <c r="FD1007" s="183"/>
      <c r="FE1007" s="183"/>
      <c r="FF1007" s="183"/>
      <c r="FG1007" s="183"/>
      <c r="FH1007" s="183"/>
      <c r="FI1007" s="183"/>
      <c r="FJ1007" s="183"/>
      <c r="FK1007" s="183"/>
      <c r="FL1007" s="183"/>
      <c r="FM1007" s="183"/>
      <c r="FN1007" s="183"/>
      <c r="FO1007" s="183"/>
      <c r="FP1007" s="183"/>
      <c r="FQ1007" s="183"/>
      <c r="FR1007" s="183"/>
      <c r="FS1007" s="183"/>
      <c r="FT1007" s="183"/>
      <c r="FU1007" s="183"/>
      <c r="FV1007" s="183"/>
      <c r="FW1007" s="183"/>
      <c r="FX1007" s="183"/>
      <c r="FY1007" s="183"/>
    </row>
    <row r="1008" spans="1:181" ht="11.25" customHeight="1">
      <c r="A1008" s="183"/>
      <c r="B1008" s="183"/>
      <c r="C1008" s="183"/>
      <c r="D1008" s="183"/>
      <c r="E1008" s="183"/>
      <c r="F1008" s="183"/>
      <c r="G1008" s="183"/>
      <c r="H1008" s="183"/>
      <c r="I1008" s="183"/>
      <c r="J1008" s="183"/>
      <c r="K1008" s="183"/>
      <c r="L1008" s="183"/>
      <c r="M1008" s="183"/>
      <c r="N1008" s="183"/>
      <c r="O1008" s="183"/>
      <c r="P1008" s="183"/>
      <c r="Q1008" s="183"/>
      <c r="R1008" s="183"/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3"/>
      <c r="AO1008" s="183"/>
      <c r="AP1008" s="183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183"/>
      <c r="BR1008" s="183"/>
      <c r="BS1008" s="183"/>
      <c r="BT1008" s="183"/>
      <c r="BU1008" s="183"/>
      <c r="BV1008" s="183"/>
      <c r="BW1008" s="183"/>
      <c r="BX1008" s="183"/>
      <c r="BY1008" s="183"/>
      <c r="BZ1008" s="183"/>
      <c r="CA1008" s="183"/>
      <c r="CB1008" s="183"/>
      <c r="CC1008" s="183"/>
      <c r="CD1008" s="183"/>
      <c r="CE1008" s="183"/>
      <c r="CF1008" s="183"/>
      <c r="CG1008" s="183"/>
      <c r="CH1008" s="183"/>
      <c r="CI1008" s="183"/>
      <c r="CJ1008" s="183"/>
      <c r="CK1008" s="183"/>
      <c r="CL1008" s="183"/>
      <c r="CM1008" s="183"/>
      <c r="CN1008" s="183"/>
      <c r="CO1008" s="183"/>
      <c r="CP1008" s="183"/>
      <c r="CQ1008" s="183"/>
      <c r="CR1008" s="183"/>
      <c r="CS1008" s="183"/>
      <c r="CT1008" s="183"/>
      <c r="CU1008" s="183"/>
      <c r="CV1008" s="183"/>
      <c r="CW1008" s="183"/>
      <c r="CX1008" s="183"/>
      <c r="CY1008" s="183"/>
      <c r="CZ1008" s="183"/>
      <c r="DA1008" s="183"/>
      <c r="DB1008" s="183"/>
      <c r="DC1008" s="183"/>
      <c r="DD1008" s="183"/>
      <c r="DE1008" s="183"/>
      <c r="DF1008" s="183"/>
      <c r="DG1008" s="183"/>
      <c r="DH1008" s="183"/>
      <c r="DI1008" s="183"/>
      <c r="DJ1008" s="183"/>
      <c r="DK1008" s="183"/>
      <c r="DL1008" s="183"/>
      <c r="DM1008" s="183"/>
      <c r="DN1008" s="183"/>
      <c r="DO1008" s="183"/>
      <c r="DP1008" s="183"/>
      <c r="DQ1008" s="183"/>
      <c r="DR1008" s="183"/>
      <c r="DS1008" s="183"/>
      <c r="DT1008" s="183"/>
      <c r="DU1008" s="183"/>
      <c r="DV1008" s="183"/>
      <c r="DW1008" s="183"/>
      <c r="DX1008" s="183"/>
      <c r="DY1008" s="183"/>
      <c r="DZ1008" s="183"/>
      <c r="EA1008" s="183"/>
      <c r="EB1008" s="183"/>
      <c r="EC1008" s="183"/>
      <c r="ED1008" s="183"/>
      <c r="EE1008" s="183"/>
      <c r="EF1008" s="183"/>
      <c r="EG1008" s="183"/>
      <c r="EH1008" s="183"/>
      <c r="EI1008" s="183"/>
      <c r="EJ1008" s="183"/>
      <c r="EK1008" s="183"/>
      <c r="EL1008" s="183"/>
      <c r="EM1008" s="183"/>
      <c r="EN1008" s="183"/>
      <c r="EO1008" s="183"/>
      <c r="EP1008" s="183"/>
      <c r="EQ1008" s="183"/>
      <c r="ER1008" s="183"/>
      <c r="ES1008" s="183"/>
      <c r="ET1008" s="183"/>
      <c r="EU1008" s="183"/>
      <c r="EV1008" s="183"/>
      <c r="EW1008" s="183"/>
      <c r="EX1008" s="183"/>
      <c r="EY1008" s="183"/>
      <c r="EZ1008" s="183"/>
      <c r="FA1008" s="183"/>
      <c r="FB1008" s="183"/>
      <c r="FC1008" s="183"/>
      <c r="FD1008" s="183"/>
      <c r="FE1008" s="183"/>
      <c r="FF1008" s="183"/>
      <c r="FG1008" s="183"/>
      <c r="FH1008" s="183"/>
      <c r="FI1008" s="183"/>
      <c r="FJ1008" s="183"/>
      <c r="FK1008" s="183"/>
      <c r="FL1008" s="183"/>
      <c r="FM1008" s="183"/>
      <c r="FN1008" s="183"/>
      <c r="FO1008" s="183"/>
      <c r="FP1008" s="183"/>
      <c r="FQ1008" s="183"/>
      <c r="FR1008" s="183"/>
      <c r="FS1008" s="183"/>
      <c r="FT1008" s="183"/>
      <c r="FU1008" s="183"/>
      <c r="FV1008" s="183"/>
      <c r="FW1008" s="183"/>
      <c r="FX1008" s="183"/>
      <c r="FY1008" s="183"/>
    </row>
    <row r="1009" spans="1:181" ht="11.25" customHeight="1">
      <c r="A1009" s="183"/>
      <c r="B1009" s="183"/>
      <c r="C1009" s="183"/>
      <c r="D1009" s="183"/>
      <c r="E1009" s="183"/>
      <c r="F1009" s="183"/>
      <c r="G1009" s="183"/>
      <c r="H1009" s="183"/>
      <c r="I1009" s="183"/>
      <c r="J1009" s="183"/>
      <c r="K1009" s="183"/>
      <c r="L1009" s="183"/>
      <c r="M1009" s="183"/>
      <c r="N1009" s="183"/>
      <c r="O1009" s="183"/>
      <c r="P1009" s="183"/>
      <c r="Q1009" s="183"/>
      <c r="R1009" s="183"/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3"/>
      <c r="AO1009" s="183"/>
      <c r="AP1009" s="183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183"/>
      <c r="BR1009" s="183"/>
      <c r="BS1009" s="183"/>
      <c r="BT1009" s="183"/>
      <c r="BU1009" s="183"/>
      <c r="BV1009" s="183"/>
      <c r="BW1009" s="183"/>
      <c r="BX1009" s="183"/>
      <c r="BY1009" s="183"/>
      <c r="BZ1009" s="183"/>
      <c r="CA1009" s="183"/>
      <c r="CB1009" s="183"/>
      <c r="CC1009" s="183"/>
      <c r="CD1009" s="183"/>
      <c r="CE1009" s="183"/>
      <c r="CF1009" s="183"/>
      <c r="CG1009" s="183"/>
      <c r="CH1009" s="183"/>
      <c r="CI1009" s="183"/>
      <c r="CJ1009" s="183"/>
      <c r="CK1009" s="183"/>
      <c r="CL1009" s="183"/>
      <c r="CM1009" s="183"/>
      <c r="CN1009" s="183"/>
      <c r="CO1009" s="183"/>
      <c r="CP1009" s="183"/>
      <c r="CQ1009" s="183"/>
      <c r="CR1009" s="183"/>
      <c r="CS1009" s="183"/>
      <c r="CT1009" s="183"/>
      <c r="CU1009" s="183"/>
      <c r="CV1009" s="183"/>
      <c r="CW1009" s="183"/>
      <c r="CX1009" s="183"/>
      <c r="CY1009" s="183"/>
      <c r="CZ1009" s="183"/>
      <c r="DA1009" s="183"/>
      <c r="DB1009" s="183"/>
      <c r="DC1009" s="183"/>
      <c r="DD1009" s="183"/>
      <c r="DE1009" s="183"/>
      <c r="DF1009" s="183"/>
      <c r="DG1009" s="183"/>
      <c r="DH1009" s="183"/>
      <c r="DI1009" s="183"/>
      <c r="DJ1009" s="183"/>
      <c r="DK1009" s="183"/>
      <c r="DL1009" s="183"/>
      <c r="DM1009" s="183"/>
      <c r="DN1009" s="183"/>
      <c r="DO1009" s="183"/>
      <c r="DP1009" s="183"/>
      <c r="DQ1009" s="183"/>
      <c r="DR1009" s="183"/>
      <c r="DS1009" s="183"/>
      <c r="DT1009" s="183"/>
      <c r="DU1009" s="183"/>
      <c r="DV1009" s="183"/>
      <c r="DW1009" s="183"/>
      <c r="DX1009" s="183"/>
      <c r="DY1009" s="183"/>
      <c r="DZ1009" s="183"/>
      <c r="EA1009" s="183"/>
      <c r="EB1009" s="183"/>
      <c r="EC1009" s="183"/>
      <c r="ED1009" s="183"/>
      <c r="EE1009" s="183"/>
      <c r="EF1009" s="183"/>
      <c r="EG1009" s="183"/>
      <c r="EH1009" s="183"/>
      <c r="EI1009" s="183"/>
      <c r="EJ1009" s="183"/>
      <c r="EK1009" s="183"/>
      <c r="EL1009" s="183"/>
      <c r="EM1009" s="183"/>
      <c r="EN1009" s="183"/>
      <c r="EO1009" s="183"/>
      <c r="EP1009" s="183"/>
      <c r="EQ1009" s="183"/>
      <c r="ER1009" s="183"/>
      <c r="ES1009" s="183"/>
      <c r="ET1009" s="183"/>
      <c r="EU1009" s="183"/>
      <c r="EV1009" s="183"/>
      <c r="EW1009" s="183"/>
      <c r="EX1009" s="183"/>
      <c r="EY1009" s="183"/>
      <c r="EZ1009" s="183"/>
      <c r="FA1009" s="183"/>
      <c r="FB1009" s="183"/>
      <c r="FC1009" s="183"/>
      <c r="FD1009" s="183"/>
      <c r="FE1009" s="183"/>
      <c r="FF1009" s="183"/>
      <c r="FG1009" s="183"/>
      <c r="FH1009" s="183"/>
      <c r="FI1009" s="183"/>
      <c r="FJ1009" s="183"/>
      <c r="FK1009" s="183"/>
      <c r="FL1009" s="183"/>
      <c r="FM1009" s="183"/>
      <c r="FN1009" s="183"/>
      <c r="FO1009" s="183"/>
      <c r="FP1009" s="183"/>
      <c r="FQ1009" s="183"/>
      <c r="FR1009" s="183"/>
      <c r="FS1009" s="183"/>
      <c r="FT1009" s="183"/>
      <c r="FU1009" s="183"/>
      <c r="FV1009" s="183"/>
      <c r="FW1009" s="183"/>
      <c r="FX1009" s="183"/>
      <c r="FY1009" s="183"/>
    </row>
    <row r="1010" spans="1:181" ht="11.25" customHeight="1">
      <c r="A1010" s="183"/>
      <c r="B1010" s="183"/>
      <c r="C1010" s="183"/>
      <c r="D1010" s="183"/>
      <c r="E1010" s="183"/>
      <c r="F1010" s="183"/>
      <c r="G1010" s="183"/>
      <c r="H1010" s="183"/>
      <c r="I1010" s="183"/>
      <c r="J1010" s="183"/>
      <c r="K1010" s="183"/>
      <c r="L1010" s="183"/>
      <c r="M1010" s="183"/>
      <c r="N1010" s="183"/>
      <c r="O1010" s="183"/>
      <c r="P1010" s="183"/>
      <c r="Q1010" s="183"/>
      <c r="R1010" s="183"/>
      <c r="S1010" s="183"/>
      <c r="T1010" s="183"/>
      <c r="U1010" s="183"/>
      <c r="V1010" s="183"/>
      <c r="W1010" s="183"/>
      <c r="X1010" s="183"/>
      <c r="Y1010" s="183"/>
      <c r="Z1010" s="183"/>
      <c r="AA1010" s="183"/>
      <c r="AB1010" s="183"/>
      <c r="AC1010" s="183"/>
      <c r="AD1010" s="183"/>
      <c r="AE1010" s="183"/>
      <c r="AF1010" s="183"/>
      <c r="AG1010" s="183"/>
      <c r="AH1010" s="183"/>
      <c r="AI1010" s="183"/>
      <c r="AJ1010" s="183"/>
      <c r="AK1010" s="183"/>
      <c r="AL1010" s="183"/>
      <c r="AM1010" s="183"/>
      <c r="AN1010" s="183"/>
      <c r="AO1010" s="183"/>
      <c r="AP1010" s="183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183"/>
      <c r="BR1010" s="183"/>
      <c r="BS1010" s="183"/>
      <c r="BT1010" s="183"/>
      <c r="BU1010" s="183"/>
      <c r="BV1010" s="183"/>
      <c r="BW1010" s="183"/>
      <c r="BX1010" s="183"/>
      <c r="BY1010" s="183"/>
      <c r="BZ1010" s="183"/>
      <c r="CA1010" s="183"/>
      <c r="CB1010" s="183"/>
      <c r="CC1010" s="183"/>
      <c r="CD1010" s="183"/>
      <c r="CE1010" s="183"/>
      <c r="CF1010" s="183"/>
      <c r="CG1010" s="183"/>
      <c r="CH1010" s="183"/>
      <c r="CI1010" s="183"/>
      <c r="CJ1010" s="183"/>
      <c r="CK1010" s="183"/>
      <c r="CL1010" s="183"/>
      <c r="CM1010" s="183"/>
      <c r="CN1010" s="183"/>
      <c r="CO1010" s="183"/>
      <c r="CP1010" s="183"/>
      <c r="CQ1010" s="183"/>
      <c r="CR1010" s="183"/>
      <c r="CS1010" s="183"/>
      <c r="CT1010" s="183"/>
      <c r="CU1010" s="183"/>
      <c r="CV1010" s="183"/>
      <c r="CW1010" s="183"/>
      <c r="CX1010" s="183"/>
      <c r="CY1010" s="183"/>
      <c r="CZ1010" s="183"/>
      <c r="DA1010" s="183"/>
      <c r="DB1010" s="183"/>
      <c r="DC1010" s="183"/>
      <c r="DD1010" s="183"/>
      <c r="DE1010" s="183"/>
      <c r="DF1010" s="183"/>
      <c r="DG1010" s="183"/>
      <c r="DH1010" s="183"/>
      <c r="DI1010" s="183"/>
      <c r="DJ1010" s="183"/>
      <c r="DK1010" s="183"/>
      <c r="DL1010" s="183"/>
      <c r="DM1010" s="183"/>
      <c r="DN1010" s="183"/>
      <c r="DO1010" s="183"/>
      <c r="DP1010" s="183"/>
      <c r="DQ1010" s="183"/>
      <c r="DR1010" s="183"/>
      <c r="DS1010" s="183"/>
      <c r="DT1010" s="183"/>
      <c r="DU1010" s="183"/>
      <c r="DV1010" s="183"/>
      <c r="DW1010" s="183"/>
      <c r="DX1010" s="183"/>
      <c r="DY1010" s="183"/>
      <c r="DZ1010" s="183"/>
      <c r="EA1010" s="183"/>
      <c r="EB1010" s="183"/>
      <c r="EC1010" s="183"/>
      <c r="ED1010" s="183"/>
      <c r="EE1010" s="183"/>
      <c r="EF1010" s="183"/>
      <c r="EG1010" s="183"/>
      <c r="EH1010" s="183"/>
      <c r="EI1010" s="183"/>
      <c r="EJ1010" s="183"/>
      <c r="EK1010" s="183"/>
      <c r="EL1010" s="183"/>
      <c r="EM1010" s="183"/>
      <c r="EN1010" s="183"/>
      <c r="EO1010" s="183"/>
      <c r="EP1010" s="183"/>
      <c r="EQ1010" s="183"/>
      <c r="ER1010" s="183"/>
      <c r="ES1010" s="183"/>
      <c r="ET1010" s="183"/>
      <c r="EU1010" s="183"/>
      <c r="EV1010" s="183"/>
      <c r="EW1010" s="183"/>
      <c r="EX1010" s="183"/>
      <c r="EY1010" s="183"/>
      <c r="EZ1010" s="183"/>
      <c r="FA1010" s="183"/>
      <c r="FB1010" s="183"/>
      <c r="FC1010" s="183"/>
      <c r="FD1010" s="183"/>
      <c r="FE1010" s="183"/>
      <c r="FF1010" s="183"/>
      <c r="FG1010" s="183"/>
      <c r="FH1010" s="183"/>
      <c r="FI1010" s="183"/>
      <c r="FJ1010" s="183"/>
      <c r="FK1010" s="183"/>
      <c r="FL1010" s="183"/>
      <c r="FM1010" s="183"/>
      <c r="FN1010" s="183"/>
      <c r="FO1010" s="183"/>
      <c r="FP1010" s="183"/>
      <c r="FQ1010" s="183"/>
      <c r="FR1010" s="183"/>
      <c r="FS1010" s="183"/>
      <c r="FT1010" s="183"/>
      <c r="FU1010" s="183"/>
      <c r="FV1010" s="183"/>
      <c r="FW1010" s="183"/>
      <c r="FX1010" s="183"/>
      <c r="FY1010" s="183"/>
    </row>
    <row r="1011" spans="1:181" ht="11.25" customHeight="1">
      <c r="A1011" s="183"/>
      <c r="B1011" s="183"/>
      <c r="C1011" s="183"/>
      <c r="D1011" s="183"/>
      <c r="E1011" s="183"/>
      <c r="F1011" s="183"/>
      <c r="G1011" s="183"/>
      <c r="H1011" s="183"/>
      <c r="I1011" s="183"/>
      <c r="J1011" s="183"/>
      <c r="K1011" s="183"/>
      <c r="L1011" s="183"/>
      <c r="M1011" s="183"/>
      <c r="N1011" s="183"/>
      <c r="O1011" s="183"/>
      <c r="P1011" s="183"/>
      <c r="Q1011" s="183"/>
      <c r="R1011" s="183"/>
      <c r="S1011" s="183"/>
      <c r="T1011" s="183"/>
      <c r="U1011" s="183"/>
      <c r="V1011" s="183"/>
      <c r="W1011" s="183"/>
      <c r="X1011" s="183"/>
      <c r="Y1011" s="183"/>
      <c r="Z1011" s="183"/>
      <c r="AA1011" s="183"/>
      <c r="AB1011" s="183"/>
      <c r="AC1011" s="183"/>
      <c r="AD1011" s="183"/>
      <c r="AE1011" s="183"/>
      <c r="AF1011" s="183"/>
      <c r="AG1011" s="183"/>
      <c r="AH1011" s="183"/>
      <c r="AI1011" s="183"/>
      <c r="AJ1011" s="183"/>
      <c r="AK1011" s="183"/>
      <c r="AL1011" s="183"/>
      <c r="AM1011" s="183"/>
      <c r="AN1011" s="183"/>
      <c r="AO1011" s="183"/>
      <c r="AP1011" s="183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183"/>
      <c r="BR1011" s="183"/>
      <c r="BS1011" s="183"/>
      <c r="BT1011" s="183"/>
      <c r="BU1011" s="183"/>
      <c r="BV1011" s="183"/>
      <c r="BW1011" s="183"/>
      <c r="BX1011" s="183"/>
      <c r="BY1011" s="183"/>
      <c r="BZ1011" s="183"/>
      <c r="CA1011" s="183"/>
      <c r="CB1011" s="183"/>
      <c r="CC1011" s="183"/>
      <c r="CD1011" s="183"/>
      <c r="CE1011" s="183"/>
      <c r="CF1011" s="183"/>
      <c r="CG1011" s="183"/>
      <c r="CH1011" s="183"/>
      <c r="CI1011" s="183"/>
      <c r="CJ1011" s="183"/>
      <c r="CK1011" s="183"/>
      <c r="CL1011" s="183"/>
      <c r="CM1011" s="183"/>
      <c r="CN1011" s="183"/>
      <c r="CO1011" s="183"/>
      <c r="CP1011" s="183"/>
      <c r="CQ1011" s="183"/>
      <c r="CR1011" s="183"/>
      <c r="CS1011" s="183"/>
      <c r="CT1011" s="183"/>
      <c r="CU1011" s="183"/>
      <c r="CV1011" s="183"/>
      <c r="CW1011" s="183"/>
      <c r="CX1011" s="183"/>
      <c r="CY1011" s="183"/>
      <c r="CZ1011" s="183"/>
      <c r="DA1011" s="183"/>
      <c r="DB1011" s="183"/>
      <c r="DC1011" s="183"/>
      <c r="DD1011" s="183"/>
      <c r="DE1011" s="183"/>
      <c r="DF1011" s="183"/>
      <c r="DG1011" s="183"/>
      <c r="DH1011" s="183"/>
      <c r="DI1011" s="183"/>
      <c r="DJ1011" s="183"/>
      <c r="DK1011" s="183"/>
      <c r="DL1011" s="183"/>
      <c r="DM1011" s="183"/>
      <c r="DN1011" s="183"/>
      <c r="DO1011" s="183"/>
      <c r="DP1011" s="183"/>
      <c r="DQ1011" s="183"/>
      <c r="DR1011" s="183"/>
      <c r="DS1011" s="183"/>
      <c r="DT1011" s="183"/>
      <c r="DU1011" s="183"/>
      <c r="DV1011" s="183"/>
      <c r="DW1011" s="183"/>
      <c r="DX1011" s="183"/>
      <c r="DY1011" s="183"/>
      <c r="DZ1011" s="183"/>
      <c r="EA1011" s="183"/>
      <c r="EB1011" s="183"/>
      <c r="EC1011" s="183"/>
      <c r="ED1011" s="183"/>
      <c r="EE1011" s="183"/>
      <c r="EF1011" s="183"/>
      <c r="EG1011" s="183"/>
      <c r="EH1011" s="183"/>
      <c r="EI1011" s="183"/>
      <c r="EJ1011" s="183"/>
      <c r="EK1011" s="183"/>
      <c r="EL1011" s="183"/>
      <c r="EM1011" s="183"/>
      <c r="EN1011" s="183"/>
      <c r="EO1011" s="183"/>
      <c r="EP1011" s="183"/>
      <c r="EQ1011" s="183"/>
      <c r="ER1011" s="183"/>
      <c r="ES1011" s="183"/>
      <c r="ET1011" s="183"/>
      <c r="EU1011" s="183"/>
      <c r="EV1011" s="183"/>
      <c r="EW1011" s="183"/>
      <c r="EX1011" s="183"/>
      <c r="EY1011" s="183"/>
      <c r="EZ1011" s="183"/>
      <c r="FA1011" s="183"/>
      <c r="FB1011" s="183"/>
      <c r="FC1011" s="183"/>
      <c r="FD1011" s="183"/>
      <c r="FE1011" s="183"/>
      <c r="FF1011" s="183"/>
      <c r="FG1011" s="183"/>
      <c r="FH1011" s="183"/>
      <c r="FI1011" s="183"/>
      <c r="FJ1011" s="183"/>
      <c r="FK1011" s="183"/>
      <c r="FL1011" s="183"/>
      <c r="FM1011" s="183"/>
      <c r="FN1011" s="183"/>
      <c r="FO1011" s="183"/>
      <c r="FP1011" s="183"/>
      <c r="FQ1011" s="183"/>
      <c r="FR1011" s="183"/>
      <c r="FS1011" s="183"/>
      <c r="FT1011" s="183"/>
      <c r="FU1011" s="183"/>
      <c r="FV1011" s="183"/>
      <c r="FW1011" s="183"/>
      <c r="FX1011" s="183"/>
      <c r="FY1011" s="183"/>
    </row>
    <row r="1012" spans="1:181" ht="11.25" customHeight="1">
      <c r="A1012" s="183"/>
      <c r="B1012" s="183"/>
      <c r="C1012" s="183"/>
      <c r="D1012" s="183"/>
      <c r="E1012" s="183"/>
      <c r="F1012" s="183"/>
      <c r="G1012" s="183"/>
      <c r="H1012" s="183"/>
      <c r="I1012" s="183"/>
      <c r="J1012" s="183"/>
      <c r="K1012" s="183"/>
      <c r="L1012" s="183"/>
      <c r="M1012" s="183"/>
      <c r="N1012" s="183"/>
      <c r="O1012" s="183"/>
      <c r="P1012" s="183"/>
      <c r="Q1012" s="183"/>
      <c r="R1012" s="183"/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3"/>
      <c r="AO1012" s="183"/>
      <c r="AP1012" s="183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183"/>
      <c r="BR1012" s="183"/>
      <c r="BS1012" s="183"/>
      <c r="BT1012" s="183"/>
      <c r="BU1012" s="183"/>
      <c r="BV1012" s="183"/>
      <c r="BW1012" s="183"/>
      <c r="BX1012" s="183"/>
      <c r="BY1012" s="183"/>
      <c r="BZ1012" s="183"/>
      <c r="CA1012" s="183"/>
      <c r="CB1012" s="183"/>
      <c r="CC1012" s="183"/>
      <c r="CD1012" s="183"/>
      <c r="CE1012" s="183"/>
      <c r="CF1012" s="183"/>
      <c r="CG1012" s="183"/>
      <c r="CH1012" s="183"/>
      <c r="CI1012" s="183"/>
      <c r="CJ1012" s="183"/>
      <c r="CK1012" s="183"/>
      <c r="CL1012" s="183"/>
      <c r="CM1012" s="183"/>
      <c r="CN1012" s="183"/>
      <c r="CO1012" s="183"/>
      <c r="CP1012" s="183"/>
      <c r="CQ1012" s="183"/>
      <c r="CR1012" s="183"/>
      <c r="CS1012" s="183"/>
      <c r="CT1012" s="183"/>
      <c r="CU1012" s="183"/>
      <c r="CV1012" s="183"/>
      <c r="CW1012" s="183"/>
      <c r="CX1012" s="183"/>
      <c r="CY1012" s="183"/>
      <c r="CZ1012" s="183"/>
      <c r="DA1012" s="183"/>
      <c r="DB1012" s="183"/>
      <c r="DC1012" s="183"/>
      <c r="DD1012" s="183"/>
      <c r="DE1012" s="183"/>
      <c r="DF1012" s="183"/>
      <c r="DG1012" s="183"/>
      <c r="DH1012" s="183"/>
      <c r="DI1012" s="183"/>
      <c r="DJ1012" s="183"/>
      <c r="DK1012" s="183"/>
      <c r="DL1012" s="183"/>
      <c r="DM1012" s="183"/>
      <c r="DN1012" s="183"/>
      <c r="DO1012" s="183"/>
      <c r="DP1012" s="183"/>
      <c r="DQ1012" s="183"/>
      <c r="DR1012" s="183"/>
      <c r="DS1012" s="183"/>
      <c r="DT1012" s="183"/>
      <c r="DU1012" s="183"/>
      <c r="DV1012" s="183"/>
      <c r="DW1012" s="183"/>
      <c r="DX1012" s="183"/>
      <c r="DY1012" s="183"/>
      <c r="DZ1012" s="183"/>
      <c r="EA1012" s="183"/>
      <c r="EB1012" s="183"/>
      <c r="EC1012" s="183"/>
      <c r="ED1012" s="183"/>
      <c r="EE1012" s="183"/>
      <c r="EF1012" s="183"/>
      <c r="EG1012" s="183"/>
      <c r="EH1012" s="183"/>
      <c r="EI1012" s="183"/>
      <c r="EJ1012" s="183"/>
      <c r="EK1012" s="183"/>
      <c r="EL1012" s="183"/>
      <c r="EM1012" s="183"/>
      <c r="EN1012" s="183"/>
      <c r="EO1012" s="183"/>
      <c r="EP1012" s="183"/>
      <c r="EQ1012" s="183"/>
      <c r="ER1012" s="183"/>
      <c r="ES1012" s="183"/>
      <c r="ET1012" s="183"/>
      <c r="EU1012" s="183"/>
      <c r="EV1012" s="183"/>
      <c r="EW1012" s="183"/>
      <c r="EX1012" s="183"/>
      <c r="EY1012" s="183"/>
      <c r="EZ1012" s="183"/>
      <c r="FA1012" s="183"/>
      <c r="FB1012" s="183"/>
      <c r="FC1012" s="183"/>
      <c r="FD1012" s="183"/>
      <c r="FE1012" s="183"/>
      <c r="FF1012" s="183"/>
      <c r="FG1012" s="183"/>
      <c r="FH1012" s="183"/>
      <c r="FI1012" s="183"/>
      <c r="FJ1012" s="183"/>
      <c r="FK1012" s="183"/>
      <c r="FL1012" s="183"/>
      <c r="FM1012" s="183"/>
      <c r="FN1012" s="183"/>
      <c r="FO1012" s="183"/>
      <c r="FP1012" s="183"/>
      <c r="FQ1012" s="183"/>
      <c r="FR1012" s="183"/>
      <c r="FS1012" s="183"/>
      <c r="FT1012" s="183"/>
      <c r="FU1012" s="183"/>
      <c r="FV1012" s="183"/>
      <c r="FW1012" s="183"/>
      <c r="FX1012" s="183"/>
      <c r="FY1012" s="183"/>
    </row>
  </sheetData>
  <pageMargins left="0.31496062992125984" right="0.31496062992125984" top="0.35433070866141736" bottom="0.35433070866141736" header="0" footer="0"/>
  <pageSetup paperSize="9" scale="1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Q1003"/>
  <sheetViews>
    <sheetView workbookViewId="0"/>
  </sheetViews>
  <sheetFormatPr baseColWidth="10" defaultColWidth="12.6640625" defaultRowHeight="15.75" customHeight="1"/>
  <sheetData>
    <row r="1" spans="1:17" ht="15.75" customHeight="1">
      <c r="A1" s="139" t="s">
        <v>624</v>
      </c>
      <c r="B1" s="139"/>
      <c r="C1" s="140"/>
      <c r="D1" s="141"/>
      <c r="E1" s="142"/>
      <c r="F1" s="141"/>
      <c r="H1" s="2"/>
      <c r="J1" s="2"/>
      <c r="L1" s="2"/>
      <c r="P1" s="1"/>
    </row>
    <row r="2" spans="1:17" ht="15.75" customHeight="1">
      <c r="A2" s="143" t="s">
        <v>625</v>
      </c>
      <c r="B2" s="139"/>
      <c r="C2" s="140"/>
      <c r="D2" s="141"/>
      <c r="E2" s="142"/>
      <c r="F2" s="141"/>
      <c r="H2" s="2"/>
      <c r="J2" s="2"/>
      <c r="L2" s="2"/>
      <c r="P2" s="1"/>
    </row>
    <row r="3" spans="1:17" ht="15.75" customHeight="1">
      <c r="A3" s="142"/>
      <c r="B3" s="139" t="s">
        <v>346</v>
      </c>
      <c r="C3" s="140">
        <v>1.37</v>
      </c>
      <c r="D3" s="141" t="s">
        <v>347</v>
      </c>
      <c r="E3" s="142">
        <v>1.75</v>
      </c>
      <c r="F3" s="141" t="s">
        <v>352</v>
      </c>
      <c r="H3" s="2" t="s">
        <v>626</v>
      </c>
      <c r="J3" s="2" t="s">
        <v>627</v>
      </c>
      <c r="L3" s="2" t="s">
        <v>628</v>
      </c>
      <c r="P3" s="2" t="s">
        <v>629</v>
      </c>
    </row>
    <row r="4" spans="1:17" ht="15.75" customHeight="1">
      <c r="A4" s="142" t="s">
        <v>630</v>
      </c>
      <c r="B4" s="144">
        <v>6597</v>
      </c>
      <c r="C4" s="142"/>
      <c r="D4" s="145">
        <f t="shared" ref="D4:D6" si="0">B4*$C$3</f>
        <v>9037.8900000000012</v>
      </c>
      <c r="E4" s="142"/>
      <c r="F4" s="146">
        <f t="shared" ref="F4:F6" si="1">B4*$E$3</f>
        <v>11544.75</v>
      </c>
      <c r="H4" s="147"/>
      <c r="L4" s="1" t="s">
        <v>631</v>
      </c>
      <c r="P4" s="1" t="s">
        <v>632</v>
      </c>
      <c r="Q4" s="1">
        <v>0.73</v>
      </c>
    </row>
    <row r="5" spans="1:17" ht="15.75" customHeight="1">
      <c r="A5" s="142" t="s">
        <v>633</v>
      </c>
      <c r="B5" s="144">
        <v>2068</v>
      </c>
      <c r="C5" s="148" t="s">
        <v>634</v>
      </c>
      <c r="D5" s="145">
        <f t="shared" si="0"/>
        <v>2833.1600000000003</v>
      </c>
      <c r="E5" s="142"/>
      <c r="F5" s="146">
        <f t="shared" si="1"/>
        <v>3619</v>
      </c>
      <c r="H5" s="147"/>
      <c r="L5" s="1" t="s">
        <v>635</v>
      </c>
      <c r="P5" s="1" t="s">
        <v>4</v>
      </c>
      <c r="Q5" s="1">
        <v>1.28</v>
      </c>
    </row>
    <row r="6" spans="1:17" ht="15.75" customHeight="1">
      <c r="A6" s="142" t="s">
        <v>636</v>
      </c>
      <c r="B6" s="144">
        <v>2313</v>
      </c>
      <c r="C6" s="142"/>
      <c r="D6" s="145">
        <f t="shared" si="0"/>
        <v>3168.8100000000004</v>
      </c>
      <c r="E6" s="145"/>
      <c r="F6" s="146">
        <f t="shared" si="1"/>
        <v>4047.75</v>
      </c>
      <c r="H6" s="147"/>
      <c r="L6" s="1" t="s">
        <v>637</v>
      </c>
      <c r="P6" s="1" t="s">
        <v>638</v>
      </c>
      <c r="Q6" s="1">
        <v>4.24</v>
      </c>
    </row>
    <row r="7" spans="1:17" ht="15.75" customHeight="1">
      <c r="A7" s="142" t="s">
        <v>639</v>
      </c>
      <c r="B7" s="149">
        <f>SUM(B4:B6)</f>
        <v>10978</v>
      </c>
      <c r="C7" s="142"/>
      <c r="D7" s="150"/>
      <c r="E7" s="142"/>
      <c r="F7" s="146"/>
      <c r="H7" s="147"/>
    </row>
    <row r="8" spans="1:17" ht="15.75" customHeight="1">
      <c r="A8" s="142"/>
      <c r="B8" s="144"/>
      <c r="C8" s="142"/>
      <c r="D8" s="145"/>
      <c r="E8" s="142"/>
      <c r="F8" s="146"/>
      <c r="H8" s="147"/>
    </row>
    <row r="9" spans="1:17" ht="15.75" customHeight="1">
      <c r="A9" s="142" t="s">
        <v>640</v>
      </c>
      <c r="B9" s="144"/>
      <c r="C9" s="142"/>
      <c r="D9" s="145"/>
      <c r="E9" s="142"/>
      <c r="F9" s="146"/>
      <c r="H9" s="147"/>
    </row>
    <row r="10" spans="1:17" ht="15.75" customHeight="1">
      <c r="A10" s="142" t="s">
        <v>641</v>
      </c>
      <c r="B10" s="144"/>
      <c r="C10" s="142"/>
      <c r="D10" s="145"/>
      <c r="E10" s="142"/>
      <c r="F10" s="146"/>
      <c r="H10" s="147"/>
    </row>
    <row r="11" spans="1:17" ht="15.75" customHeight="1">
      <c r="A11" s="142"/>
      <c r="B11" s="142"/>
      <c r="C11" s="142"/>
      <c r="D11" s="150"/>
      <c r="E11" s="142"/>
      <c r="F11" s="146"/>
      <c r="H11" s="147"/>
    </row>
    <row r="12" spans="1:17" ht="15.75" customHeight="1">
      <c r="A12" s="142" t="s">
        <v>547</v>
      </c>
      <c r="B12" s="144">
        <v>2200</v>
      </c>
      <c r="C12" s="142"/>
      <c r="D12" s="145">
        <f>B12*$C$3</f>
        <v>3014.0000000000005</v>
      </c>
      <c r="E12" s="142"/>
      <c r="F12" s="146">
        <f>B12*$E$3</f>
        <v>3850</v>
      </c>
      <c r="H12" s="147"/>
    </row>
    <row r="13" spans="1:17" ht="15.75" customHeight="1">
      <c r="A13" s="142"/>
      <c r="B13" s="142"/>
      <c r="C13" s="142"/>
      <c r="D13" s="150"/>
      <c r="E13" s="142"/>
      <c r="F13" s="146"/>
      <c r="H13" s="147"/>
    </row>
    <row r="14" spans="1:17" ht="15.75" customHeight="1">
      <c r="A14" s="142" t="s">
        <v>642</v>
      </c>
      <c r="B14" s="144">
        <v>2448</v>
      </c>
      <c r="C14" s="142"/>
      <c r="D14" s="145">
        <f>B14*$C$3</f>
        <v>3353.76</v>
      </c>
      <c r="E14" s="142"/>
      <c r="F14" s="146">
        <f>B14*$E$3</f>
        <v>4284</v>
      </c>
      <c r="H14" s="147"/>
    </row>
    <row r="15" spans="1:17" ht="15.75" customHeight="1">
      <c r="A15" s="142"/>
      <c r="B15" s="142"/>
      <c r="C15" s="142"/>
      <c r="D15" s="150"/>
      <c r="E15" s="142"/>
      <c r="F15" s="146"/>
      <c r="H15" s="147"/>
    </row>
    <row r="16" spans="1:17" ht="15.75" customHeight="1">
      <c r="A16" s="142" t="s">
        <v>643</v>
      </c>
      <c r="B16" s="144">
        <v>610</v>
      </c>
      <c r="C16" s="142"/>
      <c r="D16" s="145">
        <f>B16*$C$3</f>
        <v>835.7</v>
      </c>
      <c r="E16" s="142"/>
      <c r="F16" s="146">
        <f>B16*$E$3</f>
        <v>1067.5</v>
      </c>
      <c r="H16" s="147"/>
    </row>
    <row r="17" spans="1:14" ht="15.75" customHeight="1">
      <c r="A17" s="142"/>
      <c r="B17" s="142"/>
      <c r="C17" s="142"/>
      <c r="D17" s="150"/>
      <c r="E17" s="142"/>
      <c r="F17" s="146"/>
      <c r="H17" s="147"/>
    </row>
    <row r="18" spans="1:14" ht="15.75" customHeight="1">
      <c r="A18" s="142"/>
      <c r="B18" s="151">
        <v>19614</v>
      </c>
      <c r="C18" s="142"/>
      <c r="D18" s="152">
        <f>SUM(D4:D16)</f>
        <v>22243.320000000003</v>
      </c>
      <c r="E18" s="142"/>
      <c r="F18" s="153">
        <f>SUM(F4:F17)</f>
        <v>28413</v>
      </c>
      <c r="H18" s="147"/>
      <c r="J18" s="154">
        <f>M19-$D$18</f>
        <v>63756.679999999993</v>
      </c>
      <c r="K18" s="2" t="s">
        <v>347</v>
      </c>
      <c r="L18" s="2"/>
    </row>
    <row r="19" spans="1:14" ht="15.75" customHeight="1">
      <c r="D19" s="18"/>
      <c r="F19" s="155"/>
      <c r="H19" s="147"/>
      <c r="L19" s="2" t="s">
        <v>11</v>
      </c>
      <c r="M19" s="154">
        <v>86000</v>
      </c>
      <c r="N19" s="2" t="s">
        <v>347</v>
      </c>
    </row>
    <row r="20" spans="1:14" ht="15.75" customHeight="1">
      <c r="D20" s="18"/>
      <c r="F20" s="155"/>
      <c r="H20" s="147"/>
    </row>
    <row r="21" spans="1:14" ht="15.75" customHeight="1">
      <c r="A21" s="2" t="s">
        <v>644</v>
      </c>
    </row>
    <row r="22" spans="1:14" ht="15.75" customHeight="1">
      <c r="A22" s="13" t="s">
        <v>645</v>
      </c>
    </row>
    <row r="24" spans="1:14" ht="15.75" customHeight="1">
      <c r="A24" s="142"/>
      <c r="B24" s="139" t="s">
        <v>346</v>
      </c>
      <c r="C24" s="140">
        <v>1.37</v>
      </c>
      <c r="D24" s="141" t="s">
        <v>347</v>
      </c>
      <c r="E24" s="142">
        <v>1.75</v>
      </c>
      <c r="F24" s="141" t="s">
        <v>352</v>
      </c>
    </row>
    <row r="25" spans="1:14" ht="15.75" customHeight="1">
      <c r="A25" s="142" t="s">
        <v>630</v>
      </c>
      <c r="B25" s="144"/>
      <c r="C25" s="142"/>
      <c r="D25" s="145"/>
      <c r="E25" s="142"/>
      <c r="F25" s="146"/>
    </row>
    <row r="26" spans="1:14" ht="15.75" customHeight="1">
      <c r="A26" s="142" t="s">
        <v>633</v>
      </c>
      <c r="B26" s="144">
        <v>2758</v>
      </c>
      <c r="C26" s="148" t="s">
        <v>634</v>
      </c>
      <c r="D26" s="145">
        <f>B26*$C$3</f>
        <v>3778.4600000000005</v>
      </c>
      <c r="E26" s="142"/>
      <c r="F26" s="146">
        <f>B26*$E$3</f>
        <v>4826.5</v>
      </c>
    </row>
    <row r="27" spans="1:14" ht="15.75" customHeight="1">
      <c r="A27" s="142" t="s">
        <v>636</v>
      </c>
      <c r="B27" s="144"/>
      <c r="C27" s="142"/>
      <c r="D27" s="145"/>
      <c r="E27" s="145"/>
      <c r="F27" s="146"/>
    </row>
    <row r="28" spans="1:14" ht="15.75" customHeight="1">
      <c r="A28" s="142"/>
      <c r="B28" s="142"/>
      <c r="C28" s="142"/>
      <c r="D28" s="150"/>
      <c r="E28" s="142"/>
      <c r="F28" s="146"/>
    </row>
    <row r="29" spans="1:14" ht="15.75" customHeight="1">
      <c r="A29" s="142" t="s">
        <v>640</v>
      </c>
      <c r="B29" s="144"/>
      <c r="C29" s="142"/>
      <c r="D29" s="145"/>
      <c r="E29" s="142"/>
      <c r="F29" s="146"/>
    </row>
    <row r="30" spans="1:14" ht="15.75" customHeight="1">
      <c r="A30" s="142" t="s">
        <v>641</v>
      </c>
      <c r="B30" s="144"/>
      <c r="C30" s="142"/>
      <c r="D30" s="145"/>
      <c r="E30" s="142"/>
      <c r="F30" s="146"/>
    </row>
    <row r="31" spans="1:14" ht="15.75" customHeight="1">
      <c r="A31" s="142"/>
      <c r="B31" s="142"/>
      <c r="C31" s="142"/>
      <c r="D31" s="150"/>
      <c r="E31" s="142"/>
      <c r="F31" s="146"/>
    </row>
    <row r="32" spans="1:14" ht="15.75" customHeight="1">
      <c r="A32" s="142" t="s">
        <v>547</v>
      </c>
      <c r="B32" s="144">
        <v>2200</v>
      </c>
      <c r="C32" s="142"/>
      <c r="D32" s="145">
        <f>B32*$C$3</f>
        <v>3014.0000000000005</v>
      </c>
      <c r="E32" s="142"/>
      <c r="F32" s="146">
        <f>B32*$E$3</f>
        <v>3850</v>
      </c>
    </row>
    <row r="33" spans="1:15" ht="15.75" customHeight="1">
      <c r="A33" s="142"/>
      <c r="B33" s="142"/>
      <c r="C33" s="142"/>
      <c r="D33" s="150"/>
      <c r="E33" s="142"/>
      <c r="F33" s="146"/>
    </row>
    <row r="34" spans="1:15" ht="15.75" customHeight="1">
      <c r="A34" s="142" t="s">
        <v>642</v>
      </c>
      <c r="B34" s="144"/>
      <c r="C34" s="142"/>
      <c r="D34" s="145"/>
      <c r="E34" s="142"/>
      <c r="F34" s="146"/>
      <c r="O34" s="1" t="s">
        <v>646</v>
      </c>
    </row>
    <row r="35" spans="1:15" ht="15.75" customHeight="1">
      <c r="A35" s="142"/>
      <c r="B35" s="142"/>
      <c r="C35" s="142"/>
      <c r="D35" s="150"/>
      <c r="E35" s="142"/>
      <c r="F35" s="146"/>
      <c r="H35" s="147"/>
    </row>
    <row r="36" spans="1:15" ht="15.75" customHeight="1">
      <c r="A36" s="142" t="s">
        <v>643</v>
      </c>
      <c r="B36" s="144"/>
      <c r="C36" s="142"/>
      <c r="D36" s="145"/>
      <c r="E36" s="142"/>
      <c r="F36" s="146"/>
      <c r="G36" s="14"/>
      <c r="H36" s="147"/>
    </row>
    <row r="37" spans="1:15" ht="15.75" customHeight="1">
      <c r="A37" s="142"/>
      <c r="B37" s="142"/>
      <c r="C37" s="142"/>
      <c r="D37" s="150"/>
      <c r="E37" s="142"/>
      <c r="F37" s="146"/>
      <c r="H37" s="147"/>
    </row>
    <row r="38" spans="1:15" ht="15.75" customHeight="1">
      <c r="A38" s="142"/>
      <c r="B38" s="151">
        <f>SUM(B25:B36)</f>
        <v>4958</v>
      </c>
      <c r="C38" s="142"/>
      <c r="D38" s="152">
        <f>SUM(D25:D36)</f>
        <v>6792.4600000000009</v>
      </c>
      <c r="E38" s="142"/>
      <c r="F38" s="153">
        <f>SUM(F25:F37)</f>
        <v>8676.5</v>
      </c>
      <c r="H38" s="147"/>
      <c r="J38" s="154">
        <f>M19-D38</f>
        <v>79207.539999999994</v>
      </c>
      <c r="K38" s="2" t="s">
        <v>347</v>
      </c>
    </row>
    <row r="39" spans="1:15" ht="15.75" customHeight="1">
      <c r="H39" s="147"/>
    </row>
    <row r="40" spans="1:15" ht="15.75" customHeight="1">
      <c r="D40" s="18"/>
      <c r="F40" s="155"/>
      <c r="H40" s="147"/>
    </row>
    <row r="41" spans="1:15" ht="15.75" customHeight="1">
      <c r="D41" s="18"/>
      <c r="F41" s="155"/>
      <c r="H41" s="147"/>
    </row>
    <row r="42" spans="1:15" ht="15.75" customHeight="1">
      <c r="D42" s="18"/>
      <c r="F42" s="155"/>
      <c r="H42" s="147"/>
    </row>
    <row r="43" spans="1:15" ht="15.75" customHeight="1">
      <c r="A43" s="1" t="s">
        <v>647</v>
      </c>
      <c r="D43" s="18"/>
      <c r="F43" s="155">
        <v>161</v>
      </c>
      <c r="H43" s="147"/>
    </row>
    <row r="44" spans="1:15" ht="15.75" customHeight="1">
      <c r="D44" s="18"/>
      <c r="F44" s="155"/>
      <c r="H44" s="147"/>
    </row>
    <row r="45" spans="1:15" ht="15.75" customHeight="1">
      <c r="A45" s="2" t="s">
        <v>648</v>
      </c>
      <c r="D45" s="18"/>
      <c r="F45" s="155"/>
      <c r="H45" s="147"/>
    </row>
    <row r="46" spans="1:15" ht="15.75" customHeight="1">
      <c r="A46" s="1" t="s">
        <v>649</v>
      </c>
      <c r="D46" s="18">
        <f>H46/Q6</f>
        <v>2830.1886792452829</v>
      </c>
      <c r="F46" s="155"/>
      <c r="H46" s="147">
        <v>12000</v>
      </c>
      <c r="I46" s="147">
        <v>12000</v>
      </c>
      <c r="J46" s="1" t="s">
        <v>650</v>
      </c>
    </row>
    <row r="47" spans="1:15" ht="13">
      <c r="A47" s="1" t="s">
        <v>651</v>
      </c>
      <c r="D47" s="18">
        <f>F47/Q5</f>
        <v>3515.625</v>
      </c>
      <c r="F47" s="155">
        <v>4500</v>
      </c>
      <c r="H47" s="147"/>
      <c r="J47" s="1" t="s">
        <v>652</v>
      </c>
    </row>
    <row r="48" spans="1:15" ht="13">
      <c r="A48" s="1" t="s">
        <v>653</v>
      </c>
      <c r="D48" s="18"/>
      <c r="F48" s="156"/>
      <c r="H48" s="147">
        <v>5000</v>
      </c>
      <c r="J48" s="1" t="s">
        <v>650</v>
      </c>
    </row>
    <row r="49" spans="1:11" ht="13">
      <c r="D49" s="18"/>
      <c r="F49" s="155"/>
      <c r="H49" s="147"/>
    </row>
    <row r="50" spans="1:11" ht="13">
      <c r="A50" s="1" t="s">
        <v>654</v>
      </c>
      <c r="D50" s="18"/>
      <c r="F50" s="155"/>
      <c r="H50" s="147">
        <v>3000</v>
      </c>
    </row>
    <row r="51" spans="1:11" ht="13">
      <c r="C51" s="2" t="s">
        <v>655</v>
      </c>
      <c r="D51" s="154">
        <f>SUM(D46:D50)</f>
        <v>6345.8136792452824</v>
      </c>
      <c r="F51" s="155"/>
      <c r="H51" s="147"/>
    </row>
    <row r="52" spans="1:11" ht="13">
      <c r="D52" s="14"/>
      <c r="F52" s="155"/>
      <c r="H52" s="147"/>
    </row>
    <row r="53" spans="1:11" ht="13">
      <c r="C53" s="2" t="s">
        <v>656</v>
      </c>
      <c r="D53" s="154">
        <f>D18-D51</f>
        <v>15897.506320754721</v>
      </c>
      <c r="F53" s="155"/>
      <c r="H53" s="147"/>
      <c r="J53" s="154">
        <f>M19-D53</f>
        <v>70102.493679245279</v>
      </c>
      <c r="K53" s="2" t="s">
        <v>347</v>
      </c>
    </row>
    <row r="54" spans="1:11" ht="13">
      <c r="D54" s="14"/>
      <c r="F54" s="14"/>
    </row>
    <row r="55" spans="1:11" ht="13">
      <c r="D55" s="14"/>
      <c r="F55" s="14"/>
    </row>
    <row r="56" spans="1:11" ht="13">
      <c r="A56" s="1" t="s">
        <v>633</v>
      </c>
      <c r="B56" s="157">
        <v>36960</v>
      </c>
      <c r="C56" s="1" t="s">
        <v>657</v>
      </c>
      <c r="D56" s="157">
        <f t="shared" ref="D56:D58" si="2">B56/12</f>
        <v>3080</v>
      </c>
      <c r="F56" s="14"/>
    </row>
    <row r="57" spans="1:11" ht="13">
      <c r="B57" s="157">
        <v>29568</v>
      </c>
      <c r="C57" s="1" t="s">
        <v>658</v>
      </c>
      <c r="D57" s="157">
        <f t="shared" si="2"/>
        <v>2464</v>
      </c>
      <c r="F57" s="14"/>
    </row>
    <row r="58" spans="1:11" ht="13">
      <c r="A58" s="157"/>
      <c r="B58" s="157">
        <v>22176</v>
      </c>
      <c r="C58" s="1" t="s">
        <v>659</v>
      </c>
      <c r="D58" s="157">
        <f t="shared" si="2"/>
        <v>1848</v>
      </c>
      <c r="F58" s="14"/>
    </row>
    <row r="59" spans="1:11" ht="13">
      <c r="D59" s="14"/>
      <c r="F59" s="14"/>
    </row>
    <row r="60" spans="1:11" ht="13">
      <c r="D60" s="14"/>
      <c r="F60" s="14"/>
    </row>
    <row r="61" spans="1:11" ht="13">
      <c r="D61" s="14"/>
      <c r="F61" s="14"/>
    </row>
    <row r="62" spans="1:11" ht="13">
      <c r="D62" s="14"/>
      <c r="F62" s="14"/>
    </row>
    <row r="63" spans="1:11" ht="13">
      <c r="D63" s="14"/>
      <c r="F63" s="14"/>
    </row>
    <row r="64" spans="1:11" ht="13">
      <c r="D64" s="14"/>
      <c r="F64" s="14"/>
    </row>
    <row r="65" spans="4:6" ht="13">
      <c r="D65" s="14"/>
      <c r="F65" s="14"/>
    </row>
    <row r="66" spans="4:6" ht="13">
      <c r="D66" s="14"/>
      <c r="F66" s="14"/>
    </row>
    <row r="67" spans="4:6" ht="13">
      <c r="D67" s="14"/>
      <c r="F67" s="14"/>
    </row>
    <row r="68" spans="4:6" ht="13">
      <c r="D68" s="14"/>
      <c r="F68" s="14"/>
    </row>
    <row r="69" spans="4:6" ht="13">
      <c r="D69" s="14"/>
      <c r="F69" s="14"/>
    </row>
    <row r="70" spans="4:6" ht="13">
      <c r="D70" s="14"/>
      <c r="F70" s="14"/>
    </row>
    <row r="71" spans="4:6" ht="13">
      <c r="D71" s="14"/>
      <c r="F71" s="14"/>
    </row>
    <row r="72" spans="4:6" ht="13">
      <c r="D72" s="14"/>
      <c r="F72" s="14"/>
    </row>
    <row r="73" spans="4:6" ht="13">
      <c r="D73" s="14"/>
      <c r="F73" s="14"/>
    </row>
    <row r="74" spans="4:6" ht="13">
      <c r="D74" s="14"/>
      <c r="F74" s="14"/>
    </row>
    <row r="75" spans="4:6" ht="13">
      <c r="D75" s="14"/>
      <c r="F75" s="14"/>
    </row>
    <row r="76" spans="4:6" ht="13">
      <c r="D76" s="14"/>
      <c r="F76" s="14"/>
    </row>
    <row r="77" spans="4:6" ht="13">
      <c r="D77" s="14"/>
      <c r="F77" s="14"/>
    </row>
    <row r="78" spans="4:6" ht="13">
      <c r="D78" s="14"/>
      <c r="F78" s="14"/>
    </row>
    <row r="79" spans="4:6" ht="13">
      <c r="D79" s="14"/>
      <c r="F79" s="14"/>
    </row>
    <row r="80" spans="4:6" ht="13">
      <c r="D80" s="14"/>
      <c r="F80" s="14"/>
    </row>
    <row r="81" spans="4:6" ht="13">
      <c r="D81" s="14"/>
      <c r="F81" s="14"/>
    </row>
    <row r="82" spans="4:6" ht="13">
      <c r="D82" s="14"/>
      <c r="F82" s="14"/>
    </row>
    <row r="83" spans="4:6" ht="13">
      <c r="D83" s="14"/>
      <c r="F83" s="14"/>
    </row>
    <row r="84" spans="4:6" ht="13">
      <c r="D84" s="14"/>
      <c r="F84" s="14"/>
    </row>
    <row r="85" spans="4:6" ht="13">
      <c r="D85" s="14"/>
      <c r="F85" s="14"/>
    </row>
    <row r="86" spans="4:6" ht="13">
      <c r="D86" s="14"/>
      <c r="F86" s="14"/>
    </row>
    <row r="87" spans="4:6" ht="13">
      <c r="D87" s="14"/>
      <c r="F87" s="14"/>
    </row>
    <row r="88" spans="4:6" ht="13">
      <c r="D88" s="14"/>
      <c r="F88" s="14"/>
    </row>
    <row r="89" spans="4:6" ht="13">
      <c r="D89" s="14"/>
      <c r="F89" s="14"/>
    </row>
    <row r="90" spans="4:6" ht="13">
      <c r="D90" s="14"/>
      <c r="F90" s="14"/>
    </row>
    <row r="91" spans="4:6" ht="13">
      <c r="D91" s="14"/>
      <c r="F91" s="14"/>
    </row>
    <row r="92" spans="4:6" ht="13">
      <c r="D92" s="14"/>
      <c r="F92" s="14"/>
    </row>
    <row r="93" spans="4:6" ht="13">
      <c r="D93" s="14"/>
      <c r="F93" s="14"/>
    </row>
    <row r="94" spans="4:6" ht="13">
      <c r="D94" s="14"/>
      <c r="F94" s="14"/>
    </row>
    <row r="95" spans="4:6" ht="13">
      <c r="D95" s="14"/>
      <c r="F95" s="14"/>
    </row>
    <row r="96" spans="4:6" ht="13">
      <c r="D96" s="14"/>
      <c r="F96" s="14"/>
    </row>
    <row r="97" spans="4:6" ht="13">
      <c r="D97" s="14"/>
      <c r="F97" s="14"/>
    </row>
    <row r="98" spans="4:6" ht="13">
      <c r="D98" s="14"/>
      <c r="F98" s="14"/>
    </row>
    <row r="99" spans="4:6" ht="13">
      <c r="D99" s="14"/>
      <c r="F99" s="14"/>
    </row>
    <row r="100" spans="4:6" ht="13">
      <c r="D100" s="14"/>
      <c r="F100" s="14"/>
    </row>
    <row r="101" spans="4:6" ht="13">
      <c r="D101" s="14"/>
      <c r="F101" s="14"/>
    </row>
    <row r="102" spans="4:6" ht="13">
      <c r="D102" s="14"/>
      <c r="F102" s="14"/>
    </row>
    <row r="103" spans="4:6" ht="13">
      <c r="D103" s="14"/>
      <c r="F103" s="14"/>
    </row>
    <row r="104" spans="4:6" ht="13">
      <c r="D104" s="14"/>
      <c r="F104" s="14"/>
    </row>
    <row r="105" spans="4:6" ht="13">
      <c r="D105" s="14"/>
      <c r="F105" s="14"/>
    </row>
    <row r="106" spans="4:6" ht="13">
      <c r="D106" s="14"/>
      <c r="F106" s="14"/>
    </row>
    <row r="107" spans="4:6" ht="13">
      <c r="D107" s="14"/>
      <c r="F107" s="14"/>
    </row>
    <row r="108" spans="4:6" ht="13">
      <c r="D108" s="14"/>
      <c r="F108" s="14"/>
    </row>
    <row r="109" spans="4:6" ht="13">
      <c r="D109" s="14"/>
      <c r="F109" s="14"/>
    </row>
    <row r="110" spans="4:6" ht="13">
      <c r="D110" s="14"/>
      <c r="F110" s="14"/>
    </row>
    <row r="111" spans="4:6" ht="13">
      <c r="D111" s="14"/>
      <c r="F111" s="14"/>
    </row>
    <row r="112" spans="4:6" ht="13">
      <c r="D112" s="14"/>
      <c r="F112" s="14"/>
    </row>
    <row r="113" spans="4:6" ht="13">
      <c r="D113" s="14"/>
      <c r="F113" s="14"/>
    </row>
    <row r="114" spans="4:6" ht="13">
      <c r="D114" s="14"/>
      <c r="F114" s="14"/>
    </row>
    <row r="115" spans="4:6" ht="13">
      <c r="D115" s="14"/>
      <c r="F115" s="14"/>
    </row>
    <row r="116" spans="4:6" ht="13">
      <c r="D116" s="14"/>
      <c r="F116" s="14"/>
    </row>
    <row r="117" spans="4:6" ht="13">
      <c r="D117" s="14"/>
      <c r="F117" s="14"/>
    </row>
    <row r="118" spans="4:6" ht="13">
      <c r="D118" s="14"/>
      <c r="F118" s="14"/>
    </row>
    <row r="119" spans="4:6" ht="13">
      <c r="D119" s="14"/>
      <c r="F119" s="14"/>
    </row>
    <row r="120" spans="4:6" ht="13">
      <c r="D120" s="14"/>
      <c r="F120" s="14"/>
    </row>
    <row r="121" spans="4:6" ht="13">
      <c r="D121" s="14"/>
      <c r="F121" s="14"/>
    </row>
    <row r="122" spans="4:6" ht="13">
      <c r="D122" s="14"/>
      <c r="F122" s="14"/>
    </row>
    <row r="123" spans="4:6" ht="13">
      <c r="D123" s="14"/>
      <c r="F123" s="14"/>
    </row>
    <row r="124" spans="4:6" ht="13">
      <c r="D124" s="14"/>
      <c r="F124" s="14"/>
    </row>
    <row r="125" spans="4:6" ht="13">
      <c r="D125" s="14"/>
      <c r="F125" s="14"/>
    </row>
    <row r="126" spans="4:6" ht="13">
      <c r="D126" s="14"/>
      <c r="F126" s="14"/>
    </row>
    <row r="127" spans="4:6" ht="13">
      <c r="D127" s="14"/>
      <c r="F127" s="14"/>
    </row>
    <row r="128" spans="4:6" ht="13">
      <c r="D128" s="14"/>
      <c r="F128" s="14"/>
    </row>
    <row r="129" spans="4:6" ht="13">
      <c r="D129" s="14"/>
      <c r="F129" s="14"/>
    </row>
    <row r="130" spans="4:6" ht="13">
      <c r="D130" s="14"/>
      <c r="F130" s="14"/>
    </row>
    <row r="131" spans="4:6" ht="13">
      <c r="D131" s="14"/>
      <c r="F131" s="14"/>
    </row>
    <row r="132" spans="4:6" ht="13">
      <c r="D132" s="14"/>
      <c r="F132" s="14"/>
    </row>
    <row r="133" spans="4:6" ht="13">
      <c r="D133" s="14"/>
      <c r="F133" s="14"/>
    </row>
    <row r="134" spans="4:6" ht="13">
      <c r="D134" s="14"/>
      <c r="F134" s="14"/>
    </row>
    <row r="135" spans="4:6" ht="13">
      <c r="D135" s="14"/>
      <c r="F135" s="14"/>
    </row>
    <row r="136" spans="4:6" ht="13">
      <c r="D136" s="14"/>
      <c r="F136" s="14"/>
    </row>
    <row r="137" spans="4:6" ht="13">
      <c r="D137" s="14"/>
      <c r="F137" s="14"/>
    </row>
    <row r="138" spans="4:6" ht="13">
      <c r="D138" s="14"/>
      <c r="F138" s="14"/>
    </row>
    <row r="139" spans="4:6" ht="13">
      <c r="D139" s="14"/>
      <c r="F139" s="14"/>
    </row>
    <row r="140" spans="4:6" ht="13">
      <c r="D140" s="14"/>
      <c r="F140" s="14"/>
    </row>
    <row r="141" spans="4:6" ht="13">
      <c r="D141" s="14"/>
      <c r="F141" s="14"/>
    </row>
    <row r="142" spans="4:6" ht="13">
      <c r="D142" s="14"/>
      <c r="F142" s="14"/>
    </row>
    <row r="143" spans="4:6" ht="13">
      <c r="D143" s="14"/>
      <c r="F143" s="14"/>
    </row>
    <row r="144" spans="4:6" ht="13">
      <c r="D144" s="14"/>
      <c r="F144" s="14"/>
    </row>
    <row r="145" spans="4:6" ht="13">
      <c r="D145" s="14"/>
      <c r="F145" s="14"/>
    </row>
    <row r="146" spans="4:6" ht="13">
      <c r="D146" s="14"/>
      <c r="F146" s="14"/>
    </row>
    <row r="147" spans="4:6" ht="13">
      <c r="D147" s="14"/>
      <c r="F147" s="14"/>
    </row>
    <row r="148" spans="4:6" ht="13">
      <c r="D148" s="14"/>
      <c r="F148" s="14"/>
    </row>
    <row r="149" spans="4:6" ht="13">
      <c r="D149" s="14"/>
      <c r="F149" s="14"/>
    </row>
    <row r="150" spans="4:6" ht="13">
      <c r="D150" s="14"/>
      <c r="F150" s="14"/>
    </row>
    <row r="151" spans="4:6" ht="13">
      <c r="D151" s="14"/>
      <c r="F151" s="14"/>
    </row>
    <row r="152" spans="4:6" ht="13">
      <c r="D152" s="14"/>
      <c r="F152" s="14"/>
    </row>
    <row r="153" spans="4:6" ht="13">
      <c r="D153" s="14"/>
      <c r="F153" s="14"/>
    </row>
    <row r="154" spans="4:6" ht="13">
      <c r="D154" s="14"/>
      <c r="F154" s="14"/>
    </row>
    <row r="155" spans="4:6" ht="13">
      <c r="D155" s="14"/>
      <c r="F155" s="14"/>
    </row>
    <row r="156" spans="4:6" ht="13">
      <c r="D156" s="14"/>
      <c r="F156" s="14"/>
    </row>
    <row r="157" spans="4:6" ht="13">
      <c r="D157" s="14"/>
      <c r="F157" s="14"/>
    </row>
    <row r="158" spans="4:6" ht="13">
      <c r="D158" s="14"/>
      <c r="F158" s="14"/>
    </row>
    <row r="159" spans="4:6" ht="13">
      <c r="D159" s="14"/>
      <c r="F159" s="14"/>
    </row>
    <row r="160" spans="4:6" ht="13">
      <c r="D160" s="14"/>
      <c r="F160" s="14"/>
    </row>
    <row r="161" spans="4:6" ht="13">
      <c r="D161" s="14"/>
      <c r="F161" s="14"/>
    </row>
    <row r="162" spans="4:6" ht="13">
      <c r="D162" s="14"/>
      <c r="F162" s="14"/>
    </row>
    <row r="163" spans="4:6" ht="13">
      <c r="D163" s="14"/>
      <c r="F163" s="14"/>
    </row>
    <row r="164" spans="4:6" ht="13">
      <c r="D164" s="14"/>
      <c r="F164" s="14"/>
    </row>
    <row r="165" spans="4:6" ht="13">
      <c r="D165" s="14"/>
      <c r="F165" s="14"/>
    </row>
    <row r="166" spans="4:6" ht="13">
      <c r="D166" s="14"/>
      <c r="F166" s="14"/>
    </row>
    <row r="167" spans="4:6" ht="13">
      <c r="D167" s="14"/>
      <c r="F167" s="14"/>
    </row>
    <row r="168" spans="4:6" ht="13">
      <c r="D168" s="14"/>
      <c r="F168" s="14"/>
    </row>
    <row r="169" spans="4:6" ht="13">
      <c r="D169" s="14"/>
      <c r="F169" s="14"/>
    </row>
    <row r="170" spans="4:6" ht="13">
      <c r="D170" s="14"/>
      <c r="F170" s="14"/>
    </row>
    <row r="171" spans="4:6" ht="13">
      <c r="D171" s="14"/>
      <c r="F171" s="14"/>
    </row>
    <row r="172" spans="4:6" ht="13">
      <c r="D172" s="14"/>
      <c r="F172" s="14"/>
    </row>
    <row r="173" spans="4:6" ht="13">
      <c r="D173" s="14"/>
      <c r="F173" s="14"/>
    </row>
    <row r="174" spans="4:6" ht="13">
      <c r="D174" s="14"/>
      <c r="F174" s="14"/>
    </row>
    <row r="175" spans="4:6" ht="13">
      <c r="D175" s="14"/>
      <c r="F175" s="14"/>
    </row>
    <row r="176" spans="4:6" ht="13">
      <c r="D176" s="14"/>
      <c r="F176" s="14"/>
    </row>
    <row r="177" spans="4:6" ht="13">
      <c r="D177" s="14"/>
      <c r="F177" s="14"/>
    </row>
    <row r="178" spans="4:6" ht="13">
      <c r="D178" s="14"/>
      <c r="F178" s="14"/>
    </row>
    <row r="179" spans="4:6" ht="13">
      <c r="D179" s="14"/>
      <c r="F179" s="14"/>
    </row>
    <row r="180" spans="4:6" ht="13">
      <c r="D180" s="14"/>
      <c r="F180" s="14"/>
    </row>
    <row r="181" spans="4:6" ht="13">
      <c r="D181" s="14"/>
      <c r="F181" s="14"/>
    </row>
    <row r="182" spans="4:6" ht="13">
      <c r="D182" s="14"/>
      <c r="F182" s="14"/>
    </row>
    <row r="183" spans="4:6" ht="13">
      <c r="D183" s="14"/>
      <c r="F183" s="14"/>
    </row>
    <row r="184" spans="4:6" ht="13">
      <c r="D184" s="14"/>
      <c r="F184" s="14"/>
    </row>
    <row r="185" spans="4:6" ht="13">
      <c r="D185" s="14"/>
      <c r="F185" s="14"/>
    </row>
    <row r="186" spans="4:6" ht="13">
      <c r="D186" s="14"/>
      <c r="F186" s="14"/>
    </row>
    <row r="187" spans="4:6" ht="13">
      <c r="D187" s="14"/>
      <c r="F187" s="14"/>
    </row>
    <row r="188" spans="4:6" ht="13">
      <c r="D188" s="14"/>
      <c r="F188" s="14"/>
    </row>
    <row r="189" spans="4:6" ht="13">
      <c r="D189" s="14"/>
      <c r="F189" s="14"/>
    </row>
    <row r="190" spans="4:6" ht="13">
      <c r="D190" s="14"/>
      <c r="F190" s="14"/>
    </row>
    <row r="191" spans="4:6" ht="13">
      <c r="D191" s="14"/>
      <c r="F191" s="14"/>
    </row>
    <row r="192" spans="4:6" ht="13">
      <c r="D192" s="14"/>
      <c r="F192" s="14"/>
    </row>
    <row r="193" spans="4:6" ht="13">
      <c r="D193" s="14"/>
      <c r="F193" s="14"/>
    </row>
    <row r="194" spans="4:6" ht="13">
      <c r="D194" s="14"/>
      <c r="F194" s="14"/>
    </row>
    <row r="195" spans="4:6" ht="13">
      <c r="D195" s="14"/>
      <c r="F195" s="14"/>
    </row>
    <row r="196" spans="4:6" ht="13">
      <c r="D196" s="14"/>
      <c r="F196" s="14"/>
    </row>
    <row r="197" spans="4:6" ht="13">
      <c r="D197" s="14"/>
      <c r="F197" s="14"/>
    </row>
    <row r="198" spans="4:6" ht="13">
      <c r="D198" s="14"/>
      <c r="F198" s="14"/>
    </row>
    <row r="199" spans="4:6" ht="13">
      <c r="D199" s="14"/>
      <c r="F199" s="14"/>
    </row>
    <row r="200" spans="4:6" ht="13">
      <c r="D200" s="14"/>
      <c r="F200" s="14"/>
    </row>
    <row r="201" spans="4:6" ht="13">
      <c r="D201" s="14"/>
      <c r="F201" s="14"/>
    </row>
    <row r="202" spans="4:6" ht="13">
      <c r="D202" s="14"/>
      <c r="F202" s="14"/>
    </row>
    <row r="203" spans="4:6" ht="13">
      <c r="D203" s="14"/>
      <c r="F203" s="14"/>
    </row>
    <row r="204" spans="4:6" ht="13">
      <c r="D204" s="14"/>
      <c r="F204" s="14"/>
    </row>
    <row r="205" spans="4:6" ht="13">
      <c r="D205" s="14"/>
      <c r="F205" s="14"/>
    </row>
    <row r="206" spans="4:6" ht="13">
      <c r="D206" s="14"/>
      <c r="F206" s="14"/>
    </row>
    <row r="207" spans="4:6" ht="13">
      <c r="D207" s="14"/>
      <c r="F207" s="14"/>
    </row>
    <row r="208" spans="4:6" ht="13">
      <c r="D208" s="14"/>
      <c r="F208" s="14"/>
    </row>
    <row r="209" spans="4:6" ht="13">
      <c r="D209" s="14"/>
      <c r="F209" s="14"/>
    </row>
    <row r="210" spans="4:6" ht="13">
      <c r="D210" s="14"/>
      <c r="F210" s="14"/>
    </row>
    <row r="211" spans="4:6" ht="13">
      <c r="D211" s="14"/>
      <c r="F211" s="14"/>
    </row>
    <row r="212" spans="4:6" ht="13">
      <c r="D212" s="14"/>
      <c r="F212" s="14"/>
    </row>
    <row r="213" spans="4:6" ht="13">
      <c r="D213" s="14"/>
      <c r="F213" s="14"/>
    </row>
    <row r="214" spans="4:6" ht="13">
      <c r="D214" s="14"/>
      <c r="F214" s="14"/>
    </row>
    <row r="215" spans="4:6" ht="13">
      <c r="D215" s="14"/>
      <c r="F215" s="14"/>
    </row>
    <row r="216" spans="4:6" ht="13">
      <c r="D216" s="14"/>
      <c r="F216" s="14"/>
    </row>
    <row r="217" spans="4:6" ht="13">
      <c r="D217" s="14"/>
      <c r="F217" s="14"/>
    </row>
    <row r="218" spans="4:6" ht="13">
      <c r="D218" s="14"/>
      <c r="F218" s="14"/>
    </row>
    <row r="219" spans="4:6" ht="13">
      <c r="D219" s="14"/>
      <c r="F219" s="14"/>
    </row>
    <row r="220" spans="4:6" ht="13">
      <c r="D220" s="14"/>
      <c r="F220" s="14"/>
    </row>
    <row r="221" spans="4:6" ht="13">
      <c r="D221" s="14"/>
      <c r="F221" s="14"/>
    </row>
    <row r="222" spans="4:6" ht="13">
      <c r="D222" s="14"/>
      <c r="F222" s="14"/>
    </row>
    <row r="223" spans="4:6" ht="13">
      <c r="D223" s="14"/>
      <c r="F223" s="14"/>
    </row>
    <row r="224" spans="4:6" ht="13">
      <c r="D224" s="14"/>
      <c r="F224" s="14"/>
    </row>
    <row r="225" spans="4:6" ht="13">
      <c r="D225" s="14"/>
      <c r="F225" s="14"/>
    </row>
    <row r="226" spans="4:6" ht="13">
      <c r="D226" s="14"/>
      <c r="F226" s="14"/>
    </row>
    <row r="227" spans="4:6" ht="13">
      <c r="D227" s="14"/>
      <c r="F227" s="14"/>
    </row>
    <row r="228" spans="4:6" ht="13">
      <c r="D228" s="14"/>
      <c r="F228" s="14"/>
    </row>
    <row r="229" spans="4:6" ht="13">
      <c r="D229" s="14"/>
      <c r="F229" s="14"/>
    </row>
    <row r="230" spans="4:6" ht="13">
      <c r="D230" s="14"/>
      <c r="F230" s="14"/>
    </row>
    <row r="231" spans="4:6" ht="13">
      <c r="D231" s="14"/>
      <c r="F231" s="14"/>
    </row>
    <row r="232" spans="4:6" ht="13">
      <c r="D232" s="14"/>
      <c r="F232" s="14"/>
    </row>
    <row r="233" spans="4:6" ht="13">
      <c r="D233" s="14"/>
      <c r="F233" s="14"/>
    </row>
    <row r="234" spans="4:6" ht="13">
      <c r="D234" s="14"/>
      <c r="F234" s="14"/>
    </row>
    <row r="235" spans="4:6" ht="13">
      <c r="D235" s="14"/>
      <c r="F235" s="14"/>
    </row>
    <row r="236" spans="4:6" ht="13">
      <c r="D236" s="14"/>
      <c r="F236" s="14"/>
    </row>
    <row r="237" spans="4:6" ht="13">
      <c r="D237" s="14"/>
      <c r="F237" s="14"/>
    </row>
    <row r="238" spans="4:6" ht="13">
      <c r="D238" s="14"/>
      <c r="F238" s="14"/>
    </row>
    <row r="239" spans="4:6" ht="13">
      <c r="D239" s="14"/>
      <c r="F239" s="14"/>
    </row>
    <row r="240" spans="4:6" ht="13">
      <c r="D240" s="14"/>
      <c r="F240" s="14"/>
    </row>
    <row r="241" spans="4:6" ht="13">
      <c r="D241" s="14"/>
      <c r="F241" s="14"/>
    </row>
    <row r="242" spans="4:6" ht="13">
      <c r="D242" s="14"/>
      <c r="F242" s="14"/>
    </row>
    <row r="243" spans="4:6" ht="13">
      <c r="D243" s="14"/>
      <c r="F243" s="14"/>
    </row>
    <row r="244" spans="4:6" ht="13">
      <c r="D244" s="14"/>
      <c r="F244" s="14"/>
    </row>
    <row r="245" spans="4:6" ht="13">
      <c r="D245" s="14"/>
      <c r="F245" s="14"/>
    </row>
    <row r="246" spans="4:6" ht="13">
      <c r="D246" s="14"/>
      <c r="F246" s="14"/>
    </row>
    <row r="247" spans="4:6" ht="13">
      <c r="D247" s="14"/>
      <c r="F247" s="14"/>
    </row>
    <row r="248" spans="4:6" ht="13">
      <c r="D248" s="14"/>
      <c r="F248" s="14"/>
    </row>
    <row r="249" spans="4:6" ht="13">
      <c r="D249" s="14"/>
      <c r="F249" s="14"/>
    </row>
    <row r="250" spans="4:6" ht="13">
      <c r="D250" s="14"/>
      <c r="F250" s="14"/>
    </row>
    <row r="251" spans="4:6" ht="13">
      <c r="D251" s="14"/>
      <c r="F251" s="14"/>
    </row>
    <row r="252" spans="4:6" ht="13">
      <c r="D252" s="14"/>
      <c r="F252" s="14"/>
    </row>
    <row r="253" spans="4:6" ht="13">
      <c r="D253" s="14"/>
      <c r="F253" s="14"/>
    </row>
    <row r="254" spans="4:6" ht="13">
      <c r="D254" s="14"/>
      <c r="F254" s="14"/>
    </row>
    <row r="255" spans="4:6" ht="13">
      <c r="D255" s="14"/>
      <c r="F255" s="14"/>
    </row>
    <row r="256" spans="4:6" ht="13">
      <c r="D256" s="14"/>
      <c r="F256" s="14"/>
    </row>
    <row r="257" spans="4:6" ht="13">
      <c r="D257" s="14"/>
      <c r="F257" s="14"/>
    </row>
    <row r="258" spans="4:6" ht="13">
      <c r="D258" s="14"/>
      <c r="F258" s="14"/>
    </row>
    <row r="259" spans="4:6" ht="13">
      <c r="D259" s="14"/>
      <c r="F259" s="14"/>
    </row>
    <row r="260" spans="4:6" ht="13">
      <c r="D260" s="14"/>
      <c r="F260" s="14"/>
    </row>
    <row r="261" spans="4:6" ht="13">
      <c r="D261" s="14"/>
      <c r="F261" s="14"/>
    </row>
    <row r="262" spans="4:6" ht="13">
      <c r="D262" s="14"/>
      <c r="F262" s="14"/>
    </row>
    <row r="263" spans="4:6" ht="13">
      <c r="D263" s="14"/>
      <c r="F263" s="14"/>
    </row>
    <row r="264" spans="4:6" ht="13">
      <c r="D264" s="14"/>
      <c r="F264" s="14"/>
    </row>
    <row r="265" spans="4:6" ht="13">
      <c r="D265" s="14"/>
      <c r="F265" s="14"/>
    </row>
    <row r="266" spans="4:6" ht="13">
      <c r="D266" s="14"/>
      <c r="F266" s="14"/>
    </row>
    <row r="267" spans="4:6" ht="13">
      <c r="D267" s="14"/>
      <c r="F267" s="14"/>
    </row>
    <row r="268" spans="4:6" ht="13">
      <c r="D268" s="14"/>
      <c r="F268" s="14"/>
    </row>
    <row r="269" spans="4:6" ht="13">
      <c r="D269" s="14"/>
      <c r="F269" s="14"/>
    </row>
    <row r="270" spans="4:6" ht="13">
      <c r="D270" s="14"/>
      <c r="F270" s="14"/>
    </row>
    <row r="271" spans="4:6" ht="13">
      <c r="D271" s="14"/>
      <c r="F271" s="14"/>
    </row>
    <row r="272" spans="4:6" ht="13">
      <c r="D272" s="14"/>
      <c r="F272" s="14"/>
    </row>
    <row r="273" spans="4:6" ht="13">
      <c r="D273" s="14"/>
      <c r="F273" s="14"/>
    </row>
    <row r="274" spans="4:6" ht="13">
      <c r="D274" s="14"/>
      <c r="F274" s="14"/>
    </row>
    <row r="275" spans="4:6" ht="13">
      <c r="D275" s="14"/>
      <c r="F275" s="14"/>
    </row>
    <row r="276" spans="4:6" ht="13">
      <c r="D276" s="14"/>
      <c r="F276" s="14"/>
    </row>
    <row r="277" spans="4:6" ht="13">
      <c r="D277" s="14"/>
      <c r="F277" s="14"/>
    </row>
    <row r="278" spans="4:6" ht="13">
      <c r="D278" s="14"/>
      <c r="F278" s="14"/>
    </row>
    <row r="279" spans="4:6" ht="13">
      <c r="D279" s="14"/>
      <c r="F279" s="14"/>
    </row>
    <row r="280" spans="4:6" ht="13">
      <c r="D280" s="14"/>
      <c r="F280" s="14"/>
    </row>
    <row r="281" spans="4:6" ht="13">
      <c r="D281" s="14"/>
      <c r="F281" s="14"/>
    </row>
    <row r="282" spans="4:6" ht="13">
      <c r="D282" s="14"/>
      <c r="F282" s="14"/>
    </row>
    <row r="283" spans="4:6" ht="13">
      <c r="D283" s="14"/>
      <c r="F283" s="14"/>
    </row>
    <row r="284" spans="4:6" ht="13">
      <c r="D284" s="14"/>
      <c r="F284" s="14"/>
    </row>
    <row r="285" spans="4:6" ht="13">
      <c r="D285" s="14"/>
      <c r="F285" s="14"/>
    </row>
    <row r="286" spans="4:6" ht="13">
      <c r="D286" s="14"/>
      <c r="F286" s="14"/>
    </row>
    <row r="287" spans="4:6" ht="13">
      <c r="D287" s="14"/>
      <c r="F287" s="14"/>
    </row>
    <row r="288" spans="4:6" ht="13">
      <c r="D288" s="14"/>
      <c r="F288" s="14"/>
    </row>
    <row r="289" spans="4:6" ht="13">
      <c r="D289" s="14"/>
      <c r="F289" s="14"/>
    </row>
    <row r="290" spans="4:6" ht="13">
      <c r="D290" s="14"/>
      <c r="F290" s="14"/>
    </row>
    <row r="291" spans="4:6" ht="13">
      <c r="D291" s="14"/>
      <c r="F291" s="14"/>
    </row>
    <row r="292" spans="4:6" ht="13">
      <c r="D292" s="14"/>
      <c r="F292" s="14"/>
    </row>
    <row r="293" spans="4:6" ht="13">
      <c r="D293" s="14"/>
      <c r="F293" s="14"/>
    </row>
    <row r="294" spans="4:6" ht="13">
      <c r="D294" s="14"/>
      <c r="F294" s="14"/>
    </row>
    <row r="295" spans="4:6" ht="13">
      <c r="D295" s="14"/>
      <c r="F295" s="14"/>
    </row>
    <row r="296" spans="4:6" ht="13">
      <c r="D296" s="14"/>
      <c r="F296" s="14"/>
    </row>
    <row r="297" spans="4:6" ht="13">
      <c r="D297" s="14"/>
      <c r="F297" s="14"/>
    </row>
    <row r="298" spans="4:6" ht="13">
      <c r="D298" s="14"/>
      <c r="F298" s="14"/>
    </row>
    <row r="299" spans="4:6" ht="13">
      <c r="D299" s="14"/>
      <c r="F299" s="14"/>
    </row>
    <row r="300" spans="4:6" ht="13">
      <c r="D300" s="14"/>
      <c r="F300" s="14"/>
    </row>
    <row r="301" spans="4:6" ht="13">
      <c r="D301" s="14"/>
      <c r="F301" s="14"/>
    </row>
    <row r="302" spans="4:6" ht="13">
      <c r="D302" s="14"/>
      <c r="F302" s="14"/>
    </row>
    <row r="303" spans="4:6" ht="13">
      <c r="D303" s="14"/>
      <c r="F303" s="14"/>
    </row>
    <row r="304" spans="4:6" ht="13">
      <c r="D304" s="14"/>
      <c r="F304" s="14"/>
    </row>
    <row r="305" spans="4:6" ht="13">
      <c r="D305" s="14"/>
      <c r="F305" s="14"/>
    </row>
    <row r="306" spans="4:6" ht="13">
      <c r="D306" s="14"/>
      <c r="F306" s="14"/>
    </row>
    <row r="307" spans="4:6" ht="13">
      <c r="D307" s="14"/>
      <c r="F307" s="14"/>
    </row>
    <row r="308" spans="4:6" ht="13">
      <c r="D308" s="14"/>
      <c r="F308" s="14"/>
    </row>
    <row r="309" spans="4:6" ht="13">
      <c r="D309" s="14"/>
      <c r="F309" s="14"/>
    </row>
    <row r="310" spans="4:6" ht="13">
      <c r="D310" s="14"/>
      <c r="F310" s="14"/>
    </row>
    <row r="311" spans="4:6" ht="13">
      <c r="D311" s="14"/>
      <c r="F311" s="14"/>
    </row>
    <row r="312" spans="4:6" ht="13">
      <c r="D312" s="14"/>
      <c r="F312" s="14"/>
    </row>
    <row r="313" spans="4:6" ht="13">
      <c r="D313" s="14"/>
      <c r="F313" s="14"/>
    </row>
    <row r="314" spans="4:6" ht="13">
      <c r="D314" s="14"/>
      <c r="F314" s="14"/>
    </row>
    <row r="315" spans="4:6" ht="13">
      <c r="D315" s="14"/>
      <c r="F315" s="14"/>
    </row>
    <row r="316" spans="4:6" ht="13">
      <c r="D316" s="14"/>
      <c r="F316" s="14"/>
    </row>
    <row r="317" spans="4:6" ht="13">
      <c r="D317" s="14"/>
      <c r="F317" s="14"/>
    </row>
    <row r="318" spans="4:6" ht="13">
      <c r="D318" s="14"/>
      <c r="F318" s="14"/>
    </row>
    <row r="319" spans="4:6" ht="13">
      <c r="D319" s="14"/>
      <c r="F319" s="14"/>
    </row>
    <row r="320" spans="4:6" ht="13">
      <c r="D320" s="14"/>
      <c r="F320" s="14"/>
    </row>
    <row r="321" spans="4:6" ht="13">
      <c r="D321" s="14"/>
      <c r="F321" s="14"/>
    </row>
    <row r="322" spans="4:6" ht="13">
      <c r="D322" s="14"/>
      <c r="F322" s="14"/>
    </row>
    <row r="323" spans="4:6" ht="13">
      <c r="D323" s="14"/>
      <c r="F323" s="14"/>
    </row>
    <row r="324" spans="4:6" ht="13">
      <c r="D324" s="14"/>
      <c r="F324" s="14"/>
    </row>
    <row r="325" spans="4:6" ht="13">
      <c r="D325" s="14"/>
      <c r="F325" s="14"/>
    </row>
    <row r="326" spans="4:6" ht="13">
      <c r="D326" s="14"/>
      <c r="F326" s="14"/>
    </row>
    <row r="327" spans="4:6" ht="13">
      <c r="D327" s="14"/>
      <c r="F327" s="14"/>
    </row>
    <row r="328" spans="4:6" ht="13">
      <c r="D328" s="14"/>
      <c r="F328" s="14"/>
    </row>
    <row r="329" spans="4:6" ht="13">
      <c r="D329" s="14"/>
      <c r="F329" s="14"/>
    </row>
    <row r="330" spans="4:6" ht="13">
      <c r="D330" s="14"/>
      <c r="F330" s="14"/>
    </row>
    <row r="331" spans="4:6" ht="13">
      <c r="D331" s="14"/>
      <c r="F331" s="14"/>
    </row>
    <row r="332" spans="4:6" ht="13">
      <c r="D332" s="14"/>
      <c r="F332" s="14"/>
    </row>
    <row r="333" spans="4:6" ht="13">
      <c r="D333" s="14"/>
      <c r="F333" s="14"/>
    </row>
    <row r="334" spans="4:6" ht="13">
      <c r="D334" s="14"/>
      <c r="F334" s="14"/>
    </row>
    <row r="335" spans="4:6" ht="13">
      <c r="D335" s="14"/>
      <c r="F335" s="14"/>
    </row>
    <row r="336" spans="4:6" ht="13">
      <c r="D336" s="14"/>
      <c r="F336" s="14"/>
    </row>
    <row r="337" spans="4:6" ht="13">
      <c r="D337" s="14"/>
      <c r="F337" s="14"/>
    </row>
    <row r="338" spans="4:6" ht="13">
      <c r="D338" s="14"/>
      <c r="F338" s="14"/>
    </row>
    <row r="339" spans="4:6" ht="13">
      <c r="D339" s="14"/>
      <c r="F339" s="14"/>
    </row>
    <row r="340" spans="4:6" ht="13">
      <c r="D340" s="14"/>
      <c r="F340" s="14"/>
    </row>
    <row r="341" spans="4:6" ht="13">
      <c r="D341" s="14"/>
      <c r="F341" s="14"/>
    </row>
    <row r="342" spans="4:6" ht="13">
      <c r="D342" s="14"/>
      <c r="F342" s="14"/>
    </row>
    <row r="343" spans="4:6" ht="13">
      <c r="D343" s="14"/>
      <c r="F343" s="14"/>
    </row>
    <row r="344" spans="4:6" ht="13">
      <c r="D344" s="14"/>
      <c r="F344" s="14"/>
    </row>
    <row r="345" spans="4:6" ht="13">
      <c r="D345" s="14"/>
      <c r="F345" s="14"/>
    </row>
    <row r="346" spans="4:6" ht="13">
      <c r="D346" s="14"/>
      <c r="F346" s="14"/>
    </row>
    <row r="347" spans="4:6" ht="13">
      <c r="D347" s="14"/>
      <c r="F347" s="14"/>
    </row>
    <row r="348" spans="4:6" ht="13">
      <c r="D348" s="14"/>
      <c r="F348" s="14"/>
    </row>
    <row r="349" spans="4:6" ht="13">
      <c r="D349" s="14"/>
      <c r="F349" s="14"/>
    </row>
    <row r="350" spans="4:6" ht="13">
      <c r="D350" s="14"/>
      <c r="F350" s="14"/>
    </row>
    <row r="351" spans="4:6" ht="13">
      <c r="D351" s="14"/>
      <c r="F351" s="14"/>
    </row>
    <row r="352" spans="4:6" ht="13">
      <c r="D352" s="14"/>
      <c r="F352" s="14"/>
    </row>
    <row r="353" spans="4:6" ht="13">
      <c r="D353" s="14"/>
      <c r="F353" s="14"/>
    </row>
    <row r="354" spans="4:6" ht="13">
      <c r="D354" s="14"/>
      <c r="F354" s="14"/>
    </row>
    <row r="355" spans="4:6" ht="13">
      <c r="D355" s="14"/>
      <c r="F355" s="14"/>
    </row>
    <row r="356" spans="4:6" ht="13">
      <c r="D356" s="14"/>
      <c r="F356" s="14"/>
    </row>
    <row r="357" spans="4:6" ht="13">
      <c r="D357" s="14"/>
      <c r="F357" s="14"/>
    </row>
    <row r="358" spans="4:6" ht="13">
      <c r="D358" s="14"/>
      <c r="F358" s="14"/>
    </row>
    <row r="359" spans="4:6" ht="13">
      <c r="D359" s="14"/>
      <c r="F359" s="14"/>
    </row>
    <row r="360" spans="4:6" ht="13">
      <c r="D360" s="14"/>
      <c r="F360" s="14"/>
    </row>
    <row r="361" spans="4:6" ht="13">
      <c r="D361" s="14"/>
      <c r="F361" s="14"/>
    </row>
    <row r="362" spans="4:6" ht="13">
      <c r="D362" s="14"/>
      <c r="F362" s="14"/>
    </row>
    <row r="363" spans="4:6" ht="13">
      <c r="D363" s="14"/>
      <c r="F363" s="14"/>
    </row>
    <row r="364" spans="4:6" ht="13">
      <c r="D364" s="14"/>
      <c r="F364" s="14"/>
    </row>
    <row r="365" spans="4:6" ht="13">
      <c r="D365" s="14"/>
      <c r="F365" s="14"/>
    </row>
    <row r="366" spans="4:6" ht="13">
      <c r="D366" s="14"/>
      <c r="F366" s="14"/>
    </row>
    <row r="367" spans="4:6" ht="13">
      <c r="D367" s="14"/>
      <c r="F367" s="14"/>
    </row>
    <row r="368" spans="4:6" ht="13">
      <c r="D368" s="14"/>
      <c r="F368" s="14"/>
    </row>
    <row r="369" spans="4:6" ht="13">
      <c r="D369" s="14"/>
      <c r="F369" s="14"/>
    </row>
    <row r="370" spans="4:6" ht="13">
      <c r="D370" s="14"/>
      <c r="F370" s="14"/>
    </row>
    <row r="371" spans="4:6" ht="13">
      <c r="D371" s="14"/>
      <c r="F371" s="14"/>
    </row>
    <row r="372" spans="4:6" ht="13">
      <c r="D372" s="14"/>
      <c r="F372" s="14"/>
    </row>
    <row r="373" spans="4:6" ht="13">
      <c r="D373" s="14"/>
      <c r="F373" s="14"/>
    </row>
    <row r="374" spans="4:6" ht="13">
      <c r="D374" s="14"/>
      <c r="F374" s="14"/>
    </row>
    <row r="375" spans="4:6" ht="13">
      <c r="D375" s="14"/>
      <c r="F375" s="14"/>
    </row>
    <row r="376" spans="4:6" ht="13">
      <c r="D376" s="14"/>
      <c r="F376" s="14"/>
    </row>
    <row r="377" spans="4:6" ht="13">
      <c r="D377" s="14"/>
      <c r="F377" s="14"/>
    </row>
    <row r="378" spans="4:6" ht="13">
      <c r="D378" s="14"/>
      <c r="F378" s="14"/>
    </row>
    <row r="379" spans="4:6" ht="13">
      <c r="D379" s="14"/>
      <c r="F379" s="14"/>
    </row>
    <row r="380" spans="4:6" ht="13">
      <c r="D380" s="14"/>
      <c r="F380" s="14"/>
    </row>
    <row r="381" spans="4:6" ht="13">
      <c r="D381" s="14"/>
      <c r="F381" s="14"/>
    </row>
    <row r="382" spans="4:6" ht="13">
      <c r="D382" s="14"/>
      <c r="F382" s="14"/>
    </row>
    <row r="383" spans="4:6" ht="13">
      <c r="D383" s="14"/>
      <c r="F383" s="14"/>
    </row>
    <row r="384" spans="4:6" ht="13">
      <c r="D384" s="14"/>
      <c r="F384" s="14"/>
    </row>
    <row r="385" spans="4:6" ht="13">
      <c r="D385" s="14"/>
      <c r="F385" s="14"/>
    </row>
    <row r="386" spans="4:6" ht="13">
      <c r="D386" s="14"/>
      <c r="F386" s="14"/>
    </row>
    <row r="387" spans="4:6" ht="13">
      <c r="D387" s="14"/>
      <c r="F387" s="14"/>
    </row>
    <row r="388" spans="4:6" ht="13">
      <c r="D388" s="14"/>
      <c r="F388" s="14"/>
    </row>
    <row r="389" spans="4:6" ht="13">
      <c r="D389" s="14"/>
      <c r="F389" s="14"/>
    </row>
    <row r="390" spans="4:6" ht="13">
      <c r="D390" s="14"/>
      <c r="F390" s="14"/>
    </row>
    <row r="391" spans="4:6" ht="13">
      <c r="D391" s="14"/>
      <c r="F391" s="14"/>
    </row>
    <row r="392" spans="4:6" ht="13">
      <c r="D392" s="14"/>
      <c r="F392" s="14"/>
    </row>
    <row r="393" spans="4:6" ht="13">
      <c r="D393" s="14"/>
      <c r="F393" s="14"/>
    </row>
    <row r="394" spans="4:6" ht="13">
      <c r="D394" s="14"/>
      <c r="F394" s="14"/>
    </row>
    <row r="395" spans="4:6" ht="13">
      <c r="D395" s="14"/>
      <c r="F395" s="14"/>
    </row>
    <row r="396" spans="4:6" ht="13">
      <c r="D396" s="14"/>
      <c r="F396" s="14"/>
    </row>
    <row r="397" spans="4:6" ht="13">
      <c r="D397" s="14"/>
      <c r="F397" s="14"/>
    </row>
    <row r="398" spans="4:6" ht="13">
      <c r="D398" s="14"/>
      <c r="F398" s="14"/>
    </row>
    <row r="399" spans="4:6" ht="13">
      <c r="D399" s="14"/>
      <c r="F399" s="14"/>
    </row>
    <row r="400" spans="4:6" ht="13">
      <c r="D400" s="14"/>
      <c r="F400" s="14"/>
    </row>
    <row r="401" spans="4:6" ht="13">
      <c r="D401" s="14"/>
      <c r="F401" s="14"/>
    </row>
    <row r="402" spans="4:6" ht="13">
      <c r="D402" s="14"/>
      <c r="F402" s="14"/>
    </row>
    <row r="403" spans="4:6" ht="13">
      <c r="D403" s="14"/>
      <c r="F403" s="14"/>
    </row>
    <row r="404" spans="4:6" ht="13">
      <c r="D404" s="14"/>
      <c r="F404" s="14"/>
    </row>
    <row r="405" spans="4:6" ht="13">
      <c r="D405" s="14"/>
      <c r="F405" s="14"/>
    </row>
    <row r="406" spans="4:6" ht="13">
      <c r="D406" s="14"/>
      <c r="F406" s="14"/>
    </row>
    <row r="407" spans="4:6" ht="13">
      <c r="D407" s="14"/>
      <c r="F407" s="14"/>
    </row>
    <row r="408" spans="4:6" ht="13">
      <c r="D408" s="14"/>
      <c r="F408" s="14"/>
    </row>
    <row r="409" spans="4:6" ht="13">
      <c r="D409" s="14"/>
      <c r="F409" s="14"/>
    </row>
    <row r="410" spans="4:6" ht="13">
      <c r="D410" s="14"/>
      <c r="F410" s="14"/>
    </row>
    <row r="411" spans="4:6" ht="13">
      <c r="D411" s="14"/>
      <c r="F411" s="14"/>
    </row>
    <row r="412" spans="4:6" ht="13">
      <c r="D412" s="14"/>
      <c r="F412" s="14"/>
    </row>
    <row r="413" spans="4:6" ht="13">
      <c r="D413" s="14"/>
      <c r="F413" s="14"/>
    </row>
    <row r="414" spans="4:6" ht="13">
      <c r="D414" s="14"/>
      <c r="F414" s="14"/>
    </row>
    <row r="415" spans="4:6" ht="13">
      <c r="D415" s="14"/>
      <c r="F415" s="14"/>
    </row>
    <row r="416" spans="4:6" ht="13">
      <c r="D416" s="14"/>
      <c r="F416" s="14"/>
    </row>
    <row r="417" spans="4:6" ht="13">
      <c r="D417" s="14"/>
      <c r="F417" s="14"/>
    </row>
    <row r="418" spans="4:6" ht="13">
      <c r="D418" s="14"/>
      <c r="F418" s="14"/>
    </row>
    <row r="419" spans="4:6" ht="13">
      <c r="D419" s="14"/>
      <c r="F419" s="14"/>
    </row>
    <row r="420" spans="4:6" ht="13">
      <c r="D420" s="14"/>
      <c r="F420" s="14"/>
    </row>
    <row r="421" spans="4:6" ht="13">
      <c r="D421" s="14"/>
      <c r="F421" s="14"/>
    </row>
    <row r="422" spans="4:6" ht="13">
      <c r="D422" s="14"/>
      <c r="F422" s="14"/>
    </row>
    <row r="423" spans="4:6" ht="13">
      <c r="D423" s="14"/>
      <c r="F423" s="14"/>
    </row>
    <row r="424" spans="4:6" ht="13">
      <c r="D424" s="14"/>
      <c r="F424" s="14"/>
    </row>
    <row r="425" spans="4:6" ht="13">
      <c r="D425" s="14"/>
      <c r="F425" s="14"/>
    </row>
    <row r="426" spans="4:6" ht="13">
      <c r="D426" s="14"/>
      <c r="F426" s="14"/>
    </row>
    <row r="427" spans="4:6" ht="13">
      <c r="D427" s="14"/>
      <c r="F427" s="14"/>
    </row>
    <row r="428" spans="4:6" ht="13">
      <c r="D428" s="14"/>
      <c r="F428" s="14"/>
    </row>
    <row r="429" spans="4:6" ht="13">
      <c r="D429" s="14"/>
      <c r="F429" s="14"/>
    </row>
    <row r="430" spans="4:6" ht="13">
      <c r="D430" s="14"/>
      <c r="F430" s="14"/>
    </row>
    <row r="431" spans="4:6" ht="13">
      <c r="D431" s="14"/>
      <c r="F431" s="14"/>
    </row>
    <row r="432" spans="4:6" ht="13">
      <c r="D432" s="14"/>
      <c r="F432" s="14"/>
    </row>
    <row r="433" spans="4:6" ht="13">
      <c r="D433" s="14"/>
      <c r="F433" s="14"/>
    </row>
    <row r="434" spans="4:6" ht="13">
      <c r="D434" s="14"/>
      <c r="F434" s="14"/>
    </row>
    <row r="435" spans="4:6" ht="13">
      <c r="D435" s="14"/>
      <c r="F435" s="14"/>
    </row>
    <row r="436" spans="4:6" ht="13">
      <c r="D436" s="14"/>
      <c r="F436" s="14"/>
    </row>
    <row r="437" spans="4:6" ht="13">
      <c r="D437" s="14"/>
      <c r="F437" s="14"/>
    </row>
    <row r="438" spans="4:6" ht="13">
      <c r="D438" s="14"/>
      <c r="F438" s="14"/>
    </row>
    <row r="439" spans="4:6" ht="13">
      <c r="D439" s="14"/>
      <c r="F439" s="14"/>
    </row>
    <row r="440" spans="4:6" ht="13">
      <c r="D440" s="14"/>
      <c r="F440" s="14"/>
    </row>
    <row r="441" spans="4:6" ht="13">
      <c r="D441" s="14"/>
      <c r="F441" s="14"/>
    </row>
    <row r="442" spans="4:6" ht="13">
      <c r="D442" s="14"/>
      <c r="F442" s="14"/>
    </row>
    <row r="443" spans="4:6" ht="13">
      <c r="D443" s="14"/>
      <c r="F443" s="14"/>
    </row>
    <row r="444" spans="4:6" ht="13">
      <c r="D444" s="14"/>
      <c r="F444" s="14"/>
    </row>
    <row r="445" spans="4:6" ht="13">
      <c r="D445" s="14"/>
      <c r="F445" s="14"/>
    </row>
    <row r="446" spans="4:6" ht="13">
      <c r="D446" s="14"/>
      <c r="F446" s="14"/>
    </row>
    <row r="447" spans="4:6" ht="13">
      <c r="D447" s="14"/>
      <c r="F447" s="14"/>
    </row>
    <row r="448" spans="4:6" ht="13">
      <c r="D448" s="14"/>
      <c r="F448" s="14"/>
    </row>
    <row r="449" spans="4:6" ht="13">
      <c r="D449" s="14"/>
      <c r="F449" s="14"/>
    </row>
    <row r="450" spans="4:6" ht="13">
      <c r="D450" s="14"/>
      <c r="F450" s="14"/>
    </row>
    <row r="451" spans="4:6" ht="13">
      <c r="D451" s="14"/>
      <c r="F451" s="14"/>
    </row>
    <row r="452" spans="4:6" ht="13">
      <c r="D452" s="14"/>
      <c r="F452" s="14"/>
    </row>
    <row r="453" spans="4:6" ht="13">
      <c r="D453" s="14"/>
      <c r="F453" s="14"/>
    </row>
    <row r="454" spans="4:6" ht="13">
      <c r="D454" s="14"/>
      <c r="F454" s="14"/>
    </row>
    <row r="455" spans="4:6" ht="13">
      <c r="D455" s="14"/>
      <c r="F455" s="14"/>
    </row>
    <row r="456" spans="4:6" ht="13">
      <c r="D456" s="14"/>
      <c r="F456" s="14"/>
    </row>
    <row r="457" spans="4:6" ht="13">
      <c r="D457" s="14"/>
      <c r="F457" s="14"/>
    </row>
    <row r="458" spans="4:6" ht="13">
      <c r="D458" s="14"/>
      <c r="F458" s="14"/>
    </row>
    <row r="459" spans="4:6" ht="13">
      <c r="D459" s="14"/>
      <c r="F459" s="14"/>
    </row>
    <row r="460" spans="4:6" ht="13">
      <c r="D460" s="14"/>
      <c r="F460" s="14"/>
    </row>
    <row r="461" spans="4:6" ht="13">
      <c r="D461" s="14"/>
      <c r="F461" s="14"/>
    </row>
    <row r="462" spans="4:6" ht="13">
      <c r="D462" s="14"/>
      <c r="F462" s="14"/>
    </row>
    <row r="463" spans="4:6" ht="13">
      <c r="D463" s="14"/>
      <c r="F463" s="14"/>
    </row>
    <row r="464" spans="4:6" ht="13">
      <c r="D464" s="14"/>
      <c r="F464" s="14"/>
    </row>
    <row r="465" spans="4:6" ht="13">
      <c r="D465" s="14"/>
      <c r="F465" s="14"/>
    </row>
    <row r="466" spans="4:6" ht="13">
      <c r="D466" s="14"/>
      <c r="F466" s="14"/>
    </row>
    <row r="467" spans="4:6" ht="13">
      <c r="D467" s="14"/>
      <c r="F467" s="14"/>
    </row>
    <row r="468" spans="4:6" ht="13">
      <c r="D468" s="14"/>
      <c r="F468" s="14"/>
    </row>
    <row r="469" spans="4:6" ht="13">
      <c r="D469" s="14"/>
      <c r="F469" s="14"/>
    </row>
    <row r="470" spans="4:6" ht="13">
      <c r="D470" s="14"/>
      <c r="F470" s="14"/>
    </row>
    <row r="471" spans="4:6" ht="13">
      <c r="D471" s="14"/>
      <c r="F471" s="14"/>
    </row>
    <row r="472" spans="4:6" ht="13">
      <c r="D472" s="14"/>
      <c r="F472" s="14"/>
    </row>
    <row r="473" spans="4:6" ht="13">
      <c r="D473" s="14"/>
      <c r="F473" s="14"/>
    </row>
    <row r="474" spans="4:6" ht="13">
      <c r="D474" s="14"/>
      <c r="F474" s="14"/>
    </row>
    <row r="475" spans="4:6" ht="13">
      <c r="D475" s="14"/>
      <c r="F475" s="14"/>
    </row>
    <row r="476" spans="4:6" ht="13">
      <c r="D476" s="14"/>
      <c r="F476" s="14"/>
    </row>
    <row r="477" spans="4:6" ht="13">
      <c r="D477" s="14"/>
      <c r="F477" s="14"/>
    </row>
    <row r="478" spans="4:6" ht="13">
      <c r="D478" s="14"/>
      <c r="F478" s="14"/>
    </row>
    <row r="479" spans="4:6" ht="13">
      <c r="D479" s="14"/>
      <c r="F479" s="14"/>
    </row>
    <row r="480" spans="4:6" ht="13">
      <c r="D480" s="14"/>
      <c r="F480" s="14"/>
    </row>
    <row r="481" spans="4:6" ht="13">
      <c r="D481" s="14"/>
      <c r="F481" s="14"/>
    </row>
    <row r="482" spans="4:6" ht="13">
      <c r="D482" s="14"/>
      <c r="F482" s="14"/>
    </row>
    <row r="483" spans="4:6" ht="13">
      <c r="D483" s="14"/>
      <c r="F483" s="14"/>
    </row>
    <row r="484" spans="4:6" ht="13">
      <c r="D484" s="14"/>
      <c r="F484" s="14"/>
    </row>
    <row r="485" spans="4:6" ht="13">
      <c r="D485" s="14"/>
      <c r="F485" s="14"/>
    </row>
    <row r="486" spans="4:6" ht="13">
      <c r="D486" s="14"/>
      <c r="F486" s="14"/>
    </row>
    <row r="487" spans="4:6" ht="13">
      <c r="D487" s="14"/>
      <c r="F487" s="14"/>
    </row>
    <row r="488" spans="4:6" ht="13">
      <c r="D488" s="14"/>
      <c r="F488" s="14"/>
    </row>
    <row r="489" spans="4:6" ht="13">
      <c r="D489" s="14"/>
      <c r="F489" s="14"/>
    </row>
    <row r="490" spans="4:6" ht="13">
      <c r="D490" s="14"/>
      <c r="F490" s="14"/>
    </row>
    <row r="491" spans="4:6" ht="13">
      <c r="D491" s="14"/>
      <c r="F491" s="14"/>
    </row>
    <row r="492" spans="4:6" ht="13">
      <c r="D492" s="14"/>
      <c r="F492" s="14"/>
    </row>
    <row r="493" spans="4:6" ht="13">
      <c r="D493" s="14"/>
      <c r="F493" s="14"/>
    </row>
    <row r="494" spans="4:6" ht="13">
      <c r="D494" s="14"/>
      <c r="F494" s="14"/>
    </row>
    <row r="495" spans="4:6" ht="13">
      <c r="D495" s="14"/>
      <c r="F495" s="14"/>
    </row>
    <row r="496" spans="4:6" ht="13">
      <c r="D496" s="14"/>
      <c r="F496" s="14"/>
    </row>
    <row r="497" spans="4:6" ht="13">
      <c r="D497" s="14"/>
      <c r="F497" s="14"/>
    </row>
    <row r="498" spans="4:6" ht="13">
      <c r="D498" s="14"/>
      <c r="F498" s="14"/>
    </row>
    <row r="499" spans="4:6" ht="13">
      <c r="D499" s="14"/>
      <c r="F499" s="14"/>
    </row>
    <row r="500" spans="4:6" ht="13">
      <c r="D500" s="14"/>
      <c r="F500" s="14"/>
    </row>
    <row r="501" spans="4:6" ht="13">
      <c r="D501" s="14"/>
      <c r="F501" s="14"/>
    </row>
    <row r="502" spans="4:6" ht="13">
      <c r="D502" s="14"/>
      <c r="F502" s="14"/>
    </row>
    <row r="503" spans="4:6" ht="13">
      <c r="D503" s="14"/>
      <c r="F503" s="14"/>
    </row>
    <row r="504" spans="4:6" ht="13">
      <c r="D504" s="14"/>
      <c r="F504" s="14"/>
    </row>
    <row r="505" spans="4:6" ht="13">
      <c r="D505" s="14"/>
      <c r="F505" s="14"/>
    </row>
    <row r="506" spans="4:6" ht="13">
      <c r="D506" s="14"/>
      <c r="F506" s="14"/>
    </row>
    <row r="507" spans="4:6" ht="13">
      <c r="D507" s="14"/>
      <c r="F507" s="14"/>
    </row>
    <row r="508" spans="4:6" ht="13">
      <c r="D508" s="14"/>
      <c r="F508" s="14"/>
    </row>
    <row r="509" spans="4:6" ht="13">
      <c r="D509" s="14"/>
      <c r="F509" s="14"/>
    </row>
    <row r="510" spans="4:6" ht="13">
      <c r="D510" s="14"/>
      <c r="F510" s="14"/>
    </row>
    <row r="511" spans="4:6" ht="13">
      <c r="D511" s="14"/>
      <c r="F511" s="14"/>
    </row>
    <row r="512" spans="4:6" ht="13">
      <c r="D512" s="14"/>
      <c r="F512" s="14"/>
    </row>
    <row r="513" spans="4:6" ht="13">
      <c r="D513" s="14"/>
      <c r="F513" s="14"/>
    </row>
    <row r="514" spans="4:6" ht="13">
      <c r="D514" s="14"/>
      <c r="F514" s="14"/>
    </row>
    <row r="515" spans="4:6" ht="13">
      <c r="D515" s="14"/>
      <c r="F515" s="14"/>
    </row>
    <row r="516" spans="4:6" ht="13">
      <c r="D516" s="14"/>
      <c r="F516" s="14"/>
    </row>
    <row r="517" spans="4:6" ht="13">
      <c r="D517" s="14"/>
      <c r="F517" s="14"/>
    </row>
    <row r="518" spans="4:6" ht="13">
      <c r="D518" s="14"/>
      <c r="F518" s="14"/>
    </row>
    <row r="519" spans="4:6" ht="13">
      <c r="D519" s="14"/>
      <c r="F519" s="14"/>
    </row>
    <row r="520" spans="4:6" ht="13">
      <c r="D520" s="14"/>
      <c r="F520" s="14"/>
    </row>
    <row r="521" spans="4:6" ht="13">
      <c r="D521" s="14"/>
      <c r="F521" s="14"/>
    </row>
    <row r="522" spans="4:6" ht="13">
      <c r="D522" s="14"/>
      <c r="F522" s="14"/>
    </row>
    <row r="523" spans="4:6" ht="13">
      <c r="D523" s="14"/>
      <c r="F523" s="14"/>
    </row>
    <row r="524" spans="4:6" ht="13">
      <c r="D524" s="14"/>
      <c r="F524" s="14"/>
    </row>
    <row r="525" spans="4:6" ht="13">
      <c r="D525" s="14"/>
      <c r="F525" s="14"/>
    </row>
    <row r="526" spans="4:6" ht="13">
      <c r="D526" s="14"/>
      <c r="F526" s="14"/>
    </row>
    <row r="527" spans="4:6" ht="13">
      <c r="D527" s="14"/>
      <c r="F527" s="14"/>
    </row>
    <row r="528" spans="4:6" ht="13">
      <c r="D528" s="14"/>
      <c r="F528" s="14"/>
    </row>
    <row r="529" spans="4:6" ht="13">
      <c r="D529" s="14"/>
      <c r="F529" s="14"/>
    </row>
    <row r="530" spans="4:6" ht="13">
      <c r="D530" s="14"/>
      <c r="F530" s="14"/>
    </row>
    <row r="531" spans="4:6" ht="13">
      <c r="D531" s="14"/>
      <c r="F531" s="14"/>
    </row>
    <row r="532" spans="4:6" ht="13">
      <c r="D532" s="14"/>
      <c r="F532" s="14"/>
    </row>
    <row r="533" spans="4:6" ht="13">
      <c r="D533" s="14"/>
      <c r="F533" s="14"/>
    </row>
    <row r="534" spans="4:6" ht="13">
      <c r="D534" s="14"/>
      <c r="F534" s="14"/>
    </row>
    <row r="535" spans="4:6" ht="13">
      <c r="D535" s="14"/>
      <c r="F535" s="14"/>
    </row>
    <row r="536" spans="4:6" ht="13">
      <c r="D536" s="14"/>
      <c r="F536" s="14"/>
    </row>
    <row r="537" spans="4:6" ht="13">
      <c r="D537" s="14"/>
      <c r="F537" s="14"/>
    </row>
    <row r="538" spans="4:6" ht="13">
      <c r="D538" s="14"/>
      <c r="F538" s="14"/>
    </row>
    <row r="539" spans="4:6" ht="13">
      <c r="D539" s="14"/>
      <c r="F539" s="14"/>
    </row>
    <row r="540" spans="4:6" ht="13">
      <c r="D540" s="14"/>
      <c r="F540" s="14"/>
    </row>
    <row r="541" spans="4:6" ht="13">
      <c r="D541" s="14"/>
      <c r="F541" s="14"/>
    </row>
    <row r="542" spans="4:6" ht="13">
      <c r="D542" s="14"/>
      <c r="F542" s="14"/>
    </row>
    <row r="543" spans="4:6" ht="13">
      <c r="D543" s="14"/>
      <c r="F543" s="14"/>
    </row>
    <row r="544" spans="4:6" ht="13">
      <c r="D544" s="14"/>
      <c r="F544" s="14"/>
    </row>
    <row r="545" spans="4:6" ht="13">
      <c r="D545" s="14"/>
      <c r="F545" s="14"/>
    </row>
    <row r="546" spans="4:6" ht="13">
      <c r="D546" s="14"/>
      <c r="F546" s="14"/>
    </row>
    <row r="547" spans="4:6" ht="13">
      <c r="D547" s="14"/>
      <c r="F547" s="14"/>
    </row>
    <row r="548" spans="4:6" ht="13">
      <c r="D548" s="14"/>
      <c r="F548" s="14"/>
    </row>
    <row r="549" spans="4:6" ht="13">
      <c r="D549" s="14"/>
      <c r="F549" s="14"/>
    </row>
    <row r="550" spans="4:6" ht="13">
      <c r="D550" s="14"/>
      <c r="F550" s="14"/>
    </row>
    <row r="551" spans="4:6" ht="13">
      <c r="D551" s="14"/>
      <c r="F551" s="14"/>
    </row>
    <row r="552" spans="4:6" ht="13">
      <c r="D552" s="14"/>
      <c r="F552" s="14"/>
    </row>
    <row r="553" spans="4:6" ht="13">
      <c r="D553" s="14"/>
      <c r="F553" s="14"/>
    </row>
    <row r="554" spans="4:6" ht="13">
      <c r="D554" s="14"/>
      <c r="F554" s="14"/>
    </row>
    <row r="555" spans="4:6" ht="13">
      <c r="D555" s="14"/>
      <c r="F555" s="14"/>
    </row>
    <row r="556" spans="4:6" ht="13">
      <c r="D556" s="14"/>
      <c r="F556" s="14"/>
    </row>
    <row r="557" spans="4:6" ht="13">
      <c r="D557" s="14"/>
      <c r="F557" s="14"/>
    </row>
    <row r="558" spans="4:6" ht="13">
      <c r="D558" s="14"/>
      <c r="F558" s="14"/>
    </row>
    <row r="559" spans="4:6" ht="13">
      <c r="D559" s="14"/>
      <c r="F559" s="14"/>
    </row>
    <row r="560" spans="4:6" ht="13">
      <c r="D560" s="14"/>
      <c r="F560" s="14"/>
    </row>
    <row r="561" spans="4:6" ht="13">
      <c r="D561" s="14"/>
      <c r="F561" s="14"/>
    </row>
    <row r="562" spans="4:6" ht="13">
      <c r="D562" s="14"/>
      <c r="F562" s="14"/>
    </row>
    <row r="563" spans="4:6" ht="13">
      <c r="D563" s="14"/>
      <c r="F563" s="14"/>
    </row>
    <row r="564" spans="4:6" ht="13">
      <c r="D564" s="14"/>
      <c r="F564" s="14"/>
    </row>
    <row r="565" spans="4:6" ht="13">
      <c r="D565" s="14"/>
      <c r="F565" s="14"/>
    </row>
    <row r="566" spans="4:6" ht="13">
      <c r="D566" s="14"/>
      <c r="F566" s="14"/>
    </row>
    <row r="567" spans="4:6" ht="13">
      <c r="D567" s="14"/>
      <c r="F567" s="14"/>
    </row>
    <row r="568" spans="4:6" ht="13">
      <c r="D568" s="14"/>
      <c r="F568" s="14"/>
    </row>
    <row r="569" spans="4:6" ht="13">
      <c r="D569" s="14"/>
      <c r="F569" s="14"/>
    </row>
    <row r="570" spans="4:6" ht="13">
      <c r="D570" s="14"/>
      <c r="F570" s="14"/>
    </row>
    <row r="571" spans="4:6" ht="13">
      <c r="D571" s="14"/>
      <c r="F571" s="14"/>
    </row>
    <row r="572" spans="4:6" ht="13">
      <c r="D572" s="14"/>
      <c r="F572" s="14"/>
    </row>
    <row r="573" spans="4:6" ht="13">
      <c r="D573" s="14"/>
      <c r="F573" s="14"/>
    </row>
    <row r="574" spans="4:6" ht="13">
      <c r="D574" s="14"/>
      <c r="F574" s="14"/>
    </row>
    <row r="575" spans="4:6" ht="13">
      <c r="D575" s="14"/>
      <c r="F575" s="14"/>
    </row>
    <row r="576" spans="4:6" ht="13">
      <c r="D576" s="14"/>
      <c r="F576" s="14"/>
    </row>
    <row r="577" spans="4:6" ht="13">
      <c r="D577" s="14"/>
      <c r="F577" s="14"/>
    </row>
    <row r="578" spans="4:6" ht="13">
      <c r="D578" s="14"/>
      <c r="F578" s="14"/>
    </row>
    <row r="579" spans="4:6" ht="13">
      <c r="D579" s="14"/>
      <c r="F579" s="14"/>
    </row>
    <row r="580" spans="4:6" ht="13">
      <c r="D580" s="14"/>
      <c r="F580" s="14"/>
    </row>
    <row r="581" spans="4:6" ht="13">
      <c r="D581" s="14"/>
      <c r="F581" s="14"/>
    </row>
    <row r="582" spans="4:6" ht="13">
      <c r="D582" s="14"/>
      <c r="F582" s="14"/>
    </row>
    <row r="583" spans="4:6" ht="13">
      <c r="D583" s="14"/>
      <c r="F583" s="14"/>
    </row>
    <row r="584" spans="4:6" ht="13">
      <c r="D584" s="14"/>
      <c r="F584" s="14"/>
    </row>
    <row r="585" spans="4:6" ht="13">
      <c r="D585" s="14"/>
      <c r="F585" s="14"/>
    </row>
    <row r="586" spans="4:6" ht="13">
      <c r="D586" s="14"/>
      <c r="F586" s="14"/>
    </row>
    <row r="587" spans="4:6" ht="13">
      <c r="D587" s="14"/>
      <c r="F587" s="14"/>
    </row>
    <row r="588" spans="4:6" ht="13">
      <c r="D588" s="14"/>
      <c r="F588" s="14"/>
    </row>
    <row r="589" spans="4:6" ht="13">
      <c r="D589" s="14"/>
      <c r="F589" s="14"/>
    </row>
    <row r="590" spans="4:6" ht="13">
      <c r="D590" s="14"/>
      <c r="F590" s="14"/>
    </row>
    <row r="591" spans="4:6" ht="13">
      <c r="D591" s="14"/>
      <c r="F591" s="14"/>
    </row>
    <row r="592" spans="4:6" ht="13">
      <c r="D592" s="14"/>
      <c r="F592" s="14"/>
    </row>
    <row r="593" spans="4:6" ht="13">
      <c r="D593" s="14"/>
      <c r="F593" s="14"/>
    </row>
    <row r="594" spans="4:6" ht="13">
      <c r="D594" s="14"/>
      <c r="F594" s="14"/>
    </row>
    <row r="595" spans="4:6" ht="13">
      <c r="D595" s="14"/>
      <c r="F595" s="14"/>
    </row>
    <row r="596" spans="4:6" ht="13">
      <c r="D596" s="14"/>
      <c r="F596" s="14"/>
    </row>
    <row r="597" spans="4:6" ht="13">
      <c r="D597" s="14"/>
      <c r="F597" s="14"/>
    </row>
    <row r="598" spans="4:6" ht="13">
      <c r="D598" s="14"/>
      <c r="F598" s="14"/>
    </row>
    <row r="599" spans="4:6" ht="13">
      <c r="D599" s="14"/>
      <c r="F599" s="14"/>
    </row>
    <row r="600" spans="4:6" ht="13">
      <c r="D600" s="14"/>
      <c r="F600" s="14"/>
    </row>
    <row r="601" spans="4:6" ht="13">
      <c r="D601" s="14"/>
      <c r="F601" s="14"/>
    </row>
    <row r="602" spans="4:6" ht="13">
      <c r="D602" s="14"/>
      <c r="F602" s="14"/>
    </row>
    <row r="603" spans="4:6" ht="13">
      <c r="D603" s="14"/>
      <c r="F603" s="14"/>
    </row>
    <row r="604" spans="4:6" ht="13">
      <c r="D604" s="14"/>
      <c r="F604" s="14"/>
    </row>
    <row r="605" spans="4:6" ht="13">
      <c r="D605" s="14"/>
      <c r="F605" s="14"/>
    </row>
    <row r="606" spans="4:6" ht="13">
      <c r="D606" s="14"/>
      <c r="F606" s="14"/>
    </row>
    <row r="607" spans="4:6" ht="13">
      <c r="D607" s="14"/>
      <c r="F607" s="14"/>
    </row>
    <row r="608" spans="4:6" ht="13">
      <c r="D608" s="14"/>
      <c r="F608" s="14"/>
    </row>
    <row r="609" spans="4:6" ht="13">
      <c r="D609" s="14"/>
      <c r="F609" s="14"/>
    </row>
    <row r="610" spans="4:6" ht="13">
      <c r="D610" s="14"/>
      <c r="F610" s="14"/>
    </row>
    <row r="611" spans="4:6" ht="13">
      <c r="D611" s="14"/>
      <c r="F611" s="14"/>
    </row>
    <row r="612" spans="4:6" ht="13">
      <c r="D612" s="14"/>
      <c r="F612" s="14"/>
    </row>
    <row r="613" spans="4:6" ht="13">
      <c r="D613" s="14"/>
      <c r="F613" s="14"/>
    </row>
    <row r="614" spans="4:6" ht="13">
      <c r="D614" s="14"/>
      <c r="F614" s="14"/>
    </row>
    <row r="615" spans="4:6" ht="13">
      <c r="D615" s="14"/>
      <c r="F615" s="14"/>
    </row>
    <row r="616" spans="4:6" ht="13">
      <c r="D616" s="14"/>
      <c r="F616" s="14"/>
    </row>
    <row r="617" spans="4:6" ht="13">
      <c r="D617" s="14"/>
      <c r="F617" s="14"/>
    </row>
    <row r="618" spans="4:6" ht="13">
      <c r="D618" s="14"/>
      <c r="F618" s="14"/>
    </row>
    <row r="619" spans="4:6" ht="13">
      <c r="D619" s="14"/>
      <c r="F619" s="14"/>
    </row>
    <row r="620" spans="4:6" ht="13">
      <c r="D620" s="14"/>
      <c r="F620" s="14"/>
    </row>
    <row r="621" spans="4:6" ht="13">
      <c r="D621" s="14"/>
      <c r="F621" s="14"/>
    </row>
    <row r="622" spans="4:6" ht="13">
      <c r="D622" s="14"/>
      <c r="F622" s="14"/>
    </row>
    <row r="623" spans="4:6" ht="13">
      <c r="D623" s="14"/>
      <c r="F623" s="14"/>
    </row>
    <row r="624" spans="4:6" ht="13">
      <c r="D624" s="14"/>
      <c r="F624" s="14"/>
    </row>
    <row r="625" spans="4:6" ht="13">
      <c r="D625" s="14"/>
      <c r="F625" s="14"/>
    </row>
    <row r="626" spans="4:6" ht="13">
      <c r="D626" s="14"/>
      <c r="F626" s="14"/>
    </row>
    <row r="627" spans="4:6" ht="13">
      <c r="D627" s="14"/>
      <c r="F627" s="14"/>
    </row>
    <row r="628" spans="4:6" ht="13">
      <c r="D628" s="14"/>
      <c r="F628" s="14"/>
    </row>
    <row r="629" spans="4:6" ht="13">
      <c r="D629" s="14"/>
      <c r="F629" s="14"/>
    </row>
    <row r="630" spans="4:6" ht="13">
      <c r="D630" s="14"/>
      <c r="F630" s="14"/>
    </row>
    <row r="631" spans="4:6" ht="13">
      <c r="D631" s="14"/>
      <c r="F631" s="14"/>
    </row>
    <row r="632" spans="4:6" ht="13">
      <c r="D632" s="14"/>
      <c r="F632" s="14"/>
    </row>
    <row r="633" spans="4:6" ht="13">
      <c r="D633" s="14"/>
      <c r="F633" s="14"/>
    </row>
    <row r="634" spans="4:6" ht="13">
      <c r="D634" s="14"/>
      <c r="F634" s="14"/>
    </row>
    <row r="635" spans="4:6" ht="13">
      <c r="D635" s="14"/>
      <c r="F635" s="14"/>
    </row>
    <row r="636" spans="4:6" ht="13">
      <c r="D636" s="14"/>
      <c r="F636" s="14"/>
    </row>
    <row r="637" spans="4:6" ht="13">
      <c r="D637" s="14"/>
      <c r="F637" s="14"/>
    </row>
    <row r="638" spans="4:6" ht="13">
      <c r="D638" s="14"/>
      <c r="F638" s="14"/>
    </row>
    <row r="639" spans="4:6" ht="13">
      <c r="D639" s="14"/>
      <c r="F639" s="14"/>
    </row>
    <row r="640" spans="4:6" ht="13">
      <c r="D640" s="14"/>
      <c r="F640" s="14"/>
    </row>
    <row r="641" spans="4:6" ht="13">
      <c r="D641" s="14"/>
      <c r="F641" s="14"/>
    </row>
    <row r="642" spans="4:6" ht="13">
      <c r="D642" s="14"/>
      <c r="F642" s="14"/>
    </row>
    <row r="643" spans="4:6" ht="13">
      <c r="D643" s="14"/>
      <c r="F643" s="14"/>
    </row>
    <row r="644" spans="4:6" ht="13">
      <c r="D644" s="14"/>
      <c r="F644" s="14"/>
    </row>
    <row r="645" spans="4:6" ht="13">
      <c r="D645" s="14"/>
      <c r="F645" s="14"/>
    </row>
    <row r="646" spans="4:6" ht="13">
      <c r="D646" s="14"/>
      <c r="F646" s="14"/>
    </row>
    <row r="647" spans="4:6" ht="13">
      <c r="D647" s="14"/>
      <c r="F647" s="14"/>
    </row>
    <row r="648" spans="4:6" ht="13">
      <c r="D648" s="14"/>
      <c r="F648" s="14"/>
    </row>
    <row r="649" spans="4:6" ht="13">
      <c r="D649" s="14"/>
      <c r="F649" s="14"/>
    </row>
    <row r="650" spans="4:6" ht="13">
      <c r="D650" s="14"/>
      <c r="F650" s="14"/>
    </row>
    <row r="651" spans="4:6" ht="13">
      <c r="D651" s="14"/>
      <c r="F651" s="14"/>
    </row>
    <row r="652" spans="4:6" ht="13">
      <c r="D652" s="14"/>
      <c r="F652" s="14"/>
    </row>
    <row r="653" spans="4:6" ht="13">
      <c r="D653" s="14"/>
      <c r="F653" s="14"/>
    </row>
    <row r="654" spans="4:6" ht="13">
      <c r="D654" s="14"/>
      <c r="F654" s="14"/>
    </row>
    <row r="655" spans="4:6" ht="13">
      <c r="D655" s="14"/>
      <c r="F655" s="14"/>
    </row>
    <row r="656" spans="4:6" ht="13">
      <c r="D656" s="14"/>
      <c r="F656" s="14"/>
    </row>
    <row r="657" spans="4:6" ht="13">
      <c r="D657" s="14"/>
      <c r="F657" s="14"/>
    </row>
    <row r="658" spans="4:6" ht="13">
      <c r="D658" s="14"/>
      <c r="F658" s="14"/>
    </row>
    <row r="659" spans="4:6" ht="13">
      <c r="D659" s="14"/>
      <c r="F659" s="14"/>
    </row>
    <row r="660" spans="4:6" ht="13">
      <c r="D660" s="14"/>
      <c r="F660" s="14"/>
    </row>
    <row r="661" spans="4:6" ht="13">
      <c r="D661" s="14"/>
      <c r="F661" s="14"/>
    </row>
    <row r="662" spans="4:6" ht="13">
      <c r="D662" s="14"/>
      <c r="F662" s="14"/>
    </row>
    <row r="663" spans="4:6" ht="13">
      <c r="D663" s="14"/>
      <c r="F663" s="14"/>
    </row>
    <row r="664" spans="4:6" ht="13">
      <c r="D664" s="14"/>
      <c r="F664" s="14"/>
    </row>
    <row r="665" spans="4:6" ht="13">
      <c r="D665" s="14"/>
      <c r="F665" s="14"/>
    </row>
    <row r="666" spans="4:6" ht="13">
      <c r="D666" s="14"/>
      <c r="F666" s="14"/>
    </row>
    <row r="667" spans="4:6" ht="13">
      <c r="D667" s="14"/>
      <c r="F667" s="14"/>
    </row>
    <row r="668" spans="4:6" ht="13">
      <c r="D668" s="14"/>
      <c r="F668" s="14"/>
    </row>
    <row r="669" spans="4:6" ht="13">
      <c r="D669" s="14"/>
      <c r="F669" s="14"/>
    </row>
    <row r="670" spans="4:6" ht="13">
      <c r="D670" s="14"/>
      <c r="F670" s="14"/>
    </row>
    <row r="671" spans="4:6" ht="13">
      <c r="D671" s="14"/>
      <c r="F671" s="14"/>
    </row>
    <row r="672" spans="4:6" ht="13">
      <c r="D672" s="14"/>
      <c r="F672" s="14"/>
    </row>
    <row r="673" spans="4:6" ht="13">
      <c r="D673" s="14"/>
      <c r="F673" s="14"/>
    </row>
    <row r="674" spans="4:6" ht="13">
      <c r="D674" s="14"/>
      <c r="F674" s="14"/>
    </row>
    <row r="675" spans="4:6" ht="13">
      <c r="D675" s="14"/>
      <c r="F675" s="14"/>
    </row>
    <row r="676" spans="4:6" ht="13">
      <c r="D676" s="14"/>
      <c r="F676" s="14"/>
    </row>
    <row r="677" spans="4:6" ht="13">
      <c r="D677" s="14"/>
      <c r="F677" s="14"/>
    </row>
    <row r="678" spans="4:6" ht="13">
      <c r="D678" s="14"/>
      <c r="F678" s="14"/>
    </row>
    <row r="679" spans="4:6" ht="13">
      <c r="D679" s="14"/>
      <c r="F679" s="14"/>
    </row>
    <row r="680" spans="4:6" ht="13">
      <c r="D680" s="14"/>
      <c r="F680" s="14"/>
    </row>
    <row r="681" spans="4:6" ht="13">
      <c r="D681" s="14"/>
      <c r="F681" s="14"/>
    </row>
    <row r="682" spans="4:6" ht="13">
      <c r="D682" s="14"/>
      <c r="F682" s="14"/>
    </row>
    <row r="683" spans="4:6" ht="13">
      <c r="D683" s="14"/>
      <c r="F683" s="14"/>
    </row>
    <row r="684" spans="4:6" ht="13">
      <c r="D684" s="14"/>
      <c r="F684" s="14"/>
    </row>
    <row r="685" spans="4:6" ht="13">
      <c r="D685" s="14"/>
      <c r="F685" s="14"/>
    </row>
    <row r="686" spans="4:6" ht="13">
      <c r="D686" s="14"/>
      <c r="F686" s="14"/>
    </row>
    <row r="687" spans="4:6" ht="13">
      <c r="D687" s="14"/>
      <c r="F687" s="14"/>
    </row>
    <row r="688" spans="4:6" ht="13">
      <c r="D688" s="14"/>
      <c r="F688" s="14"/>
    </row>
    <row r="689" spans="4:6" ht="13">
      <c r="D689" s="14"/>
      <c r="F689" s="14"/>
    </row>
    <row r="690" spans="4:6" ht="13">
      <c r="D690" s="14"/>
      <c r="F690" s="14"/>
    </row>
    <row r="691" spans="4:6" ht="13">
      <c r="D691" s="14"/>
      <c r="F691" s="14"/>
    </row>
    <row r="692" spans="4:6" ht="13">
      <c r="D692" s="14"/>
      <c r="F692" s="14"/>
    </row>
    <row r="693" spans="4:6" ht="13">
      <c r="D693" s="14"/>
      <c r="F693" s="14"/>
    </row>
    <row r="694" spans="4:6" ht="13">
      <c r="D694" s="14"/>
      <c r="F694" s="14"/>
    </row>
    <row r="695" spans="4:6" ht="13">
      <c r="D695" s="14"/>
      <c r="F695" s="14"/>
    </row>
    <row r="696" spans="4:6" ht="13">
      <c r="D696" s="14"/>
      <c r="F696" s="14"/>
    </row>
    <row r="697" spans="4:6" ht="13">
      <c r="D697" s="14"/>
      <c r="F697" s="14"/>
    </row>
    <row r="698" spans="4:6" ht="13">
      <c r="D698" s="14"/>
      <c r="F698" s="14"/>
    </row>
    <row r="699" spans="4:6" ht="13">
      <c r="D699" s="14"/>
      <c r="F699" s="14"/>
    </row>
    <row r="700" spans="4:6" ht="13">
      <c r="D700" s="14"/>
      <c r="F700" s="14"/>
    </row>
    <row r="701" spans="4:6" ht="13">
      <c r="D701" s="14"/>
      <c r="F701" s="14"/>
    </row>
    <row r="702" spans="4:6" ht="13">
      <c r="D702" s="14"/>
      <c r="F702" s="14"/>
    </row>
    <row r="703" spans="4:6" ht="13">
      <c r="D703" s="14"/>
      <c r="F703" s="14"/>
    </row>
    <row r="704" spans="4:6" ht="13">
      <c r="D704" s="14"/>
      <c r="F704" s="14"/>
    </row>
    <row r="705" spans="4:6" ht="13">
      <c r="D705" s="14"/>
      <c r="F705" s="14"/>
    </row>
    <row r="706" spans="4:6" ht="13">
      <c r="D706" s="14"/>
      <c r="F706" s="14"/>
    </row>
    <row r="707" spans="4:6" ht="13">
      <c r="D707" s="14"/>
      <c r="F707" s="14"/>
    </row>
    <row r="708" spans="4:6" ht="13">
      <c r="D708" s="14"/>
      <c r="F708" s="14"/>
    </row>
    <row r="709" spans="4:6" ht="13">
      <c r="D709" s="14"/>
      <c r="F709" s="14"/>
    </row>
    <row r="710" spans="4:6" ht="13">
      <c r="D710" s="14"/>
      <c r="F710" s="14"/>
    </row>
    <row r="711" spans="4:6" ht="13">
      <c r="D711" s="14"/>
      <c r="F711" s="14"/>
    </row>
    <row r="712" spans="4:6" ht="13">
      <c r="D712" s="14"/>
      <c r="F712" s="14"/>
    </row>
    <row r="713" spans="4:6" ht="13">
      <c r="D713" s="14"/>
      <c r="F713" s="14"/>
    </row>
    <row r="714" spans="4:6" ht="13">
      <c r="D714" s="14"/>
      <c r="F714" s="14"/>
    </row>
    <row r="715" spans="4:6" ht="13">
      <c r="D715" s="14"/>
      <c r="F715" s="14"/>
    </row>
    <row r="716" spans="4:6" ht="13">
      <c r="D716" s="14"/>
      <c r="F716" s="14"/>
    </row>
    <row r="717" spans="4:6" ht="13">
      <c r="D717" s="14"/>
      <c r="F717" s="14"/>
    </row>
    <row r="718" spans="4:6" ht="13">
      <c r="D718" s="14"/>
      <c r="F718" s="14"/>
    </row>
    <row r="719" spans="4:6" ht="13">
      <c r="D719" s="14"/>
      <c r="F719" s="14"/>
    </row>
    <row r="720" spans="4:6" ht="13">
      <c r="D720" s="14"/>
      <c r="F720" s="14"/>
    </row>
    <row r="721" spans="4:6" ht="13">
      <c r="D721" s="14"/>
      <c r="F721" s="14"/>
    </row>
    <row r="722" spans="4:6" ht="13">
      <c r="D722" s="14"/>
      <c r="F722" s="14"/>
    </row>
    <row r="723" spans="4:6" ht="13">
      <c r="D723" s="14"/>
      <c r="F723" s="14"/>
    </row>
    <row r="724" spans="4:6" ht="13">
      <c r="D724" s="14"/>
      <c r="F724" s="14"/>
    </row>
    <row r="725" spans="4:6" ht="13">
      <c r="D725" s="14"/>
      <c r="F725" s="14"/>
    </row>
    <row r="726" spans="4:6" ht="13">
      <c r="D726" s="14"/>
      <c r="F726" s="14"/>
    </row>
    <row r="727" spans="4:6" ht="13">
      <c r="D727" s="14"/>
      <c r="F727" s="14"/>
    </row>
    <row r="728" spans="4:6" ht="13">
      <c r="D728" s="14"/>
      <c r="F728" s="14"/>
    </row>
    <row r="729" spans="4:6" ht="13">
      <c r="D729" s="14"/>
      <c r="F729" s="14"/>
    </row>
    <row r="730" spans="4:6" ht="13">
      <c r="D730" s="14"/>
      <c r="F730" s="14"/>
    </row>
    <row r="731" spans="4:6" ht="13">
      <c r="D731" s="14"/>
      <c r="F731" s="14"/>
    </row>
    <row r="732" spans="4:6" ht="13">
      <c r="D732" s="14"/>
      <c r="F732" s="14"/>
    </row>
    <row r="733" spans="4:6" ht="13">
      <c r="D733" s="14"/>
      <c r="F733" s="14"/>
    </row>
    <row r="734" spans="4:6" ht="13">
      <c r="D734" s="14"/>
      <c r="F734" s="14"/>
    </row>
    <row r="735" spans="4:6" ht="13">
      <c r="D735" s="14"/>
      <c r="F735" s="14"/>
    </row>
    <row r="736" spans="4:6" ht="13">
      <c r="D736" s="14"/>
      <c r="F736" s="14"/>
    </row>
    <row r="737" spans="4:6" ht="13">
      <c r="D737" s="14"/>
      <c r="F737" s="14"/>
    </row>
    <row r="738" spans="4:6" ht="13">
      <c r="D738" s="14"/>
      <c r="F738" s="14"/>
    </row>
    <row r="739" spans="4:6" ht="13">
      <c r="D739" s="14"/>
      <c r="F739" s="14"/>
    </row>
    <row r="740" spans="4:6" ht="13">
      <c r="D740" s="14"/>
      <c r="F740" s="14"/>
    </row>
    <row r="741" spans="4:6" ht="13">
      <c r="D741" s="14"/>
      <c r="F741" s="14"/>
    </row>
    <row r="742" spans="4:6" ht="13">
      <c r="D742" s="14"/>
      <c r="F742" s="14"/>
    </row>
    <row r="743" spans="4:6" ht="13">
      <c r="D743" s="14"/>
      <c r="F743" s="14"/>
    </row>
    <row r="744" spans="4:6" ht="13">
      <c r="D744" s="14"/>
      <c r="F744" s="14"/>
    </row>
    <row r="745" spans="4:6" ht="13">
      <c r="D745" s="14"/>
      <c r="F745" s="14"/>
    </row>
    <row r="746" spans="4:6" ht="13">
      <c r="D746" s="14"/>
      <c r="F746" s="14"/>
    </row>
    <row r="747" spans="4:6" ht="13">
      <c r="D747" s="14"/>
      <c r="F747" s="14"/>
    </row>
    <row r="748" spans="4:6" ht="13">
      <c r="D748" s="14"/>
      <c r="F748" s="14"/>
    </row>
    <row r="749" spans="4:6" ht="13">
      <c r="D749" s="14"/>
      <c r="F749" s="14"/>
    </row>
    <row r="750" spans="4:6" ht="13">
      <c r="D750" s="14"/>
      <c r="F750" s="14"/>
    </row>
    <row r="751" spans="4:6" ht="13">
      <c r="D751" s="14"/>
      <c r="F751" s="14"/>
    </row>
    <row r="752" spans="4:6" ht="13">
      <c r="D752" s="14"/>
      <c r="F752" s="14"/>
    </row>
    <row r="753" spans="4:6" ht="13">
      <c r="D753" s="14"/>
      <c r="F753" s="14"/>
    </row>
    <row r="754" spans="4:6" ht="13">
      <c r="D754" s="14"/>
      <c r="F754" s="14"/>
    </row>
    <row r="755" spans="4:6" ht="13">
      <c r="D755" s="14"/>
      <c r="F755" s="14"/>
    </row>
    <row r="756" spans="4:6" ht="13">
      <c r="D756" s="14"/>
      <c r="F756" s="14"/>
    </row>
    <row r="757" spans="4:6" ht="13">
      <c r="D757" s="14"/>
      <c r="F757" s="14"/>
    </row>
    <row r="758" spans="4:6" ht="13">
      <c r="D758" s="14"/>
      <c r="F758" s="14"/>
    </row>
    <row r="759" spans="4:6" ht="13">
      <c r="D759" s="14"/>
      <c r="F759" s="14"/>
    </row>
    <row r="760" spans="4:6" ht="13">
      <c r="D760" s="14"/>
      <c r="F760" s="14"/>
    </row>
    <row r="761" spans="4:6" ht="13">
      <c r="D761" s="14"/>
      <c r="F761" s="14"/>
    </row>
    <row r="762" spans="4:6" ht="13">
      <c r="D762" s="14"/>
      <c r="F762" s="14"/>
    </row>
    <row r="763" spans="4:6" ht="13">
      <c r="D763" s="14"/>
      <c r="F763" s="14"/>
    </row>
    <row r="764" spans="4:6" ht="13">
      <c r="D764" s="14"/>
      <c r="F764" s="14"/>
    </row>
    <row r="765" spans="4:6" ht="13">
      <c r="D765" s="14"/>
      <c r="F765" s="14"/>
    </row>
    <row r="766" spans="4:6" ht="13">
      <c r="D766" s="14"/>
      <c r="F766" s="14"/>
    </row>
    <row r="767" spans="4:6" ht="13">
      <c r="D767" s="14"/>
      <c r="F767" s="14"/>
    </row>
    <row r="768" spans="4:6" ht="13">
      <c r="D768" s="14"/>
      <c r="F768" s="14"/>
    </row>
    <row r="769" spans="4:6" ht="13">
      <c r="D769" s="14"/>
      <c r="F769" s="14"/>
    </row>
    <row r="770" spans="4:6" ht="13">
      <c r="D770" s="14"/>
      <c r="F770" s="14"/>
    </row>
    <row r="771" spans="4:6" ht="13">
      <c r="D771" s="14"/>
      <c r="F771" s="14"/>
    </row>
    <row r="772" spans="4:6" ht="13">
      <c r="D772" s="14"/>
      <c r="F772" s="14"/>
    </row>
    <row r="773" spans="4:6" ht="13">
      <c r="D773" s="14"/>
      <c r="F773" s="14"/>
    </row>
    <row r="774" spans="4:6" ht="13">
      <c r="D774" s="14"/>
      <c r="F774" s="14"/>
    </row>
    <row r="775" spans="4:6" ht="13">
      <c r="D775" s="14"/>
      <c r="F775" s="14"/>
    </row>
    <row r="776" spans="4:6" ht="13">
      <c r="D776" s="14"/>
      <c r="F776" s="14"/>
    </row>
    <row r="777" spans="4:6" ht="13">
      <c r="D777" s="14"/>
      <c r="F777" s="14"/>
    </row>
    <row r="778" spans="4:6" ht="13">
      <c r="D778" s="14"/>
      <c r="F778" s="14"/>
    </row>
    <row r="779" spans="4:6" ht="13">
      <c r="D779" s="14"/>
      <c r="F779" s="14"/>
    </row>
    <row r="780" spans="4:6" ht="13">
      <c r="D780" s="14"/>
      <c r="F780" s="14"/>
    </row>
    <row r="781" spans="4:6" ht="13">
      <c r="D781" s="14"/>
      <c r="F781" s="14"/>
    </row>
    <row r="782" spans="4:6" ht="13">
      <c r="D782" s="14"/>
      <c r="F782" s="14"/>
    </row>
    <row r="783" spans="4:6" ht="13">
      <c r="D783" s="14"/>
      <c r="F783" s="14"/>
    </row>
    <row r="784" spans="4:6" ht="13">
      <c r="D784" s="14"/>
      <c r="F784" s="14"/>
    </row>
    <row r="785" spans="4:6" ht="13">
      <c r="D785" s="14"/>
      <c r="F785" s="14"/>
    </row>
    <row r="786" spans="4:6" ht="13">
      <c r="D786" s="14"/>
      <c r="F786" s="14"/>
    </row>
    <row r="787" spans="4:6" ht="13">
      <c r="D787" s="14"/>
      <c r="F787" s="14"/>
    </row>
    <row r="788" spans="4:6" ht="13">
      <c r="D788" s="14"/>
      <c r="F788" s="14"/>
    </row>
    <row r="789" spans="4:6" ht="13">
      <c r="D789" s="14"/>
      <c r="F789" s="14"/>
    </row>
    <row r="790" spans="4:6" ht="13">
      <c r="D790" s="14"/>
      <c r="F790" s="14"/>
    </row>
    <row r="791" spans="4:6" ht="13">
      <c r="D791" s="14"/>
      <c r="F791" s="14"/>
    </row>
    <row r="792" spans="4:6" ht="13">
      <c r="D792" s="14"/>
      <c r="F792" s="14"/>
    </row>
    <row r="793" spans="4:6" ht="13">
      <c r="D793" s="14"/>
      <c r="F793" s="14"/>
    </row>
    <row r="794" spans="4:6" ht="13">
      <c r="D794" s="14"/>
      <c r="F794" s="14"/>
    </row>
    <row r="795" spans="4:6" ht="13">
      <c r="D795" s="14"/>
      <c r="F795" s="14"/>
    </row>
    <row r="796" spans="4:6" ht="13">
      <c r="D796" s="14"/>
      <c r="F796" s="14"/>
    </row>
    <row r="797" spans="4:6" ht="13">
      <c r="D797" s="14"/>
      <c r="F797" s="14"/>
    </row>
    <row r="798" spans="4:6" ht="13">
      <c r="D798" s="14"/>
      <c r="F798" s="14"/>
    </row>
    <row r="799" spans="4:6" ht="13">
      <c r="D799" s="14"/>
      <c r="F799" s="14"/>
    </row>
    <row r="800" spans="4:6" ht="13">
      <c r="D800" s="14"/>
      <c r="F800" s="14"/>
    </row>
    <row r="801" spans="4:6" ht="13">
      <c r="D801" s="14"/>
      <c r="F801" s="14"/>
    </row>
    <row r="802" spans="4:6" ht="13">
      <c r="D802" s="14"/>
      <c r="F802" s="14"/>
    </row>
    <row r="803" spans="4:6" ht="13">
      <c r="D803" s="14"/>
      <c r="F803" s="14"/>
    </row>
    <row r="804" spans="4:6" ht="13">
      <c r="D804" s="14"/>
      <c r="F804" s="14"/>
    </row>
    <row r="805" spans="4:6" ht="13">
      <c r="D805" s="14"/>
      <c r="F805" s="14"/>
    </row>
    <row r="806" spans="4:6" ht="13">
      <c r="D806" s="14"/>
      <c r="F806" s="14"/>
    </row>
    <row r="807" spans="4:6" ht="13">
      <c r="D807" s="14"/>
      <c r="F807" s="14"/>
    </row>
    <row r="808" spans="4:6" ht="13">
      <c r="D808" s="14"/>
      <c r="F808" s="14"/>
    </row>
    <row r="809" spans="4:6" ht="13">
      <c r="D809" s="14"/>
      <c r="F809" s="14"/>
    </row>
    <row r="810" spans="4:6" ht="13">
      <c r="D810" s="14"/>
      <c r="F810" s="14"/>
    </row>
    <row r="811" spans="4:6" ht="13">
      <c r="D811" s="14"/>
      <c r="F811" s="14"/>
    </row>
    <row r="812" spans="4:6" ht="13">
      <c r="D812" s="14"/>
      <c r="F812" s="14"/>
    </row>
    <row r="813" spans="4:6" ht="13">
      <c r="D813" s="14"/>
      <c r="F813" s="14"/>
    </row>
    <row r="814" spans="4:6" ht="13">
      <c r="D814" s="14"/>
      <c r="F814" s="14"/>
    </row>
    <row r="815" spans="4:6" ht="13">
      <c r="D815" s="14"/>
      <c r="F815" s="14"/>
    </row>
    <row r="816" spans="4:6" ht="13">
      <c r="D816" s="14"/>
      <c r="F816" s="14"/>
    </row>
    <row r="817" spans="4:6" ht="13">
      <c r="D817" s="14"/>
      <c r="F817" s="14"/>
    </row>
    <row r="818" spans="4:6" ht="13">
      <c r="D818" s="14"/>
      <c r="F818" s="14"/>
    </row>
    <row r="819" spans="4:6" ht="13">
      <c r="D819" s="14"/>
      <c r="F819" s="14"/>
    </row>
    <row r="820" spans="4:6" ht="13">
      <c r="D820" s="14"/>
      <c r="F820" s="14"/>
    </row>
    <row r="821" spans="4:6" ht="13">
      <c r="D821" s="14"/>
      <c r="F821" s="14"/>
    </row>
    <row r="822" spans="4:6" ht="13">
      <c r="D822" s="14"/>
      <c r="F822" s="14"/>
    </row>
    <row r="823" spans="4:6" ht="13">
      <c r="D823" s="14"/>
      <c r="F823" s="14"/>
    </row>
    <row r="824" spans="4:6" ht="13">
      <c r="D824" s="14"/>
      <c r="F824" s="14"/>
    </row>
    <row r="825" spans="4:6" ht="13">
      <c r="D825" s="14"/>
      <c r="F825" s="14"/>
    </row>
    <row r="826" spans="4:6" ht="13">
      <c r="D826" s="14"/>
      <c r="F826" s="14"/>
    </row>
    <row r="827" spans="4:6" ht="13">
      <c r="D827" s="14"/>
      <c r="F827" s="14"/>
    </row>
    <row r="828" spans="4:6" ht="13">
      <c r="D828" s="14"/>
      <c r="F828" s="14"/>
    </row>
    <row r="829" spans="4:6" ht="13">
      <c r="D829" s="14"/>
      <c r="F829" s="14"/>
    </row>
    <row r="830" spans="4:6" ht="13">
      <c r="D830" s="14"/>
      <c r="F830" s="14"/>
    </row>
    <row r="831" spans="4:6" ht="13">
      <c r="D831" s="14"/>
      <c r="F831" s="14"/>
    </row>
    <row r="832" spans="4:6" ht="13">
      <c r="D832" s="14"/>
      <c r="F832" s="14"/>
    </row>
    <row r="833" spans="4:6" ht="13">
      <c r="D833" s="14"/>
      <c r="F833" s="14"/>
    </row>
    <row r="834" spans="4:6" ht="13">
      <c r="D834" s="14"/>
      <c r="F834" s="14"/>
    </row>
    <row r="835" spans="4:6" ht="13">
      <c r="D835" s="14"/>
      <c r="F835" s="14"/>
    </row>
    <row r="836" spans="4:6" ht="13">
      <c r="D836" s="14"/>
      <c r="F836" s="14"/>
    </row>
    <row r="837" spans="4:6" ht="13">
      <c r="D837" s="14"/>
      <c r="F837" s="14"/>
    </row>
    <row r="838" spans="4:6" ht="13">
      <c r="D838" s="14"/>
      <c r="F838" s="14"/>
    </row>
    <row r="839" spans="4:6" ht="13">
      <c r="D839" s="14"/>
      <c r="F839" s="14"/>
    </row>
    <row r="840" spans="4:6" ht="13">
      <c r="D840" s="14"/>
      <c r="F840" s="14"/>
    </row>
    <row r="841" spans="4:6" ht="13">
      <c r="D841" s="14"/>
      <c r="F841" s="14"/>
    </row>
    <row r="842" spans="4:6" ht="13">
      <c r="D842" s="14"/>
      <c r="F842" s="14"/>
    </row>
    <row r="843" spans="4:6" ht="13">
      <c r="D843" s="14"/>
      <c r="F843" s="14"/>
    </row>
    <row r="844" spans="4:6" ht="13">
      <c r="D844" s="14"/>
      <c r="F844" s="14"/>
    </row>
    <row r="845" spans="4:6" ht="13">
      <c r="D845" s="14"/>
      <c r="F845" s="14"/>
    </row>
    <row r="846" spans="4:6" ht="13">
      <c r="D846" s="14"/>
      <c r="F846" s="14"/>
    </row>
    <row r="847" spans="4:6" ht="13">
      <c r="D847" s="14"/>
      <c r="F847" s="14"/>
    </row>
    <row r="848" spans="4:6" ht="13">
      <c r="D848" s="14"/>
      <c r="F848" s="14"/>
    </row>
    <row r="849" spans="4:6" ht="13">
      <c r="D849" s="14"/>
      <c r="F849" s="14"/>
    </row>
    <row r="850" spans="4:6" ht="13">
      <c r="D850" s="14"/>
      <c r="F850" s="14"/>
    </row>
    <row r="851" spans="4:6" ht="13">
      <c r="D851" s="14"/>
      <c r="F851" s="14"/>
    </row>
    <row r="852" spans="4:6" ht="13">
      <c r="D852" s="14"/>
      <c r="F852" s="14"/>
    </row>
    <row r="853" spans="4:6" ht="13">
      <c r="D853" s="14"/>
      <c r="F853" s="14"/>
    </row>
    <row r="854" spans="4:6" ht="13">
      <c r="D854" s="14"/>
      <c r="F854" s="14"/>
    </row>
    <row r="855" spans="4:6" ht="13">
      <c r="D855" s="14"/>
      <c r="F855" s="14"/>
    </row>
    <row r="856" spans="4:6" ht="13">
      <c r="D856" s="14"/>
      <c r="F856" s="14"/>
    </row>
    <row r="857" spans="4:6" ht="13">
      <c r="D857" s="14"/>
      <c r="F857" s="14"/>
    </row>
    <row r="858" spans="4:6" ht="13">
      <c r="D858" s="14"/>
      <c r="F858" s="14"/>
    </row>
    <row r="859" spans="4:6" ht="13">
      <c r="D859" s="14"/>
      <c r="F859" s="14"/>
    </row>
    <row r="860" spans="4:6" ht="13">
      <c r="D860" s="14"/>
      <c r="F860" s="14"/>
    </row>
    <row r="861" spans="4:6" ht="13">
      <c r="D861" s="14"/>
      <c r="F861" s="14"/>
    </row>
    <row r="862" spans="4:6" ht="13">
      <c r="D862" s="14"/>
      <c r="F862" s="14"/>
    </row>
    <row r="863" spans="4:6" ht="13">
      <c r="D863" s="14"/>
      <c r="F863" s="14"/>
    </row>
    <row r="864" spans="4:6" ht="13">
      <c r="D864" s="14"/>
      <c r="F864" s="14"/>
    </row>
    <row r="865" spans="4:6" ht="13">
      <c r="D865" s="14"/>
      <c r="F865" s="14"/>
    </row>
    <row r="866" spans="4:6" ht="13">
      <c r="D866" s="14"/>
      <c r="F866" s="14"/>
    </row>
    <row r="867" spans="4:6" ht="13">
      <c r="D867" s="14"/>
      <c r="F867" s="14"/>
    </row>
    <row r="868" spans="4:6" ht="13">
      <c r="D868" s="14"/>
      <c r="F868" s="14"/>
    </row>
    <row r="869" spans="4:6" ht="13">
      <c r="D869" s="14"/>
      <c r="F869" s="14"/>
    </row>
    <row r="870" spans="4:6" ht="13">
      <c r="D870" s="14"/>
      <c r="F870" s="14"/>
    </row>
    <row r="871" spans="4:6" ht="13">
      <c r="D871" s="14"/>
      <c r="F871" s="14"/>
    </row>
    <row r="872" spans="4:6" ht="13">
      <c r="D872" s="14"/>
      <c r="F872" s="14"/>
    </row>
    <row r="873" spans="4:6" ht="13">
      <c r="D873" s="14"/>
      <c r="F873" s="14"/>
    </row>
    <row r="874" spans="4:6" ht="13">
      <c r="D874" s="14"/>
      <c r="F874" s="14"/>
    </row>
    <row r="875" spans="4:6" ht="13">
      <c r="D875" s="14"/>
      <c r="F875" s="14"/>
    </row>
    <row r="876" spans="4:6" ht="13">
      <c r="D876" s="14"/>
      <c r="F876" s="14"/>
    </row>
    <row r="877" spans="4:6" ht="13">
      <c r="D877" s="14"/>
      <c r="F877" s="14"/>
    </row>
    <row r="878" spans="4:6" ht="13">
      <c r="D878" s="14"/>
      <c r="F878" s="14"/>
    </row>
    <row r="879" spans="4:6" ht="13">
      <c r="D879" s="14"/>
      <c r="F879" s="14"/>
    </row>
    <row r="880" spans="4:6" ht="13">
      <c r="D880" s="14"/>
      <c r="F880" s="14"/>
    </row>
    <row r="881" spans="4:6" ht="13">
      <c r="D881" s="14"/>
      <c r="F881" s="14"/>
    </row>
    <row r="882" spans="4:6" ht="13">
      <c r="D882" s="14"/>
      <c r="F882" s="14"/>
    </row>
    <row r="883" spans="4:6" ht="13">
      <c r="D883" s="14"/>
      <c r="F883" s="14"/>
    </row>
    <row r="884" spans="4:6" ht="13">
      <c r="D884" s="14"/>
      <c r="F884" s="14"/>
    </row>
    <row r="885" spans="4:6" ht="13">
      <c r="D885" s="14"/>
      <c r="F885" s="14"/>
    </row>
    <row r="886" spans="4:6" ht="13">
      <c r="D886" s="14"/>
      <c r="F886" s="14"/>
    </row>
    <row r="887" spans="4:6" ht="13">
      <c r="D887" s="14"/>
      <c r="F887" s="14"/>
    </row>
    <row r="888" spans="4:6" ht="13">
      <c r="D888" s="14"/>
      <c r="F888" s="14"/>
    </row>
    <row r="889" spans="4:6" ht="13">
      <c r="D889" s="14"/>
      <c r="F889" s="14"/>
    </row>
    <row r="890" spans="4:6" ht="13">
      <c r="D890" s="14"/>
      <c r="F890" s="14"/>
    </row>
    <row r="891" spans="4:6" ht="13">
      <c r="D891" s="14"/>
      <c r="F891" s="14"/>
    </row>
    <row r="892" spans="4:6" ht="13">
      <c r="D892" s="14"/>
      <c r="F892" s="14"/>
    </row>
    <row r="893" spans="4:6" ht="13">
      <c r="D893" s="14"/>
      <c r="F893" s="14"/>
    </row>
    <row r="894" spans="4:6" ht="13">
      <c r="D894" s="14"/>
      <c r="F894" s="14"/>
    </row>
    <row r="895" spans="4:6" ht="13">
      <c r="D895" s="14"/>
      <c r="F895" s="14"/>
    </row>
    <row r="896" spans="4:6" ht="13">
      <c r="D896" s="14"/>
      <c r="F896" s="14"/>
    </row>
    <row r="897" spans="4:6" ht="13">
      <c r="D897" s="14"/>
      <c r="F897" s="14"/>
    </row>
    <row r="898" spans="4:6" ht="13">
      <c r="D898" s="14"/>
      <c r="F898" s="14"/>
    </row>
    <row r="899" spans="4:6" ht="13">
      <c r="D899" s="14"/>
      <c r="F899" s="14"/>
    </row>
    <row r="900" spans="4:6" ht="13">
      <c r="D900" s="14"/>
      <c r="F900" s="14"/>
    </row>
    <row r="901" spans="4:6" ht="13">
      <c r="D901" s="14"/>
      <c r="F901" s="14"/>
    </row>
    <row r="902" spans="4:6" ht="13">
      <c r="D902" s="14"/>
      <c r="F902" s="14"/>
    </row>
    <row r="903" spans="4:6" ht="13">
      <c r="D903" s="14"/>
      <c r="F903" s="14"/>
    </row>
    <row r="904" spans="4:6" ht="13">
      <c r="D904" s="14"/>
      <c r="F904" s="14"/>
    </row>
    <row r="905" spans="4:6" ht="13">
      <c r="D905" s="14"/>
      <c r="F905" s="14"/>
    </row>
    <row r="906" spans="4:6" ht="13">
      <c r="D906" s="14"/>
      <c r="F906" s="14"/>
    </row>
    <row r="907" spans="4:6" ht="13">
      <c r="D907" s="14"/>
      <c r="F907" s="14"/>
    </row>
    <row r="908" spans="4:6" ht="13">
      <c r="D908" s="14"/>
      <c r="F908" s="14"/>
    </row>
    <row r="909" spans="4:6" ht="13">
      <c r="D909" s="14"/>
      <c r="F909" s="14"/>
    </row>
    <row r="910" spans="4:6" ht="13">
      <c r="D910" s="14"/>
      <c r="F910" s="14"/>
    </row>
    <row r="911" spans="4:6" ht="13">
      <c r="D911" s="14"/>
      <c r="F911" s="14"/>
    </row>
    <row r="912" spans="4:6" ht="13">
      <c r="D912" s="14"/>
      <c r="F912" s="14"/>
    </row>
    <row r="913" spans="4:6" ht="13">
      <c r="D913" s="14"/>
      <c r="F913" s="14"/>
    </row>
    <row r="914" spans="4:6" ht="13">
      <c r="D914" s="14"/>
      <c r="F914" s="14"/>
    </row>
    <row r="915" spans="4:6" ht="13">
      <c r="D915" s="14"/>
      <c r="F915" s="14"/>
    </row>
    <row r="916" spans="4:6" ht="13">
      <c r="D916" s="14"/>
      <c r="F916" s="14"/>
    </row>
    <row r="917" spans="4:6" ht="13">
      <c r="D917" s="14"/>
      <c r="F917" s="14"/>
    </row>
    <row r="918" spans="4:6" ht="13">
      <c r="D918" s="14"/>
      <c r="F918" s="14"/>
    </row>
    <row r="919" spans="4:6" ht="13">
      <c r="D919" s="14"/>
      <c r="F919" s="14"/>
    </row>
    <row r="920" spans="4:6" ht="13">
      <c r="D920" s="14"/>
      <c r="F920" s="14"/>
    </row>
    <row r="921" spans="4:6" ht="13">
      <c r="D921" s="14"/>
      <c r="F921" s="14"/>
    </row>
    <row r="922" spans="4:6" ht="13">
      <c r="D922" s="14"/>
      <c r="F922" s="14"/>
    </row>
    <row r="923" spans="4:6" ht="13">
      <c r="D923" s="14"/>
      <c r="F923" s="14"/>
    </row>
    <row r="924" spans="4:6" ht="13">
      <c r="D924" s="14"/>
      <c r="F924" s="14"/>
    </row>
    <row r="925" spans="4:6" ht="13">
      <c r="D925" s="14"/>
      <c r="F925" s="14"/>
    </row>
    <row r="926" spans="4:6" ht="13">
      <c r="D926" s="14"/>
      <c r="F926" s="14"/>
    </row>
    <row r="927" spans="4:6" ht="13">
      <c r="D927" s="14"/>
      <c r="F927" s="14"/>
    </row>
    <row r="928" spans="4:6" ht="13">
      <c r="D928" s="14"/>
      <c r="F928" s="14"/>
    </row>
    <row r="929" spans="4:6" ht="13">
      <c r="D929" s="14"/>
      <c r="F929" s="14"/>
    </row>
    <row r="930" spans="4:6" ht="13">
      <c r="D930" s="14"/>
      <c r="F930" s="14"/>
    </row>
    <row r="931" spans="4:6" ht="13">
      <c r="D931" s="14"/>
      <c r="F931" s="14"/>
    </row>
    <row r="932" spans="4:6" ht="13">
      <c r="D932" s="14"/>
      <c r="F932" s="14"/>
    </row>
    <row r="933" spans="4:6" ht="13">
      <c r="D933" s="14"/>
      <c r="F933" s="14"/>
    </row>
    <row r="934" spans="4:6" ht="13">
      <c r="D934" s="14"/>
      <c r="F934" s="14"/>
    </row>
    <row r="935" spans="4:6" ht="13">
      <c r="D935" s="14"/>
      <c r="F935" s="14"/>
    </row>
    <row r="936" spans="4:6" ht="13">
      <c r="D936" s="14"/>
      <c r="F936" s="14"/>
    </row>
    <row r="937" spans="4:6" ht="13">
      <c r="D937" s="14"/>
      <c r="F937" s="14"/>
    </row>
    <row r="938" spans="4:6" ht="13">
      <c r="D938" s="14"/>
      <c r="F938" s="14"/>
    </row>
    <row r="939" spans="4:6" ht="13">
      <c r="D939" s="14"/>
      <c r="F939" s="14"/>
    </row>
    <row r="940" spans="4:6" ht="13">
      <c r="D940" s="14"/>
      <c r="F940" s="14"/>
    </row>
    <row r="941" spans="4:6" ht="13">
      <c r="D941" s="14"/>
      <c r="F941" s="14"/>
    </row>
    <row r="942" spans="4:6" ht="13">
      <c r="D942" s="14"/>
      <c r="F942" s="14"/>
    </row>
    <row r="943" spans="4:6" ht="13">
      <c r="D943" s="14"/>
      <c r="F943" s="14"/>
    </row>
    <row r="944" spans="4:6" ht="13">
      <c r="D944" s="14"/>
      <c r="F944" s="14"/>
    </row>
    <row r="945" spans="4:6" ht="13">
      <c r="D945" s="14"/>
      <c r="F945" s="14"/>
    </row>
    <row r="946" spans="4:6" ht="13">
      <c r="D946" s="14"/>
      <c r="F946" s="14"/>
    </row>
    <row r="947" spans="4:6" ht="13">
      <c r="D947" s="14"/>
      <c r="F947" s="14"/>
    </row>
    <row r="948" spans="4:6" ht="13">
      <c r="D948" s="14"/>
      <c r="F948" s="14"/>
    </row>
    <row r="949" spans="4:6" ht="13">
      <c r="D949" s="14"/>
      <c r="F949" s="14"/>
    </row>
    <row r="950" spans="4:6" ht="13">
      <c r="D950" s="14"/>
      <c r="F950" s="14"/>
    </row>
    <row r="951" spans="4:6" ht="13">
      <c r="D951" s="14"/>
      <c r="F951" s="14"/>
    </row>
    <row r="952" spans="4:6" ht="13">
      <c r="D952" s="14"/>
      <c r="F952" s="14"/>
    </row>
    <row r="953" spans="4:6" ht="13">
      <c r="D953" s="14"/>
      <c r="F953" s="14"/>
    </row>
    <row r="954" spans="4:6" ht="13">
      <c r="D954" s="14"/>
      <c r="F954" s="14"/>
    </row>
    <row r="955" spans="4:6" ht="13">
      <c r="D955" s="14"/>
      <c r="F955" s="14"/>
    </row>
    <row r="956" spans="4:6" ht="13">
      <c r="D956" s="14"/>
      <c r="F956" s="14"/>
    </row>
    <row r="957" spans="4:6" ht="13">
      <c r="D957" s="14"/>
      <c r="F957" s="14"/>
    </row>
    <row r="958" spans="4:6" ht="13">
      <c r="D958" s="14"/>
      <c r="F958" s="14"/>
    </row>
    <row r="959" spans="4:6" ht="13">
      <c r="D959" s="14"/>
      <c r="F959" s="14"/>
    </row>
    <row r="960" spans="4:6" ht="13">
      <c r="D960" s="14"/>
      <c r="F960" s="14"/>
    </row>
    <row r="961" spans="4:6" ht="13">
      <c r="D961" s="14"/>
      <c r="F961" s="14"/>
    </row>
    <row r="962" spans="4:6" ht="13">
      <c r="D962" s="14"/>
      <c r="F962" s="14"/>
    </row>
    <row r="963" spans="4:6" ht="13">
      <c r="D963" s="14"/>
      <c r="F963" s="14"/>
    </row>
    <row r="964" spans="4:6" ht="13">
      <c r="D964" s="14"/>
      <c r="F964" s="14"/>
    </row>
    <row r="965" spans="4:6" ht="13">
      <c r="D965" s="14"/>
      <c r="F965" s="14"/>
    </row>
    <row r="966" spans="4:6" ht="13">
      <c r="D966" s="14"/>
      <c r="F966" s="14"/>
    </row>
    <row r="967" spans="4:6" ht="13">
      <c r="D967" s="14"/>
      <c r="F967" s="14"/>
    </row>
    <row r="968" spans="4:6" ht="13">
      <c r="D968" s="14"/>
      <c r="F968" s="14"/>
    </row>
    <row r="969" spans="4:6" ht="13">
      <c r="D969" s="14"/>
      <c r="F969" s="14"/>
    </row>
    <row r="970" spans="4:6" ht="13">
      <c r="D970" s="14"/>
      <c r="F970" s="14"/>
    </row>
    <row r="971" spans="4:6" ht="13">
      <c r="D971" s="14"/>
      <c r="F971" s="14"/>
    </row>
    <row r="972" spans="4:6" ht="13">
      <c r="D972" s="14"/>
      <c r="F972" s="14"/>
    </row>
    <row r="973" spans="4:6" ht="13">
      <c r="D973" s="14"/>
      <c r="F973" s="14"/>
    </row>
    <row r="974" spans="4:6" ht="13">
      <c r="D974" s="14"/>
      <c r="F974" s="14"/>
    </row>
    <row r="975" spans="4:6" ht="13">
      <c r="D975" s="14"/>
      <c r="F975" s="14"/>
    </row>
    <row r="976" spans="4:6" ht="13">
      <c r="D976" s="14"/>
      <c r="F976" s="14"/>
    </row>
    <row r="977" spans="4:6" ht="13">
      <c r="D977" s="14"/>
      <c r="F977" s="14"/>
    </row>
    <row r="978" spans="4:6" ht="13">
      <c r="D978" s="14"/>
      <c r="F978" s="14"/>
    </row>
    <row r="979" spans="4:6" ht="13">
      <c r="D979" s="14"/>
      <c r="F979" s="14"/>
    </row>
    <row r="980" spans="4:6" ht="13">
      <c r="D980" s="14"/>
      <c r="F980" s="14"/>
    </row>
    <row r="981" spans="4:6" ht="13">
      <c r="D981" s="14"/>
      <c r="F981" s="14"/>
    </row>
    <row r="982" spans="4:6" ht="13">
      <c r="D982" s="14"/>
      <c r="F982" s="14"/>
    </row>
    <row r="983" spans="4:6" ht="13">
      <c r="D983" s="14"/>
      <c r="F983" s="14"/>
    </row>
    <row r="984" spans="4:6" ht="13">
      <c r="D984" s="14"/>
      <c r="F984" s="14"/>
    </row>
    <row r="985" spans="4:6" ht="13">
      <c r="D985" s="14"/>
      <c r="F985" s="14"/>
    </row>
    <row r="986" spans="4:6" ht="13">
      <c r="D986" s="14"/>
      <c r="F986" s="14"/>
    </row>
    <row r="987" spans="4:6" ht="13">
      <c r="D987" s="14"/>
      <c r="F987" s="14"/>
    </row>
    <row r="988" spans="4:6" ht="13">
      <c r="D988" s="14"/>
      <c r="F988" s="14"/>
    </row>
    <row r="989" spans="4:6" ht="13">
      <c r="D989" s="14"/>
      <c r="F989" s="14"/>
    </row>
    <row r="990" spans="4:6" ht="13">
      <c r="D990" s="14"/>
      <c r="F990" s="14"/>
    </row>
    <row r="991" spans="4:6" ht="13">
      <c r="D991" s="14"/>
      <c r="F991" s="14"/>
    </row>
    <row r="992" spans="4:6" ht="13">
      <c r="D992" s="14"/>
      <c r="F992" s="14"/>
    </row>
    <row r="993" spans="4:6" ht="13">
      <c r="D993" s="14"/>
      <c r="F993" s="14"/>
    </row>
    <row r="994" spans="4:6" ht="13">
      <c r="D994" s="14"/>
      <c r="F994" s="14"/>
    </row>
    <row r="995" spans="4:6" ht="13">
      <c r="D995" s="14"/>
      <c r="F995" s="14"/>
    </row>
    <row r="996" spans="4:6" ht="13">
      <c r="D996" s="14"/>
      <c r="F996" s="14"/>
    </row>
    <row r="997" spans="4:6" ht="13">
      <c r="D997" s="14"/>
      <c r="F997" s="14"/>
    </row>
    <row r="998" spans="4:6" ht="13">
      <c r="D998" s="14"/>
      <c r="F998" s="14"/>
    </row>
    <row r="999" spans="4:6" ht="13">
      <c r="D999" s="14"/>
      <c r="F999" s="14"/>
    </row>
    <row r="1000" spans="4:6" ht="13">
      <c r="D1000" s="14"/>
      <c r="F1000" s="14"/>
    </row>
    <row r="1001" spans="4:6" ht="13">
      <c r="D1001" s="14"/>
      <c r="F1001" s="14"/>
    </row>
    <row r="1002" spans="4:6" ht="13">
      <c r="D1002" s="14"/>
      <c r="F1002" s="14"/>
    </row>
    <row r="1003" spans="4:6" ht="13">
      <c r="D1003" s="14"/>
      <c r="F1003" s="14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45EAF-BA29-144A-985A-518FE458D829}">
  <sheetPr>
    <outlinePr summaryBelow="0" summaryRight="0"/>
  </sheetPr>
  <dimension ref="A1:W92"/>
  <sheetViews>
    <sheetView showGridLines="0" topLeftCell="K1" zoomScaleNormal="100" workbookViewId="0">
      <selection activeCell="M25" sqref="M25"/>
    </sheetView>
  </sheetViews>
  <sheetFormatPr baseColWidth="10" defaultColWidth="12.6640625" defaultRowHeight="15.75" customHeight="1" outlineLevelRow="1"/>
  <cols>
    <col min="1" max="10" width="0" hidden="1" customWidth="1"/>
    <col min="12" max="12" width="45" customWidth="1"/>
    <col min="13" max="13" width="13.1640625" bestFit="1" customWidth="1"/>
    <col min="15" max="15" width="16.5" customWidth="1"/>
    <col min="16" max="16" width="12.6640625" bestFit="1" customWidth="1"/>
    <col min="22" max="22" width="45.83203125" style="284" customWidth="1"/>
    <col min="23" max="23" width="29.5" style="284" customWidth="1"/>
  </cols>
  <sheetData>
    <row r="1" spans="1:23" ht="15.75" customHeight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281"/>
      <c r="W1" s="281"/>
    </row>
    <row r="2" spans="1:23" ht="15.75" customHeight="1">
      <c r="A2" s="100"/>
      <c r="B2" s="100"/>
      <c r="C2" s="174"/>
      <c r="D2" s="174"/>
      <c r="E2" s="100"/>
      <c r="F2" s="100"/>
      <c r="G2" s="100"/>
      <c r="H2" s="100"/>
      <c r="I2" s="100"/>
      <c r="J2" s="100"/>
      <c r="K2" s="100"/>
      <c r="L2" s="164" t="s">
        <v>30</v>
      </c>
      <c r="M2" s="285">
        <v>0.25</v>
      </c>
      <c r="N2" s="290" t="s">
        <v>31</v>
      </c>
      <c r="O2" s="164"/>
      <c r="P2" s="164"/>
      <c r="Q2" s="164"/>
      <c r="R2" s="164"/>
      <c r="S2" s="164"/>
      <c r="T2" s="164"/>
      <c r="U2" s="164"/>
      <c r="V2" s="281"/>
      <c r="W2" s="281"/>
    </row>
    <row r="3" spans="1:23" ht="15.75" customHeight="1" thickBot="1">
      <c r="A3" s="100"/>
      <c r="B3" s="100"/>
      <c r="C3" s="106"/>
      <c r="D3" s="106"/>
      <c r="E3" s="100"/>
      <c r="F3" s="100"/>
      <c r="G3" s="100"/>
      <c r="H3" s="100"/>
      <c r="I3" s="100"/>
      <c r="J3" s="100"/>
      <c r="K3" s="100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282" t="s">
        <v>32</v>
      </c>
      <c r="W3" s="281"/>
    </row>
    <row r="4" spans="1:23" ht="15.75" customHeight="1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386"/>
      <c r="L4" s="304" t="s">
        <v>134</v>
      </c>
      <c r="M4" s="166"/>
      <c r="N4" s="166"/>
      <c r="O4" s="166"/>
      <c r="P4" s="166"/>
      <c r="Q4" s="166"/>
      <c r="R4" s="166"/>
      <c r="S4" s="166"/>
      <c r="T4" s="166"/>
      <c r="U4" s="167"/>
      <c r="V4" s="592" t="s">
        <v>35</v>
      </c>
      <c r="W4" s="587"/>
    </row>
    <row r="5" spans="1:23" ht="15.75" customHeight="1">
      <c r="A5" s="100"/>
      <c r="B5" s="100"/>
      <c r="C5" s="100"/>
      <c r="D5" s="100"/>
      <c r="E5" s="100"/>
      <c r="F5" s="100"/>
      <c r="G5" s="100"/>
      <c r="H5" s="100"/>
      <c r="I5" s="100"/>
      <c r="J5" s="100"/>
      <c r="K5" s="386"/>
      <c r="L5" s="346"/>
      <c r="M5" s="347"/>
      <c r="N5" s="347"/>
      <c r="O5" s="347"/>
      <c r="P5" s="348"/>
      <c r="Q5" s="165"/>
      <c r="R5" s="165"/>
      <c r="S5" s="165"/>
      <c r="T5" s="165"/>
      <c r="U5" s="349"/>
      <c r="V5" s="382"/>
      <c r="W5" s="383"/>
    </row>
    <row r="6" spans="1:23" ht="15.75" customHeight="1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386"/>
      <c r="L6" s="591" t="s">
        <v>135</v>
      </c>
      <c r="M6" s="576"/>
      <c r="N6" s="576"/>
      <c r="O6" s="576"/>
      <c r="P6" s="577"/>
      <c r="Q6" s="100"/>
      <c r="R6" s="100"/>
      <c r="S6" s="100"/>
      <c r="T6" s="100"/>
      <c r="U6" s="168"/>
      <c r="V6" s="592" t="s">
        <v>37</v>
      </c>
      <c r="W6" s="587"/>
    </row>
    <row r="7" spans="1:23" ht="15.75" customHeight="1">
      <c r="A7" s="386"/>
      <c r="B7" s="379"/>
      <c r="C7" s="379"/>
      <c r="D7" s="321"/>
      <c r="E7" s="100"/>
      <c r="F7" s="100"/>
      <c r="G7" s="100"/>
      <c r="H7" s="100"/>
      <c r="I7" s="100"/>
      <c r="J7" s="100"/>
      <c r="K7" s="386"/>
      <c r="L7" s="388" t="s">
        <v>136</v>
      </c>
      <c r="M7" s="345">
        <f>+'09 Inventory Loan'!F26</f>
        <v>357812.5</v>
      </c>
      <c r="N7" s="380">
        <v>1</v>
      </c>
      <c r="O7" s="345">
        <f>+N7*M7</f>
        <v>357812.5</v>
      </c>
      <c r="P7" s="381"/>
      <c r="Q7" s="100"/>
      <c r="R7" s="100"/>
      <c r="S7" s="100"/>
      <c r="T7" s="100"/>
      <c r="U7" s="168"/>
      <c r="V7" s="382"/>
      <c r="W7" s="383"/>
    </row>
    <row r="8" spans="1:23" ht="15.75" customHeight="1">
      <c r="A8" s="386"/>
      <c r="B8" s="379"/>
      <c r="C8" s="379"/>
      <c r="D8" s="321"/>
      <c r="E8" s="100"/>
      <c r="F8" s="100"/>
      <c r="G8" s="100"/>
      <c r="H8" s="100"/>
      <c r="I8" s="100"/>
      <c r="J8" s="100"/>
      <c r="K8" s="386"/>
      <c r="L8" s="385"/>
      <c r="M8" s="345"/>
      <c r="N8" s="380"/>
      <c r="O8" s="345"/>
      <c r="P8" s="381"/>
      <c r="Q8" s="100"/>
      <c r="R8" s="100"/>
      <c r="S8" s="100"/>
      <c r="T8" s="100"/>
      <c r="U8" s="168"/>
      <c r="V8" s="382"/>
      <c r="W8" s="383"/>
    </row>
    <row r="9" spans="1:23" ht="15.75" customHeight="1">
      <c r="A9" s="386"/>
      <c r="B9" s="379"/>
      <c r="C9" s="379"/>
      <c r="D9" s="321"/>
      <c r="E9" s="100"/>
      <c r="F9" s="100"/>
      <c r="G9" s="100"/>
      <c r="H9" s="100"/>
      <c r="I9" s="100"/>
      <c r="J9" s="100"/>
      <c r="K9" s="386"/>
      <c r="L9" s="385"/>
      <c r="M9" s="380"/>
      <c r="N9" s="380"/>
      <c r="O9" s="380"/>
      <c r="P9" s="381"/>
      <c r="Q9" s="100"/>
      <c r="R9" s="100"/>
      <c r="S9" s="100"/>
      <c r="T9" s="100"/>
      <c r="U9" s="168"/>
      <c r="V9" s="382"/>
      <c r="W9" s="383"/>
    </row>
    <row r="10" spans="1:23" ht="15.75" customHeight="1">
      <c r="A10" s="581" t="s">
        <v>38</v>
      </c>
      <c r="B10" s="576"/>
      <c r="C10" s="576"/>
      <c r="D10" s="577"/>
      <c r="E10" s="100"/>
      <c r="F10" s="100"/>
      <c r="G10" s="100"/>
      <c r="H10" s="100"/>
      <c r="I10" s="100"/>
      <c r="J10" s="100"/>
      <c r="K10" s="386"/>
      <c r="L10" s="169" t="s">
        <v>137</v>
      </c>
      <c r="M10" s="161">
        <f>-'11 Forward OPEX 250728'!G84</f>
        <v>-84340.335233817939</v>
      </c>
      <c r="N10" s="102">
        <v>6</v>
      </c>
      <c r="O10" s="163">
        <f>+N10*M10</f>
        <v>-506042.01140290766</v>
      </c>
      <c r="P10" s="100"/>
      <c r="Q10" s="100"/>
      <c r="R10" s="100"/>
      <c r="S10" s="100"/>
      <c r="T10" s="100"/>
      <c r="U10" s="168"/>
      <c r="V10" s="592" t="s">
        <v>40</v>
      </c>
      <c r="W10" s="587"/>
    </row>
    <row r="11" spans="1:23" ht="15.75" customHeight="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386"/>
      <c r="L11" s="169" t="s">
        <v>14</v>
      </c>
      <c r="M11" s="363">
        <v>0</v>
      </c>
      <c r="N11" s="102">
        <v>330</v>
      </c>
      <c r="O11" s="161">
        <f>-'04 MFG Batch 0001 Cost (330pc)'!C35</f>
        <v>-410263.91524878464</v>
      </c>
      <c r="P11" s="100" t="s">
        <v>138</v>
      </c>
      <c r="Q11" s="100"/>
      <c r="R11" s="100"/>
      <c r="S11" s="100"/>
      <c r="T11" s="100"/>
      <c r="U11" s="168"/>
      <c r="V11" s="592" t="s">
        <v>41</v>
      </c>
      <c r="W11" s="587"/>
    </row>
    <row r="12" spans="1:23" ht="15.75" customHeight="1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386"/>
      <c r="L12" s="169" t="s">
        <v>66</v>
      </c>
      <c r="M12" s="354">
        <f>-'04 MFG Batch 0001 Cost (330pc)'!I41</f>
        <v>-1050.9526249109565</v>
      </c>
      <c r="N12" s="351">
        <v>700</v>
      </c>
      <c r="O12" s="352">
        <f>+N12*M12</f>
        <v>-735666.83743766951</v>
      </c>
      <c r="P12" s="379" t="s">
        <v>139</v>
      </c>
      <c r="Q12" s="379"/>
      <c r="R12" s="379"/>
      <c r="S12" s="379"/>
      <c r="T12" s="321"/>
      <c r="U12" s="168"/>
      <c r="V12" s="382"/>
      <c r="W12" s="383"/>
    </row>
    <row r="13" spans="1:23" ht="15.75" customHeight="1">
      <c r="A13" s="100"/>
      <c r="B13" s="101" t="s">
        <v>42</v>
      </c>
      <c r="C13" s="101" t="s">
        <v>43</v>
      </c>
      <c r="D13" s="101" t="s">
        <v>44</v>
      </c>
      <c r="E13" s="100"/>
      <c r="F13" s="100"/>
      <c r="G13" s="100"/>
      <c r="H13" s="100"/>
      <c r="I13" s="100"/>
      <c r="J13" s="100"/>
      <c r="K13" s="386"/>
      <c r="L13" s="169" t="s">
        <v>45</v>
      </c>
      <c r="M13" s="161">
        <f>-(28000+8500)</f>
        <v>-36500</v>
      </c>
      <c r="N13" s="351">
        <v>1</v>
      </c>
      <c r="O13" s="353">
        <f>+N13*M13</f>
        <v>-36500</v>
      </c>
      <c r="P13" s="601" t="s">
        <v>46</v>
      </c>
      <c r="Q13" s="576"/>
      <c r="R13" s="576"/>
      <c r="S13" s="576"/>
      <c r="T13" s="577"/>
      <c r="U13" s="168"/>
      <c r="V13" s="592" t="s">
        <v>47</v>
      </c>
      <c r="W13" s="587"/>
    </row>
    <row r="14" spans="1:23" ht="15.75" customHeight="1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386"/>
      <c r="L14" s="169"/>
      <c r="M14" s="161"/>
      <c r="N14" s="102"/>
      <c r="O14" s="178">
        <f>SUM(O10:O13)</f>
        <v>-1688472.7640893618</v>
      </c>
      <c r="P14" s="386"/>
      <c r="Q14" s="379"/>
      <c r="R14" s="379"/>
      <c r="S14" s="379"/>
      <c r="T14" s="321"/>
      <c r="U14" s="168"/>
      <c r="V14" s="382"/>
      <c r="W14" s="383"/>
    </row>
    <row r="15" spans="1:23" ht="15.75" customHeight="1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386"/>
      <c r="L15" s="169"/>
      <c r="M15" s="161"/>
      <c r="N15" s="102"/>
      <c r="O15" s="163"/>
      <c r="P15" s="386"/>
      <c r="Q15" s="379"/>
      <c r="R15" s="379"/>
      <c r="S15" s="379"/>
      <c r="T15" s="321"/>
      <c r="U15" s="168"/>
      <c r="V15" s="382"/>
      <c r="W15" s="383"/>
    </row>
    <row r="16" spans="1:23" ht="15.75" customHeight="1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386"/>
      <c r="L16" s="269" t="s">
        <v>140</v>
      </c>
      <c r="M16" s="350"/>
      <c r="N16" s="105"/>
      <c r="O16" s="270">
        <f>+O7+O14+O8</f>
        <v>-1330660.2640893618</v>
      </c>
      <c r="P16" s="386"/>
      <c r="Q16" s="379"/>
      <c r="R16" s="379"/>
      <c r="S16" s="379"/>
      <c r="T16" s="321"/>
      <c r="U16" s="168"/>
      <c r="V16" s="382"/>
      <c r="W16" s="383"/>
    </row>
    <row r="17" spans="1:23" ht="15.75" customHeight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386"/>
      <c r="L17" s="169"/>
      <c r="M17" s="161"/>
      <c r="N17" s="102"/>
      <c r="O17" s="163"/>
      <c r="P17" s="386"/>
      <c r="Q17" s="379"/>
      <c r="R17" s="379"/>
      <c r="S17" s="379"/>
      <c r="T17" s="321"/>
      <c r="U17" s="168"/>
      <c r="V17" s="382"/>
      <c r="W17" s="383"/>
    </row>
    <row r="18" spans="1:23" ht="15.75" customHeight="1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386"/>
      <c r="L18" s="169"/>
      <c r="M18" s="161"/>
      <c r="N18" s="102"/>
      <c r="O18" s="163"/>
      <c r="P18" s="386"/>
      <c r="Q18" s="379"/>
      <c r="R18" s="379"/>
      <c r="S18" s="379"/>
      <c r="T18" s="321"/>
      <c r="U18" s="168"/>
      <c r="V18" s="382"/>
      <c r="W18" s="383"/>
    </row>
    <row r="19" spans="1:23" ht="15.75" customHeight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386"/>
      <c r="L19" s="269" t="s">
        <v>141</v>
      </c>
      <c r="M19" s="161"/>
      <c r="N19" s="102"/>
      <c r="O19" s="163"/>
      <c r="P19" s="386"/>
      <c r="Q19" s="379"/>
      <c r="R19" s="379"/>
      <c r="S19" s="379"/>
      <c r="T19" s="321"/>
      <c r="U19" s="168"/>
      <c r="V19" s="382"/>
      <c r="W19" s="383"/>
    </row>
    <row r="20" spans="1:23" ht="15.7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386"/>
      <c r="L20" s="169" t="s">
        <v>142</v>
      </c>
      <c r="M20" s="161"/>
      <c r="N20" s="102">
        <f>300*M2</f>
        <v>75</v>
      </c>
      <c r="O20" s="163">
        <f>(200*('02 Rev Forecasts; Internal KPIs'!E15*0.85))+(100*'02 Rev Forecasts; Internal KPIs'!E6)*M2</f>
        <v>1086000</v>
      </c>
      <c r="P20" s="386"/>
      <c r="Q20" s="379"/>
      <c r="R20" s="379"/>
      <c r="S20" s="379"/>
      <c r="T20" s="321"/>
      <c r="U20" s="168"/>
      <c r="V20" s="382"/>
      <c r="W20" s="383"/>
    </row>
    <row r="21" spans="1:23" ht="15.75" customHeight="1">
      <c r="A21" s="100"/>
      <c r="B21" s="165"/>
      <c r="C21" s="165"/>
      <c r="D21" s="165"/>
      <c r="E21" s="100"/>
      <c r="F21" s="100"/>
      <c r="G21" s="100"/>
      <c r="H21" s="100"/>
      <c r="I21" s="100"/>
      <c r="J21" s="100"/>
      <c r="K21" s="386"/>
      <c r="L21" s="169" t="s">
        <v>144</v>
      </c>
      <c r="M21" s="161"/>
      <c r="N21" s="110">
        <f>700*M2</f>
        <v>175</v>
      </c>
      <c r="O21" s="163">
        <f>((300*'02 Rev Forecasts; Internal KPIs'!E6)+(300*'02 Rev Forecasts; Internal KPIs'!E15*0.85)+(200*'02 Rev Forecasts; Internal KPIs'!E24))*M2</f>
        <v>853137.5</v>
      </c>
      <c r="P21" s="386"/>
      <c r="Q21" s="379"/>
      <c r="R21" s="379"/>
      <c r="S21" s="379"/>
      <c r="T21" s="321"/>
      <c r="U21" s="168"/>
      <c r="V21" s="382"/>
      <c r="W21" s="383"/>
    </row>
    <row r="22" spans="1:23" ht="15.75" customHeight="1">
      <c r="A22" s="100"/>
      <c r="B22" s="177"/>
      <c r="C22" s="177"/>
      <c r="D22" s="177"/>
      <c r="E22" s="100"/>
      <c r="F22" s="100"/>
      <c r="G22" s="100"/>
      <c r="H22" s="100"/>
      <c r="I22" s="100"/>
      <c r="J22" s="100"/>
      <c r="K22" s="386"/>
      <c r="L22" s="169" t="s">
        <v>80</v>
      </c>
      <c r="M22" s="161"/>
      <c r="N22" s="179"/>
      <c r="O22" s="162">
        <f>+'07 SG MRA Grant'!F9</f>
        <v>119885.375</v>
      </c>
      <c r="P22" s="100" t="s">
        <v>81</v>
      </c>
      <c r="Q22" s="100"/>
      <c r="R22" s="100"/>
      <c r="S22" s="100"/>
      <c r="T22" s="100"/>
      <c r="U22" s="168"/>
      <c r="V22" s="383"/>
      <c r="W22" s="281"/>
    </row>
    <row r="23" spans="1:23" ht="15.75" customHeight="1">
      <c r="A23" s="100"/>
      <c r="B23" s="177"/>
      <c r="C23" s="177"/>
      <c r="D23" s="177"/>
      <c r="E23" s="100"/>
      <c r="F23" s="100"/>
      <c r="G23" s="100"/>
      <c r="H23" s="100"/>
      <c r="I23" s="100"/>
      <c r="J23" s="100"/>
      <c r="K23" s="386"/>
      <c r="L23" s="169"/>
      <c r="M23" s="161"/>
      <c r="N23" s="179"/>
      <c r="O23" s="162">
        <f>SUM(O20:O22)</f>
        <v>2059022.875</v>
      </c>
      <c r="P23" s="386"/>
      <c r="Q23" s="379"/>
      <c r="R23" s="379"/>
      <c r="S23" s="379"/>
      <c r="T23" s="321"/>
      <c r="U23" s="168"/>
      <c r="V23" s="382"/>
      <c r="W23" s="383"/>
    </row>
    <row r="24" spans="1:23" ht="15.7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386"/>
      <c r="L24" s="169"/>
      <c r="M24" s="161"/>
      <c r="N24" s="102"/>
      <c r="O24" s="163"/>
      <c r="P24" s="386"/>
      <c r="Q24" s="379"/>
      <c r="R24" s="379"/>
      <c r="S24" s="379"/>
      <c r="T24" s="321"/>
      <c r="U24" s="168"/>
      <c r="V24" s="382"/>
      <c r="W24" s="383"/>
    </row>
    <row r="25" spans="1:23" ht="15.7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386"/>
      <c r="L25" s="169" t="s">
        <v>146</v>
      </c>
      <c r="M25" s="161">
        <f>+M10*1.2</f>
        <v>-101208.40228058152</v>
      </c>
      <c r="N25" s="102">
        <v>6</v>
      </c>
      <c r="O25" s="163">
        <f>+N25*M25</f>
        <v>-607250.41368348908</v>
      </c>
      <c r="P25" s="386" t="s">
        <v>723</v>
      </c>
      <c r="Q25" s="379"/>
      <c r="R25" s="379"/>
      <c r="S25" s="379"/>
      <c r="T25" s="321"/>
      <c r="U25" s="168"/>
      <c r="V25" s="382"/>
      <c r="W25" s="383"/>
    </row>
    <row r="26" spans="1:23" ht="15.7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386"/>
      <c r="L26" s="169" t="s">
        <v>84</v>
      </c>
      <c r="M26" s="161">
        <f>-'04 MFG Batch 0001 Cost (330pc)'!I44</f>
        <v>-945</v>
      </c>
      <c r="N26" s="330">
        <v>1000</v>
      </c>
      <c r="O26" s="163">
        <f>+M26*N26</f>
        <v>-945000</v>
      </c>
      <c r="P26" s="386"/>
      <c r="Q26" s="379"/>
      <c r="R26" s="379"/>
      <c r="S26" s="379"/>
      <c r="T26" s="321"/>
      <c r="U26" s="168"/>
      <c r="V26" s="382"/>
      <c r="W26" s="383"/>
    </row>
    <row r="27" spans="1:23" ht="15.7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386"/>
      <c r="L27" s="169" t="s">
        <v>90</v>
      </c>
      <c r="M27" s="161">
        <f>-'10 Laser Balancing Int vs Ext'!B42</f>
        <v>-320248.8</v>
      </c>
      <c r="N27" s="100">
        <v>1</v>
      </c>
      <c r="O27" s="163">
        <f>M27*N27</f>
        <v>-320248.8</v>
      </c>
      <c r="P27" s="100" t="s">
        <v>91</v>
      </c>
      <c r="Q27" s="100"/>
      <c r="R27" s="100"/>
      <c r="S27" s="100"/>
      <c r="T27" s="100"/>
      <c r="U27" s="168"/>
      <c r="V27" s="383"/>
      <c r="W27" s="281"/>
    </row>
    <row r="28" spans="1:23" ht="15.7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386"/>
      <c r="L28" s="169" t="s">
        <v>92</v>
      </c>
      <c r="M28" s="161">
        <v>-150000</v>
      </c>
      <c r="N28" s="100">
        <v>2</v>
      </c>
      <c r="O28" s="163">
        <f>M28*N28</f>
        <v>-300000</v>
      </c>
      <c r="P28" s="100" t="s">
        <v>93</v>
      </c>
      <c r="Q28" s="100"/>
      <c r="R28" s="100"/>
      <c r="S28" s="100"/>
      <c r="T28" s="100"/>
      <c r="U28" s="168"/>
      <c r="V28" s="383"/>
      <c r="W28" s="281"/>
    </row>
    <row r="29" spans="1:23" ht="15.7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386"/>
      <c r="L29" s="388" t="s">
        <v>94</v>
      </c>
      <c r="M29" s="181">
        <f>-'Summary P&amp;L-USD Yr Jul_Jun Best'!M12/2*M2</f>
        <v>-166155.5</v>
      </c>
      <c r="N29" s="100">
        <v>1</v>
      </c>
      <c r="O29" s="163">
        <f t="shared" ref="O29:O30" si="0">M29*N29</f>
        <v>-166155.5</v>
      </c>
      <c r="P29" s="100" t="s">
        <v>95</v>
      </c>
      <c r="Q29" s="100"/>
      <c r="R29" s="100"/>
      <c r="S29" s="100"/>
      <c r="T29" s="100"/>
      <c r="U29" s="168"/>
      <c r="V29" s="383"/>
      <c r="W29" s="281"/>
    </row>
    <row r="30" spans="1:23" ht="15.7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386"/>
      <c r="L30" s="388" t="s">
        <v>96</v>
      </c>
      <c r="M30" s="181">
        <f>(-'Summary P&amp;L-USD Yr Jul_Jun Best'!M13-'Summary P&amp;L-USD Yr Jul_Jun Best'!N13)/2*M2</f>
        <v>-199091.125</v>
      </c>
      <c r="N30" s="100">
        <v>1</v>
      </c>
      <c r="O30" s="163">
        <f t="shared" si="0"/>
        <v>-199091.125</v>
      </c>
      <c r="P30" s="291" t="s">
        <v>97</v>
      </c>
      <c r="Q30" s="100"/>
      <c r="R30" s="100"/>
      <c r="S30" s="100"/>
      <c r="T30" s="100"/>
      <c r="U30" s="168"/>
      <c r="V30" s="383"/>
      <c r="W30" s="281"/>
    </row>
    <row r="31" spans="1:23" ht="15.75" customHeight="1">
      <c r="A31" s="100"/>
      <c r="B31" s="177"/>
      <c r="C31" s="177"/>
      <c r="D31" s="177"/>
      <c r="E31" s="100"/>
      <c r="F31" s="100"/>
      <c r="G31" s="100"/>
      <c r="H31" s="100"/>
      <c r="I31" s="100"/>
      <c r="J31" s="100"/>
      <c r="K31" s="386"/>
      <c r="L31" s="388"/>
      <c r="M31" s="379"/>
      <c r="N31" s="379"/>
      <c r="O31" s="331">
        <f>SUM(O25:O30)</f>
        <v>-2537745.8386834888</v>
      </c>
      <c r="P31" s="100"/>
      <c r="Q31" s="100"/>
      <c r="R31" s="100"/>
      <c r="S31" s="100"/>
      <c r="T31" s="100"/>
      <c r="U31" s="168"/>
      <c r="V31" s="383"/>
      <c r="W31" s="281"/>
    </row>
    <row r="32" spans="1:23" ht="15.75" customHeight="1">
      <c r="A32" s="100"/>
      <c r="B32" s="177"/>
      <c r="C32" s="177"/>
      <c r="D32" s="177"/>
      <c r="E32" s="100"/>
      <c r="F32" s="100"/>
      <c r="G32" s="100"/>
      <c r="H32" s="100"/>
      <c r="I32" s="100"/>
      <c r="J32" s="100"/>
      <c r="K32" s="386"/>
      <c r="L32" s="388"/>
      <c r="M32" s="379"/>
      <c r="N32" s="379"/>
      <c r="O32" s="331"/>
      <c r="P32" s="100"/>
      <c r="Q32" s="100"/>
      <c r="R32" s="100"/>
      <c r="S32" s="100"/>
      <c r="T32" s="100"/>
      <c r="U32" s="168"/>
      <c r="V32" s="383"/>
      <c r="W32" s="281"/>
    </row>
    <row r="33" spans="1:23" ht="15.7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386"/>
      <c r="L33" s="269" t="s">
        <v>140</v>
      </c>
      <c r="M33" s="350"/>
      <c r="N33" s="105"/>
      <c r="O33" s="270">
        <f>+O23+O31</f>
        <v>-478722.96368348878</v>
      </c>
      <c r="P33" s="386"/>
      <c r="Q33" s="379"/>
      <c r="R33" s="379"/>
      <c r="S33" s="379"/>
      <c r="T33" s="321"/>
      <c r="U33" s="168"/>
      <c r="V33" s="382"/>
      <c r="W33" s="383"/>
    </row>
    <row r="34" spans="1:23" ht="15.75" customHeight="1">
      <c r="A34" s="100"/>
      <c r="B34" s="165"/>
      <c r="C34" s="165"/>
      <c r="D34" s="165"/>
      <c r="E34" s="100"/>
      <c r="F34" s="100"/>
      <c r="G34" s="100"/>
      <c r="H34" s="100"/>
      <c r="I34" s="100"/>
      <c r="J34" s="100"/>
      <c r="K34" s="386"/>
      <c r="L34" s="385"/>
      <c r="M34" s="355"/>
      <c r="N34" s="356"/>
      <c r="O34" s="357"/>
      <c r="P34" s="386"/>
      <c r="Q34" s="379"/>
      <c r="R34" s="379"/>
      <c r="S34" s="379"/>
      <c r="T34" s="321"/>
      <c r="U34" s="168"/>
      <c r="V34" s="382"/>
      <c r="W34" s="383"/>
    </row>
    <row r="35" spans="1:23" s="57" customFormat="1" ht="15.75" customHeight="1">
      <c r="A35" s="101"/>
      <c r="B35" s="358"/>
      <c r="C35" s="358"/>
      <c r="D35" s="358"/>
      <c r="E35" s="101"/>
      <c r="F35" s="101"/>
      <c r="G35" s="101"/>
      <c r="H35" s="101"/>
      <c r="I35" s="101"/>
      <c r="J35" s="101"/>
      <c r="K35" s="384"/>
      <c r="L35" s="385" t="s">
        <v>724</v>
      </c>
      <c r="M35" s="359"/>
      <c r="N35" s="359"/>
      <c r="O35" s="360">
        <f>+O16+O33</f>
        <v>-1809383.2277728505</v>
      </c>
      <c r="P35" s="101"/>
      <c r="Q35" s="101"/>
      <c r="R35" s="101"/>
      <c r="S35" s="101"/>
      <c r="T35" s="101"/>
      <c r="U35" s="361"/>
      <c r="V35" s="362"/>
      <c r="W35" s="282"/>
    </row>
    <row r="36" spans="1:23" ht="15.75" customHeight="1" thickBot="1">
      <c r="L36" s="364"/>
      <c r="M36" s="365"/>
      <c r="N36" s="365"/>
      <c r="O36" s="365"/>
      <c r="P36" s="365"/>
      <c r="Q36" s="365"/>
      <c r="R36" s="365"/>
      <c r="S36" s="365"/>
      <c r="T36" s="365"/>
      <c r="U36" s="366"/>
    </row>
    <row r="37" spans="1:23" ht="13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U37" s="165"/>
      <c r="V37" s="281"/>
      <c r="W37" s="281"/>
    </row>
    <row r="38" spans="1:23" ht="1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281"/>
      <c r="W38" s="281"/>
    </row>
    <row r="39" spans="1:23" ht="13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281"/>
      <c r="W39" s="281"/>
    </row>
    <row r="40" spans="1:23" ht="13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281"/>
      <c r="W40" s="281"/>
    </row>
    <row r="41" spans="1:23" ht="13" collapsed="1">
      <c r="A41" s="581" t="s">
        <v>125</v>
      </c>
      <c r="B41" s="577"/>
      <c r="C41" s="100"/>
      <c r="D41" s="100"/>
      <c r="E41" s="100"/>
      <c r="F41" s="100"/>
      <c r="G41" s="100"/>
      <c r="H41" s="100"/>
      <c r="I41" s="100"/>
      <c r="J41" s="100"/>
      <c r="K41" s="100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281"/>
      <c r="W41" s="281"/>
    </row>
    <row r="42" spans="1:23" ht="13" hidden="1" outlineLevel="1">
      <c r="A42" s="100" t="s">
        <v>126</v>
      </c>
      <c r="B42" s="100" t="s">
        <v>127</v>
      </c>
      <c r="C42" s="100"/>
      <c r="D42" s="102" t="s">
        <v>128</v>
      </c>
      <c r="E42" s="100"/>
      <c r="F42" s="100"/>
      <c r="G42" s="100"/>
      <c r="H42" s="100"/>
      <c r="I42" s="100"/>
      <c r="J42" s="100"/>
      <c r="K42" s="386"/>
      <c r="L42" s="304" t="s">
        <v>134</v>
      </c>
      <c r="M42" s="166"/>
      <c r="N42" s="166"/>
      <c r="O42" s="166"/>
      <c r="P42" s="166"/>
      <c r="Q42" s="166"/>
      <c r="R42" s="166"/>
      <c r="S42" s="166"/>
      <c r="T42" s="166"/>
      <c r="U42" s="167"/>
      <c r="V42" s="383"/>
      <c r="W42" s="281"/>
    </row>
    <row r="43" spans="1:23" ht="13" hidden="1" outlineLevel="1">
      <c r="A43" s="100" t="s">
        <v>129</v>
      </c>
      <c r="B43" s="100" t="s">
        <v>109</v>
      </c>
      <c r="C43" s="102">
        <v>100</v>
      </c>
      <c r="D43" s="102" t="s">
        <v>56</v>
      </c>
      <c r="E43" s="100"/>
      <c r="F43" s="100"/>
      <c r="G43" s="100"/>
      <c r="H43" s="100"/>
      <c r="I43" s="100"/>
      <c r="J43" s="100"/>
      <c r="K43" s="386"/>
      <c r="L43" s="169"/>
      <c r="M43" s="100"/>
      <c r="N43" s="100"/>
      <c r="O43" s="100"/>
      <c r="P43" s="100"/>
      <c r="Q43" s="100"/>
      <c r="R43" s="100"/>
      <c r="S43" s="100"/>
      <c r="T43" s="100"/>
      <c r="U43" s="168"/>
      <c r="V43" s="383"/>
      <c r="W43" s="281"/>
    </row>
    <row r="44" spans="1:23" ht="13" hidden="1" outlineLevel="1">
      <c r="A44" s="100"/>
      <c r="B44" s="100"/>
      <c r="C44" s="101" t="s">
        <v>130</v>
      </c>
      <c r="D44" s="108" t="s">
        <v>131</v>
      </c>
      <c r="E44" s="100"/>
      <c r="F44" s="100"/>
      <c r="G44" s="100"/>
      <c r="H44" s="100"/>
      <c r="I44" s="100"/>
      <c r="J44" s="100"/>
      <c r="K44" s="386"/>
      <c r="L44" s="322" t="str">
        <f>+L7</f>
        <v>Inventory Loan</v>
      </c>
      <c r="M44" s="363">
        <f>+M7</f>
        <v>357812.5</v>
      </c>
      <c r="N44" s="363">
        <f>+N7</f>
        <v>1</v>
      </c>
      <c r="O44" s="363">
        <f>+O7</f>
        <v>357812.5</v>
      </c>
      <c r="U44" s="323"/>
      <c r="V44" s="383"/>
      <c r="W44" s="281"/>
    </row>
    <row r="45" spans="1:23" ht="13" hidden="1" outlineLevel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386"/>
      <c r="L45" s="169" t="str">
        <f>+L20</f>
        <v>Sales of batch 1</v>
      </c>
      <c r="M45" s="354"/>
      <c r="N45" s="354">
        <f t="shared" ref="N45:O47" si="1">+N20</f>
        <v>75</v>
      </c>
      <c r="O45" s="354">
        <f t="shared" si="1"/>
        <v>1086000</v>
      </c>
      <c r="P45" s="100"/>
      <c r="Q45" s="100"/>
      <c r="R45" s="100"/>
      <c r="S45" s="100"/>
      <c r="T45" s="100"/>
      <c r="U45" s="168"/>
      <c r="V45" s="383"/>
      <c r="W45" s="281"/>
    </row>
    <row r="46" spans="1:23" ht="13" hidden="1" outlineLevel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386"/>
      <c r="L46" s="169" t="str">
        <f>+L21</f>
        <v>Sales of batch 2</v>
      </c>
      <c r="M46" s="354"/>
      <c r="N46" s="354">
        <f t="shared" si="1"/>
        <v>175</v>
      </c>
      <c r="O46" s="354">
        <f t="shared" si="1"/>
        <v>853137.5</v>
      </c>
      <c r="P46" s="100"/>
      <c r="Q46" s="100"/>
      <c r="R46" s="100"/>
      <c r="S46" s="100"/>
      <c r="T46" s="100"/>
      <c r="U46" s="168"/>
      <c r="V46" s="383"/>
      <c r="W46" s="281"/>
    </row>
    <row r="47" spans="1:23" ht="13" hidden="1" outlineLevel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386"/>
      <c r="L47" s="169" t="str">
        <f>+L22</f>
        <v>Reimbursement of MRA grants</v>
      </c>
      <c r="M47" s="354"/>
      <c r="N47" s="354">
        <f t="shared" si="1"/>
        <v>0</v>
      </c>
      <c r="O47" s="354">
        <f t="shared" si="1"/>
        <v>119885.375</v>
      </c>
      <c r="P47" s="100" t="str">
        <f>+P22</f>
        <v>See MRA grant tab</v>
      </c>
      <c r="Q47" s="100"/>
      <c r="R47" s="100"/>
      <c r="S47" s="100"/>
      <c r="T47" s="100"/>
      <c r="U47" s="168"/>
      <c r="V47" s="383"/>
      <c r="W47" s="281"/>
    </row>
    <row r="48" spans="1:23" s="57" customFormat="1" ht="13" hidden="1" outlineLevel="1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384"/>
      <c r="L48" s="269"/>
      <c r="M48" s="101"/>
      <c r="N48" s="101"/>
      <c r="O48" s="368">
        <f>SUM(O44:O47)</f>
        <v>2416835.375</v>
      </c>
      <c r="P48" s="101"/>
      <c r="Q48" s="101"/>
      <c r="R48" s="101"/>
      <c r="S48" s="101"/>
      <c r="T48" s="101"/>
      <c r="U48" s="361"/>
      <c r="V48" s="362"/>
      <c r="W48" s="282"/>
    </row>
    <row r="49" spans="1:23" ht="13" hidden="1" outlineLevel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386"/>
      <c r="L49" s="169"/>
      <c r="M49" s="100"/>
      <c r="N49" s="100"/>
      <c r="O49" s="100"/>
      <c r="P49" s="100"/>
      <c r="Q49" s="100"/>
      <c r="R49" s="100"/>
      <c r="S49" s="100"/>
      <c r="T49" s="100"/>
      <c r="U49" s="168"/>
      <c r="V49" s="383"/>
      <c r="W49" s="281"/>
    </row>
    <row r="50" spans="1:23" ht="13" hidden="1" outlineLevel="1">
      <c r="A50" s="100"/>
      <c r="B50" s="100"/>
      <c r="C50" s="101" t="s">
        <v>68</v>
      </c>
      <c r="D50" s="105" t="s">
        <v>132</v>
      </c>
      <c r="E50" s="100"/>
      <c r="F50" s="100"/>
      <c r="G50" s="100"/>
      <c r="H50" s="100"/>
      <c r="I50" s="100"/>
      <c r="J50" s="100"/>
      <c r="K50" s="386"/>
      <c r="L50" s="169"/>
      <c r="M50" s="100"/>
      <c r="N50" s="100"/>
      <c r="O50" s="100"/>
      <c r="P50" s="100"/>
      <c r="Q50" s="100"/>
      <c r="R50" s="100"/>
      <c r="S50" s="100"/>
      <c r="T50" s="100"/>
      <c r="U50" s="168"/>
      <c r="V50" s="383"/>
      <c r="W50" s="281"/>
    </row>
    <row r="51" spans="1:23" ht="13" hidden="1" outlineLevel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386"/>
      <c r="L51" s="169" t="str">
        <f>+L10</f>
        <v>OPEX (1st 6 months runway)</v>
      </c>
      <c r="M51" s="354">
        <f>+M10</f>
        <v>-84340.335233817939</v>
      </c>
      <c r="N51" s="354">
        <f>+N10</f>
        <v>6</v>
      </c>
      <c r="O51" s="354">
        <f>+O10</f>
        <v>-506042.01140290766</v>
      </c>
      <c r="P51" s="100"/>
      <c r="Q51" s="100"/>
      <c r="R51" s="100"/>
      <c r="S51" s="100"/>
      <c r="T51" s="100"/>
      <c r="U51" s="168"/>
      <c r="V51" s="383"/>
      <c r="W51" s="281"/>
    </row>
    <row r="52" spans="1:23" ht="15.75" hidden="1" customHeight="1" outlineLevel="1">
      <c r="L52" s="322" t="str">
        <f>+L25</f>
        <v>OPEX (2nd 6 months runway)</v>
      </c>
      <c r="M52" s="363">
        <f>+M25</f>
        <v>-101208.40228058152</v>
      </c>
      <c r="N52" s="363">
        <f>+N25</f>
        <v>6</v>
      </c>
      <c r="O52" s="363">
        <f>+O25</f>
        <v>-607250.41368348908</v>
      </c>
      <c r="P52" t="str">
        <f>+P25</f>
        <v>With USA &amp; China OPEX</v>
      </c>
      <c r="U52" s="323"/>
    </row>
    <row r="53" spans="1:23" ht="15.75" hidden="1" customHeight="1" outlineLevel="1">
      <c r="L53" s="322" t="str">
        <f t="shared" ref="L53:P55" si="2">+L11</f>
        <v>Manufacture - batch 1</v>
      </c>
      <c r="M53" s="363">
        <f t="shared" si="2"/>
        <v>0</v>
      </c>
      <c r="N53" s="363">
        <f t="shared" si="2"/>
        <v>330</v>
      </c>
      <c r="O53" s="363">
        <f t="shared" si="2"/>
        <v>-410263.91524878464</v>
      </c>
      <c r="P53" t="str">
        <f t="shared" si="2"/>
        <v>BOM with NRE costs (BOM @ 330 units)</v>
      </c>
      <c r="U53" s="323"/>
    </row>
    <row r="54" spans="1:23" ht="15.75" hidden="1" customHeight="1" outlineLevel="1">
      <c r="L54" s="322" t="str">
        <f t="shared" si="2"/>
        <v>Manufacture - batch 2</v>
      </c>
      <c r="M54" s="363">
        <f t="shared" si="2"/>
        <v>-1050.9526249109565</v>
      </c>
      <c r="N54" s="363">
        <f t="shared" si="2"/>
        <v>700</v>
      </c>
      <c r="O54" s="363">
        <f t="shared" si="2"/>
        <v>-735666.83743766951</v>
      </c>
      <c r="P54" t="str">
        <f t="shared" si="2"/>
        <v>BOM without NRE costs (BOM @ 330 units)</v>
      </c>
      <c r="U54" s="323"/>
    </row>
    <row r="55" spans="1:23" ht="15.75" hidden="1" customHeight="1" outlineLevel="1">
      <c r="L55" s="322" t="str">
        <f t="shared" si="2"/>
        <v>Other incidental costs</v>
      </c>
      <c r="M55" s="363">
        <f t="shared" si="2"/>
        <v>-36500</v>
      </c>
      <c r="N55" s="363">
        <f t="shared" si="2"/>
        <v>1</v>
      </c>
      <c r="O55" s="363">
        <f t="shared" si="2"/>
        <v>-36500</v>
      </c>
      <c r="P55" t="str">
        <f t="shared" si="2"/>
        <v>Include US$28K testing on packaging and EMC and consigned parts to PI</v>
      </c>
      <c r="U55" s="323"/>
    </row>
    <row r="56" spans="1:23" ht="15.75" hidden="1" customHeight="1" outlineLevel="1">
      <c r="L56" s="322" t="str">
        <f t="shared" ref="L56:O60" si="3">+L26</f>
        <v>Manufacture - batch 3</v>
      </c>
      <c r="M56" s="363">
        <f t="shared" si="3"/>
        <v>-945</v>
      </c>
      <c r="N56" s="363">
        <f t="shared" si="3"/>
        <v>1000</v>
      </c>
      <c r="O56" s="363">
        <f t="shared" si="3"/>
        <v>-945000</v>
      </c>
      <c r="U56" s="323"/>
    </row>
    <row r="57" spans="1:23" ht="15.75" hidden="1" customHeight="1" outlineLevel="1">
      <c r="L57" s="322" t="str">
        <f t="shared" si="3"/>
        <v>CAPEX - Laser Balancing Machine</v>
      </c>
      <c r="M57" s="363">
        <f t="shared" si="3"/>
        <v>-320248.8</v>
      </c>
      <c r="N57" s="363">
        <f t="shared" si="3"/>
        <v>1</v>
      </c>
      <c r="O57" s="363">
        <f t="shared" si="3"/>
        <v>-320248.8</v>
      </c>
      <c r="P57" t="str">
        <f>+P27</f>
        <v>Procure from Bobertag; we will look to finance.</v>
      </c>
      <c r="U57" s="323"/>
    </row>
    <row r="58" spans="1:23" ht="15.75" hidden="1" customHeight="1" outlineLevel="1">
      <c r="L58" s="322" t="str">
        <f t="shared" si="3"/>
        <v>CAPEX - USA and China Office</v>
      </c>
      <c r="M58" s="363">
        <f t="shared" si="3"/>
        <v>-150000</v>
      </c>
      <c r="N58" s="363">
        <f t="shared" si="3"/>
        <v>2</v>
      </c>
      <c r="O58" s="363">
        <f t="shared" si="3"/>
        <v>-300000</v>
      </c>
      <c r="P58" t="str">
        <f>+P28</f>
        <v>Unlikely to cost this much.</v>
      </c>
      <c r="U58" s="323"/>
    </row>
    <row r="59" spans="1:23" ht="15.75" hidden="1" customHeight="1" outlineLevel="1">
      <c r="L59" s="322" t="str">
        <f t="shared" si="3"/>
        <v>Clinical Trial</v>
      </c>
      <c r="M59" s="363">
        <f t="shared" si="3"/>
        <v>-166155.5</v>
      </c>
      <c r="N59" s="363">
        <f t="shared" si="3"/>
        <v>1</v>
      </c>
      <c r="O59" s="363">
        <f t="shared" si="3"/>
        <v>-166155.5</v>
      </c>
      <c r="P59" t="str">
        <f>+P29</f>
        <v>Clinical trial for Y1.</v>
      </c>
      <c r="U59" s="323"/>
    </row>
    <row r="60" spans="1:23" ht="15.75" hidden="1" customHeight="1" outlineLevel="1">
      <c r="L60" s="322" t="str">
        <f t="shared" si="3"/>
        <v>R&amp;D for next generation</v>
      </c>
      <c r="M60" s="363">
        <f t="shared" si="3"/>
        <v>-199091.125</v>
      </c>
      <c r="N60" s="363">
        <f t="shared" si="3"/>
        <v>1</v>
      </c>
      <c r="O60" s="363">
        <f t="shared" si="3"/>
        <v>-199091.125</v>
      </c>
      <c r="P60" t="str">
        <f>+P30</f>
        <v>R&amp;D for Y1 - see 05 - GG Next Steps, Pipeline</v>
      </c>
      <c r="U60" s="323"/>
    </row>
    <row r="61" spans="1:23" s="57" customFormat="1" ht="15.75" hidden="1" customHeight="1" outlineLevel="1">
      <c r="L61" s="369"/>
      <c r="O61" s="370">
        <f>SUM(O51:O60)</f>
        <v>-4226218.6027728505</v>
      </c>
      <c r="U61" s="371"/>
      <c r="V61" s="367"/>
      <c r="W61" s="367"/>
    </row>
    <row r="62" spans="1:23" ht="15.75" hidden="1" customHeight="1" outlineLevel="1">
      <c r="L62" s="322"/>
      <c r="U62" s="323"/>
    </row>
    <row r="63" spans="1:23" s="57" customFormat="1" ht="15.75" hidden="1" customHeight="1" outlineLevel="1">
      <c r="L63" s="369" t="str">
        <f>+L33</f>
        <v>Cash Surplus (+ve/-ve)</v>
      </c>
      <c r="O63" s="370">
        <f>+O48+O61</f>
        <v>-1809383.2277728505</v>
      </c>
      <c r="U63" s="371"/>
      <c r="V63" s="367"/>
      <c r="W63" s="367"/>
    </row>
    <row r="64" spans="1:23" s="57" customFormat="1" ht="15.75" hidden="1" customHeight="1" outlineLevel="1">
      <c r="L64" s="369"/>
      <c r="U64" s="371"/>
      <c r="V64" s="367"/>
      <c r="W64" s="367"/>
    </row>
    <row r="65" spans="12:23" s="57" customFormat="1" ht="15.75" hidden="1" customHeight="1" outlineLevel="1">
      <c r="L65" s="369" t="str">
        <f>L35</f>
        <v>TOTAL FUND REQUIRED</v>
      </c>
      <c r="O65" s="370">
        <f>+O63</f>
        <v>-1809383.2277728505</v>
      </c>
      <c r="U65" s="371"/>
      <c r="V65" s="367"/>
      <c r="W65" s="367"/>
    </row>
    <row r="66" spans="12:23" ht="15.75" hidden="1" customHeight="1" outlineLevel="1" thickBot="1">
      <c r="L66" s="364"/>
      <c r="M66" s="365"/>
      <c r="N66" s="365"/>
      <c r="O66" s="365"/>
      <c r="P66" s="365"/>
      <c r="Q66" s="365"/>
      <c r="R66" s="365"/>
      <c r="S66" s="365"/>
      <c r="T66" s="365"/>
      <c r="U66" s="366"/>
    </row>
    <row r="69" spans="12:23" ht="15.75" customHeight="1">
      <c r="L69" s="57" t="s">
        <v>134</v>
      </c>
      <c r="M69" s="374" t="s">
        <v>158</v>
      </c>
      <c r="N69" s="374" t="s">
        <v>159</v>
      </c>
      <c r="O69" s="374" t="s">
        <v>158</v>
      </c>
    </row>
    <row r="71" spans="12:23" ht="15.75" customHeight="1">
      <c r="L71" s="325" t="str">
        <f t="shared" ref="L71:O75" si="4">+L44</f>
        <v>Inventory Loan</v>
      </c>
      <c r="M71" s="325"/>
      <c r="N71" s="325"/>
      <c r="O71" s="325">
        <f>+O44</f>
        <v>357812.5</v>
      </c>
    </row>
    <row r="72" spans="12:23" ht="15.75" customHeight="1">
      <c r="L72" s="325" t="str">
        <f t="shared" si="4"/>
        <v>Sales of batch 1</v>
      </c>
      <c r="M72" s="325"/>
      <c r="N72" s="325">
        <f t="shared" si="4"/>
        <v>75</v>
      </c>
      <c r="O72" s="325">
        <f t="shared" si="4"/>
        <v>1086000</v>
      </c>
    </row>
    <row r="73" spans="12:23" ht="15.75" customHeight="1">
      <c r="L73" s="325" t="str">
        <f t="shared" si="4"/>
        <v>Sales of batch 2</v>
      </c>
      <c r="M73" s="325"/>
      <c r="N73" s="325">
        <f t="shared" si="4"/>
        <v>175</v>
      </c>
      <c r="O73" s="325">
        <f t="shared" si="4"/>
        <v>853137.5</v>
      </c>
    </row>
    <row r="74" spans="12:23" ht="15.75" customHeight="1">
      <c r="L74" s="325" t="str">
        <f t="shared" si="4"/>
        <v>Reimbursement of MRA grants</v>
      </c>
      <c r="M74" s="325"/>
      <c r="N74" s="325"/>
      <c r="O74" s="325">
        <f t="shared" si="4"/>
        <v>119885.375</v>
      </c>
    </row>
    <row r="75" spans="12:23" s="57" customFormat="1" ht="15.75" customHeight="1">
      <c r="L75" s="372"/>
      <c r="M75" s="372"/>
      <c r="N75" s="372"/>
      <c r="O75" s="372">
        <f t="shared" si="4"/>
        <v>2416835.375</v>
      </c>
      <c r="V75" s="367"/>
      <c r="W75" s="367"/>
    </row>
    <row r="76" spans="12:23" ht="15.75" customHeight="1">
      <c r="L76" s="325"/>
      <c r="M76" s="325"/>
      <c r="N76" s="325"/>
      <c r="O76" s="325"/>
    </row>
    <row r="77" spans="12:23" ht="15.75" customHeight="1">
      <c r="L77" s="325"/>
      <c r="M77" s="325"/>
      <c r="N77" s="325"/>
      <c r="O77" s="325"/>
    </row>
    <row r="78" spans="12:23" ht="15.75" customHeight="1">
      <c r="L78" s="325" t="str">
        <f t="shared" ref="L78:O89" si="5">+L51</f>
        <v>OPEX (1st 6 months runway)</v>
      </c>
      <c r="M78" s="325">
        <f t="shared" si="5"/>
        <v>-84340.335233817939</v>
      </c>
      <c r="N78" s="325">
        <f t="shared" si="5"/>
        <v>6</v>
      </c>
      <c r="O78" s="325">
        <f t="shared" si="5"/>
        <v>-506042.01140290766</v>
      </c>
    </row>
    <row r="79" spans="12:23" ht="15.75" customHeight="1">
      <c r="L79" s="325" t="str">
        <f t="shared" si="5"/>
        <v>OPEX (2nd 6 months runway)</v>
      </c>
      <c r="M79" s="325">
        <f t="shared" si="5"/>
        <v>-101208.40228058152</v>
      </c>
      <c r="N79" s="325">
        <f t="shared" si="5"/>
        <v>6</v>
      </c>
      <c r="O79" s="325">
        <f t="shared" si="5"/>
        <v>-607250.41368348908</v>
      </c>
    </row>
    <row r="80" spans="12:23" ht="15.75" customHeight="1">
      <c r="L80" s="325" t="str">
        <f t="shared" si="5"/>
        <v>Manufacture - batch 1</v>
      </c>
      <c r="M80" s="325"/>
      <c r="N80" s="325">
        <f t="shared" si="5"/>
        <v>330</v>
      </c>
      <c r="O80" s="325">
        <f t="shared" si="5"/>
        <v>-410263.91524878464</v>
      </c>
    </row>
    <row r="81" spans="12:23" ht="15.75" customHeight="1">
      <c r="L81" s="325" t="str">
        <f t="shared" si="5"/>
        <v>Manufacture - batch 2</v>
      </c>
      <c r="M81" s="325">
        <f t="shared" si="5"/>
        <v>-1050.9526249109565</v>
      </c>
      <c r="N81" s="325">
        <f t="shared" si="5"/>
        <v>700</v>
      </c>
      <c r="O81" s="325">
        <f t="shared" si="5"/>
        <v>-735666.83743766951</v>
      </c>
    </row>
    <row r="82" spans="12:23" ht="15.75" customHeight="1">
      <c r="L82" s="325" t="str">
        <f t="shared" si="5"/>
        <v>Other incidental costs</v>
      </c>
      <c r="M82" s="325"/>
      <c r="N82" s="325"/>
      <c r="O82" s="325">
        <f t="shared" si="5"/>
        <v>-36500</v>
      </c>
    </row>
    <row r="83" spans="12:23" ht="15.75" customHeight="1">
      <c r="L83" s="325" t="str">
        <f t="shared" si="5"/>
        <v>Manufacture - batch 3</v>
      </c>
      <c r="M83" s="325">
        <f t="shared" si="5"/>
        <v>-945</v>
      </c>
      <c r="N83" s="325">
        <f t="shared" si="5"/>
        <v>1000</v>
      </c>
      <c r="O83" s="325">
        <f t="shared" si="5"/>
        <v>-945000</v>
      </c>
    </row>
    <row r="84" spans="12:23" ht="15.75" customHeight="1">
      <c r="L84" s="325" t="str">
        <f t="shared" si="5"/>
        <v>CAPEX - Laser Balancing Machine</v>
      </c>
      <c r="M84" s="325"/>
      <c r="N84" s="325"/>
      <c r="O84" s="325">
        <f t="shared" si="5"/>
        <v>-320248.8</v>
      </c>
    </row>
    <row r="85" spans="12:23" ht="15.75" customHeight="1">
      <c r="L85" s="325" t="str">
        <f t="shared" si="5"/>
        <v>CAPEX - USA and China Office</v>
      </c>
      <c r="M85" s="325"/>
      <c r="N85" s="325"/>
      <c r="O85" s="325">
        <f t="shared" si="5"/>
        <v>-300000</v>
      </c>
    </row>
    <row r="86" spans="12:23" ht="15.75" customHeight="1">
      <c r="L86" s="325" t="str">
        <f t="shared" si="5"/>
        <v>Clinical Trial</v>
      </c>
      <c r="M86" s="325"/>
      <c r="N86" s="325"/>
      <c r="O86" s="325">
        <f t="shared" si="5"/>
        <v>-166155.5</v>
      </c>
    </row>
    <row r="87" spans="12:23" ht="15.75" customHeight="1">
      <c r="L87" s="325" t="str">
        <f t="shared" si="5"/>
        <v>R&amp;D for next generation</v>
      </c>
      <c r="M87" s="325"/>
      <c r="N87" s="325"/>
      <c r="O87" s="325">
        <f t="shared" si="5"/>
        <v>-199091.125</v>
      </c>
    </row>
    <row r="88" spans="12:23" s="57" customFormat="1" ht="15.75" customHeight="1">
      <c r="L88" s="372"/>
      <c r="M88" s="372"/>
      <c r="N88" s="372"/>
      <c r="O88" s="372">
        <f t="shared" si="5"/>
        <v>-4226218.6027728505</v>
      </c>
      <c r="V88" s="367"/>
      <c r="W88" s="367"/>
    </row>
    <row r="89" spans="12:23" s="57" customFormat="1" ht="15.75" customHeight="1">
      <c r="L89" s="325"/>
      <c r="M89" s="325"/>
      <c r="N89" s="325"/>
      <c r="O89" s="325">
        <f t="shared" si="5"/>
        <v>0</v>
      </c>
      <c r="V89" s="367"/>
      <c r="W89" s="367"/>
    </row>
    <row r="90" spans="12:23" s="57" customFormat="1" ht="15.75" customHeight="1">
      <c r="L90" s="372" t="str">
        <f t="shared" ref="L90:O90" si="6">+L63</f>
        <v>Cash Surplus (+ve/-ve)</v>
      </c>
      <c r="M90" s="372"/>
      <c r="N90" s="372"/>
      <c r="O90" s="372">
        <f t="shared" si="6"/>
        <v>-1809383.2277728505</v>
      </c>
      <c r="V90" s="367"/>
      <c r="W90" s="367"/>
    </row>
    <row r="91" spans="12:23" s="57" customFormat="1" ht="15.75" customHeight="1" thickBot="1">
      <c r="L91" s="325"/>
      <c r="M91" s="325"/>
      <c r="N91" s="325"/>
      <c r="O91" s="325"/>
      <c r="V91" s="367"/>
      <c r="W91" s="367"/>
    </row>
    <row r="92" spans="12:23" ht="15.75" customHeight="1" thickBot="1">
      <c r="L92" s="375" t="str">
        <f t="shared" ref="L92" si="7">+L65</f>
        <v>TOTAL FUND REQUIRED</v>
      </c>
      <c r="M92" s="373"/>
      <c r="N92" s="373"/>
      <c r="O92" s="376" t="str">
        <f>-ROUNDDOWN(+O65/1000000,1)&amp;" Million"</f>
        <v>1.8 Million</v>
      </c>
    </row>
  </sheetData>
  <mergeCells count="9">
    <mergeCell ref="P13:T13"/>
    <mergeCell ref="V13:W13"/>
    <mergeCell ref="A41:B41"/>
    <mergeCell ref="V4:W4"/>
    <mergeCell ref="L6:P6"/>
    <mergeCell ref="V6:W6"/>
    <mergeCell ref="A10:D10"/>
    <mergeCell ref="V10:W10"/>
    <mergeCell ref="V11:W11"/>
  </mergeCells>
  <dataValidations count="1">
    <dataValidation type="list" allowBlank="1" showInputMessage="1" showErrorMessage="1" sqref="M2" xr:uid="{3A34C167-220B-EE4B-A485-0A1E8EC443B2}">
      <formula1>"25%,50%,75%,100%"</formula1>
    </dataValidation>
  </dataValidations>
  <hyperlinks>
    <hyperlink ref="P30" location="'05 - GG Next Steps, Pipeline'!A1" display="R&amp;D for Y1 - see 05 - GG Next Steps, Pipeline" xr:uid="{C7F21715-97E7-5E45-9E95-CFB7133CB9F2}"/>
  </hyperlinks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6741-E42C-A340-B032-FF17410D5D6D}">
  <sheetPr>
    <outlinePr summaryBelow="0" summaryRight="0"/>
  </sheetPr>
  <dimension ref="A1:W92"/>
  <sheetViews>
    <sheetView showGridLines="0" topLeftCell="K21" zoomScaleNormal="100" workbookViewId="0">
      <selection activeCell="M2" sqref="M2"/>
    </sheetView>
  </sheetViews>
  <sheetFormatPr baseColWidth="10" defaultColWidth="12.6640625" defaultRowHeight="15.75" customHeight="1" outlineLevelRow="1"/>
  <cols>
    <col min="1" max="10" width="0" hidden="1" customWidth="1"/>
    <col min="12" max="12" width="45" customWidth="1"/>
    <col min="13" max="13" width="13.1640625" bestFit="1" customWidth="1"/>
    <col min="15" max="15" width="16.5" customWidth="1"/>
    <col min="16" max="16" width="12.6640625" bestFit="1" customWidth="1"/>
    <col min="22" max="22" width="45.83203125" style="284" customWidth="1"/>
    <col min="23" max="23" width="29.5" style="284" customWidth="1"/>
  </cols>
  <sheetData>
    <row r="1" spans="1:23" ht="15.75" customHeight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281"/>
      <c r="W1" s="281"/>
    </row>
    <row r="2" spans="1:23" ht="15.75" customHeight="1">
      <c r="A2" s="100"/>
      <c r="B2" s="100"/>
      <c r="C2" s="174"/>
      <c r="D2" s="174"/>
      <c r="E2" s="100"/>
      <c r="F2" s="100"/>
      <c r="G2" s="100"/>
      <c r="H2" s="100"/>
      <c r="I2" s="100"/>
      <c r="J2" s="100"/>
      <c r="K2" s="100"/>
      <c r="L2" s="164" t="s">
        <v>30</v>
      </c>
      <c r="M2" s="285">
        <v>0.75</v>
      </c>
      <c r="N2" s="290" t="s">
        <v>31</v>
      </c>
      <c r="O2" s="164"/>
      <c r="P2" s="164"/>
      <c r="Q2" s="164"/>
      <c r="R2" s="164"/>
      <c r="S2" s="164"/>
      <c r="T2" s="164"/>
      <c r="U2" s="164"/>
      <c r="V2" s="281"/>
      <c r="W2" s="281"/>
    </row>
    <row r="3" spans="1:23" ht="15.75" customHeight="1" thickBot="1">
      <c r="A3" s="100"/>
      <c r="B3" s="100"/>
      <c r="C3" s="106"/>
      <c r="D3" s="106"/>
      <c r="E3" s="100"/>
      <c r="F3" s="100"/>
      <c r="G3" s="100"/>
      <c r="H3" s="100"/>
      <c r="I3" s="100"/>
      <c r="J3" s="100"/>
      <c r="K3" s="100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282" t="s">
        <v>32</v>
      </c>
      <c r="W3" s="281"/>
    </row>
    <row r="4" spans="1:23" ht="15.75" customHeight="1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386" t="s">
        <v>33</v>
      </c>
      <c r="L4" s="304" t="s">
        <v>134</v>
      </c>
      <c r="M4" s="166"/>
      <c r="N4" s="166"/>
      <c r="O4" s="166"/>
      <c r="P4" s="166"/>
      <c r="Q4" s="166"/>
      <c r="R4" s="166"/>
      <c r="S4" s="166"/>
      <c r="T4" s="166"/>
      <c r="U4" s="167"/>
      <c r="V4" s="592" t="s">
        <v>35</v>
      </c>
      <c r="W4" s="587"/>
    </row>
    <row r="5" spans="1:23" ht="15.75" customHeight="1">
      <c r="A5" s="100"/>
      <c r="B5" s="100"/>
      <c r="C5" s="100"/>
      <c r="D5" s="100"/>
      <c r="E5" s="100"/>
      <c r="F5" s="100"/>
      <c r="G5" s="100"/>
      <c r="H5" s="100"/>
      <c r="I5" s="100"/>
      <c r="J5" s="100"/>
      <c r="K5" s="386"/>
      <c r="L5" s="346"/>
      <c r="M5" s="347"/>
      <c r="N5" s="347"/>
      <c r="O5" s="347"/>
      <c r="P5" s="348"/>
      <c r="Q5" s="165"/>
      <c r="R5" s="165"/>
      <c r="S5" s="165"/>
      <c r="T5" s="165"/>
      <c r="U5" s="349"/>
      <c r="V5" s="382"/>
      <c r="W5" s="383"/>
    </row>
    <row r="6" spans="1:23" ht="15.75" customHeight="1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386"/>
      <c r="L6" s="591" t="s">
        <v>135</v>
      </c>
      <c r="M6" s="576"/>
      <c r="N6" s="576"/>
      <c r="O6" s="576"/>
      <c r="P6" s="577"/>
      <c r="Q6" s="100"/>
      <c r="R6" s="100"/>
      <c r="S6" s="100"/>
      <c r="T6" s="100"/>
      <c r="U6" s="168"/>
      <c r="V6" s="592" t="s">
        <v>37</v>
      </c>
      <c r="W6" s="587"/>
    </row>
    <row r="7" spans="1:23" ht="15.75" customHeight="1">
      <c r="A7" s="386"/>
      <c r="B7" s="379"/>
      <c r="C7" s="379"/>
      <c r="D7" s="321"/>
      <c r="E7" s="100"/>
      <c r="F7" s="100"/>
      <c r="G7" s="100"/>
      <c r="H7" s="100"/>
      <c r="I7" s="100"/>
      <c r="J7" s="100"/>
      <c r="K7" s="386"/>
      <c r="L7" s="388" t="s">
        <v>136</v>
      </c>
      <c r="M7" s="345">
        <f>+'09 Inventory Loan'!F26</f>
        <v>357812.5</v>
      </c>
      <c r="N7" s="380">
        <v>1</v>
      </c>
      <c r="O7" s="345">
        <f>+N7*M7</f>
        <v>357812.5</v>
      </c>
      <c r="P7" s="381"/>
      <c r="Q7" s="100"/>
      <c r="R7" s="100"/>
      <c r="S7" s="100"/>
      <c r="T7" s="100"/>
      <c r="U7" s="168"/>
      <c r="V7" s="382"/>
      <c r="W7" s="383"/>
    </row>
    <row r="8" spans="1:23" ht="15.75" customHeight="1">
      <c r="A8" s="386"/>
      <c r="B8" s="379"/>
      <c r="C8" s="379"/>
      <c r="D8" s="321"/>
      <c r="E8" s="100"/>
      <c r="F8" s="100"/>
      <c r="G8" s="100"/>
      <c r="H8" s="100"/>
      <c r="I8" s="100"/>
      <c r="J8" s="100"/>
      <c r="K8" s="386"/>
      <c r="L8" s="385"/>
      <c r="M8" s="345"/>
      <c r="N8" s="380"/>
      <c r="O8" s="345"/>
      <c r="P8" s="381"/>
      <c r="Q8" s="100"/>
      <c r="R8" s="100"/>
      <c r="S8" s="100"/>
      <c r="T8" s="100"/>
      <c r="U8" s="168"/>
      <c r="V8" s="382"/>
      <c r="W8" s="383"/>
    </row>
    <row r="9" spans="1:23" ht="15.75" customHeight="1">
      <c r="A9" s="386"/>
      <c r="B9" s="379"/>
      <c r="C9" s="379"/>
      <c r="D9" s="321"/>
      <c r="E9" s="100"/>
      <c r="F9" s="100"/>
      <c r="G9" s="100"/>
      <c r="H9" s="100"/>
      <c r="I9" s="100"/>
      <c r="J9" s="100"/>
      <c r="K9" s="386"/>
      <c r="L9" s="385"/>
      <c r="M9" s="380"/>
      <c r="N9" s="380"/>
      <c r="O9" s="380"/>
      <c r="P9" s="381"/>
      <c r="Q9" s="100"/>
      <c r="R9" s="100"/>
      <c r="S9" s="100"/>
      <c r="T9" s="100"/>
      <c r="U9" s="168"/>
      <c r="V9" s="382"/>
      <c r="W9" s="383"/>
    </row>
    <row r="10" spans="1:23" ht="15.75" customHeight="1">
      <c r="A10" s="581" t="s">
        <v>38</v>
      </c>
      <c r="B10" s="576"/>
      <c r="C10" s="576"/>
      <c r="D10" s="577"/>
      <c r="E10" s="100"/>
      <c r="F10" s="100"/>
      <c r="G10" s="100"/>
      <c r="H10" s="100"/>
      <c r="I10" s="100"/>
      <c r="J10" s="100"/>
      <c r="K10" s="386"/>
      <c r="L10" s="169" t="s">
        <v>137</v>
      </c>
      <c r="M10" s="161">
        <f>-'11 Forward OPEX 250728'!G84</f>
        <v>-84340.335233817939</v>
      </c>
      <c r="N10" s="102">
        <v>6</v>
      </c>
      <c r="O10" s="163">
        <f>+N10*M10</f>
        <v>-506042.01140290766</v>
      </c>
      <c r="P10" s="100"/>
      <c r="Q10" s="100"/>
      <c r="R10" s="100"/>
      <c r="S10" s="100"/>
      <c r="T10" s="100"/>
      <c r="U10" s="168"/>
      <c r="V10" s="592" t="s">
        <v>40</v>
      </c>
      <c r="W10" s="587"/>
    </row>
    <row r="11" spans="1:23" ht="15.75" customHeight="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386"/>
      <c r="L11" s="169" t="s">
        <v>14</v>
      </c>
      <c r="M11" s="363">
        <v>0</v>
      </c>
      <c r="N11" s="102">
        <v>330</v>
      </c>
      <c r="O11" s="161">
        <f>-'04 MFG Batch 0001 Cost (330pc)'!C35</f>
        <v>-410263.91524878464</v>
      </c>
      <c r="P11" s="100" t="s">
        <v>138</v>
      </c>
      <c r="Q11" s="100"/>
      <c r="R11" s="100"/>
      <c r="S11" s="100"/>
      <c r="T11" s="100"/>
      <c r="U11" s="168"/>
      <c r="V11" s="592" t="s">
        <v>41</v>
      </c>
      <c r="W11" s="587"/>
    </row>
    <row r="12" spans="1:23" ht="15.75" customHeight="1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386"/>
      <c r="L12" s="169" t="s">
        <v>66</v>
      </c>
      <c r="M12" s="354">
        <f>-'04 MFG Batch 0001 Cost (330pc)'!I41</f>
        <v>-1050.9526249109565</v>
      </c>
      <c r="N12" s="351">
        <v>700</v>
      </c>
      <c r="O12" s="352">
        <f>+N12*M12</f>
        <v>-735666.83743766951</v>
      </c>
      <c r="P12" s="379" t="s">
        <v>139</v>
      </c>
      <c r="Q12" s="379"/>
      <c r="R12" s="379"/>
      <c r="S12" s="379"/>
      <c r="T12" s="321"/>
      <c r="U12" s="168"/>
      <c r="V12" s="382"/>
      <c r="W12" s="383"/>
    </row>
    <row r="13" spans="1:23" ht="15.75" customHeight="1">
      <c r="A13" s="100"/>
      <c r="B13" s="101" t="s">
        <v>42</v>
      </c>
      <c r="C13" s="101" t="s">
        <v>43</v>
      </c>
      <c r="D13" s="101" t="s">
        <v>44</v>
      </c>
      <c r="E13" s="100"/>
      <c r="F13" s="100"/>
      <c r="G13" s="100"/>
      <c r="H13" s="100"/>
      <c r="I13" s="100"/>
      <c r="J13" s="100"/>
      <c r="K13" s="386"/>
      <c r="L13" s="169" t="s">
        <v>45</v>
      </c>
      <c r="M13" s="161">
        <f>-(28000+8500)</f>
        <v>-36500</v>
      </c>
      <c r="N13" s="351">
        <v>1</v>
      </c>
      <c r="O13" s="353">
        <f>+N13*M13</f>
        <v>-36500</v>
      </c>
      <c r="P13" s="601" t="s">
        <v>46</v>
      </c>
      <c r="Q13" s="576"/>
      <c r="R13" s="576"/>
      <c r="S13" s="576"/>
      <c r="T13" s="577"/>
      <c r="U13" s="168"/>
      <c r="V13" s="592" t="s">
        <v>47</v>
      </c>
      <c r="W13" s="587"/>
    </row>
    <row r="14" spans="1:23" ht="15.75" customHeight="1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386"/>
      <c r="L14" s="169"/>
      <c r="M14" s="161"/>
      <c r="N14" s="102"/>
      <c r="O14" s="178">
        <f>SUM(O10:O13)</f>
        <v>-1688472.7640893618</v>
      </c>
      <c r="P14" s="386"/>
      <c r="Q14" s="379"/>
      <c r="R14" s="379"/>
      <c r="S14" s="379"/>
      <c r="T14" s="321"/>
      <c r="U14" s="168"/>
      <c r="V14" s="382"/>
      <c r="W14" s="383"/>
    </row>
    <row r="15" spans="1:23" ht="15.75" customHeight="1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386"/>
      <c r="L15" s="169"/>
      <c r="M15" s="161"/>
      <c r="N15" s="102"/>
      <c r="O15" s="163"/>
      <c r="P15" s="386"/>
      <c r="Q15" s="379"/>
      <c r="R15" s="379"/>
      <c r="S15" s="379"/>
      <c r="T15" s="321"/>
      <c r="U15" s="168"/>
      <c r="V15" s="382"/>
      <c r="W15" s="383"/>
    </row>
    <row r="16" spans="1:23" ht="15.75" customHeight="1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386"/>
      <c r="L16" s="269" t="s">
        <v>140</v>
      </c>
      <c r="M16" s="350"/>
      <c r="N16" s="105"/>
      <c r="O16" s="270">
        <f>+O7+O14+O8</f>
        <v>-1330660.2640893618</v>
      </c>
      <c r="P16" s="386"/>
      <c r="Q16" s="379"/>
      <c r="R16" s="379"/>
      <c r="S16" s="379"/>
      <c r="T16" s="321"/>
      <c r="U16" s="168"/>
      <c r="V16" s="382"/>
      <c r="W16" s="383"/>
    </row>
    <row r="17" spans="1:23" ht="15.75" customHeight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386"/>
      <c r="L17" s="169"/>
      <c r="M17" s="161"/>
      <c r="N17" s="102"/>
      <c r="O17" s="163"/>
      <c r="P17" s="386"/>
      <c r="Q17" s="379"/>
      <c r="R17" s="379"/>
      <c r="S17" s="379"/>
      <c r="T17" s="321"/>
      <c r="U17" s="168"/>
      <c r="V17" s="382"/>
      <c r="W17" s="383"/>
    </row>
    <row r="18" spans="1:23" ht="15.75" customHeight="1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386"/>
      <c r="L18" s="169"/>
      <c r="M18" s="161"/>
      <c r="N18" s="102"/>
      <c r="O18" s="163"/>
      <c r="P18" s="386"/>
      <c r="Q18" s="379"/>
      <c r="R18" s="379"/>
      <c r="S18" s="379"/>
      <c r="T18" s="321"/>
      <c r="U18" s="168"/>
      <c r="V18" s="382"/>
      <c r="W18" s="383"/>
    </row>
    <row r="19" spans="1:23" ht="15.75" customHeight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386"/>
      <c r="L19" s="269" t="s">
        <v>141</v>
      </c>
      <c r="M19" s="161"/>
      <c r="N19" s="102"/>
      <c r="O19" s="163"/>
      <c r="P19" s="386"/>
      <c r="Q19" s="379"/>
      <c r="R19" s="379"/>
      <c r="S19" s="379"/>
      <c r="T19" s="321"/>
      <c r="U19" s="168"/>
      <c r="V19" s="382"/>
      <c r="W19" s="383"/>
    </row>
    <row r="20" spans="1:23" ht="15.7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386"/>
      <c r="L20" s="169" t="s">
        <v>142</v>
      </c>
      <c r="M20" s="161"/>
      <c r="N20" s="102">
        <v>300</v>
      </c>
      <c r="O20" s="163">
        <f>(200*('02 Rev Forecasts; Internal KPIs'!E15*0.85))+(100*'02 Rev Forecasts; Internal KPIs'!E6)</f>
        <v>1258500</v>
      </c>
      <c r="P20" s="386"/>
      <c r="Q20" s="379"/>
      <c r="R20" s="379"/>
      <c r="S20" s="379"/>
      <c r="T20" s="321"/>
      <c r="U20" s="168"/>
      <c r="V20" s="382"/>
      <c r="W20" s="383"/>
    </row>
    <row r="21" spans="1:23" ht="15.75" customHeight="1">
      <c r="A21" s="100"/>
      <c r="B21" s="165"/>
      <c r="C21" s="165"/>
      <c r="D21" s="165"/>
      <c r="E21" s="100"/>
      <c r="F21" s="100"/>
      <c r="G21" s="100"/>
      <c r="H21" s="100"/>
      <c r="I21" s="100"/>
      <c r="J21" s="100"/>
      <c r="K21" s="386"/>
      <c r="L21" s="169" t="s">
        <v>144</v>
      </c>
      <c r="M21" s="161"/>
      <c r="N21" s="110">
        <v>700</v>
      </c>
      <c r="O21" s="163">
        <f>((300*'02 Rev Forecasts; Internal KPIs'!E6)+(300*'02 Rev Forecasts; Internal KPIs'!E15*0.85)+(200*'02 Rev Forecasts; Internal KPIs'!E24))*M2</f>
        <v>2559412.5</v>
      </c>
      <c r="P21" s="386"/>
      <c r="Q21" s="379"/>
      <c r="R21" s="379"/>
      <c r="S21" s="379"/>
      <c r="T21" s="321"/>
      <c r="U21" s="168"/>
      <c r="V21" s="382"/>
      <c r="W21" s="383"/>
    </row>
    <row r="22" spans="1:23" ht="15.75" customHeight="1">
      <c r="A22" s="100"/>
      <c r="B22" s="177"/>
      <c r="C22" s="177"/>
      <c r="D22" s="177"/>
      <c r="E22" s="100"/>
      <c r="F22" s="100"/>
      <c r="G22" s="100"/>
      <c r="H22" s="100"/>
      <c r="I22" s="100"/>
      <c r="J22" s="100"/>
      <c r="K22" s="386"/>
      <c r="L22" s="169" t="s">
        <v>80</v>
      </c>
      <c r="M22" s="161"/>
      <c r="N22" s="179"/>
      <c r="O22" s="162">
        <f>+'07 SG MRA Grant'!F9</f>
        <v>119885.375</v>
      </c>
      <c r="P22" s="100" t="s">
        <v>81</v>
      </c>
      <c r="Q22" s="100"/>
      <c r="R22" s="100"/>
      <c r="S22" s="100"/>
      <c r="T22" s="100"/>
      <c r="U22" s="168"/>
      <c r="V22" s="383"/>
      <c r="W22" s="281"/>
    </row>
    <row r="23" spans="1:23" ht="15.75" customHeight="1">
      <c r="A23" s="100"/>
      <c r="B23" s="177"/>
      <c r="C23" s="177"/>
      <c r="D23" s="177"/>
      <c r="E23" s="100"/>
      <c r="F23" s="100"/>
      <c r="G23" s="100"/>
      <c r="H23" s="100"/>
      <c r="I23" s="100"/>
      <c r="J23" s="100"/>
      <c r="K23" s="386"/>
      <c r="L23" s="169"/>
      <c r="M23" s="161"/>
      <c r="N23" s="179"/>
      <c r="O23" s="162">
        <f>SUM(O20:O22)</f>
        <v>3937797.875</v>
      </c>
      <c r="P23" s="386"/>
      <c r="Q23" s="379"/>
      <c r="R23" s="379"/>
      <c r="S23" s="379"/>
      <c r="T23" s="321"/>
      <c r="U23" s="168"/>
      <c r="V23" s="382"/>
      <c r="W23" s="383"/>
    </row>
    <row r="24" spans="1:23" ht="15.7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386"/>
      <c r="L24" s="169"/>
      <c r="M24" s="161"/>
      <c r="N24" s="102"/>
      <c r="O24" s="163"/>
      <c r="P24" s="386"/>
      <c r="Q24" s="379"/>
      <c r="R24" s="379"/>
      <c r="S24" s="379"/>
      <c r="T24" s="321"/>
      <c r="U24" s="168"/>
      <c r="V24" s="382"/>
      <c r="W24" s="383"/>
    </row>
    <row r="25" spans="1:23" ht="15.7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386"/>
      <c r="L25" s="169" t="s">
        <v>146</v>
      </c>
      <c r="M25" s="161">
        <f>+M10*2</f>
        <v>-168680.67046763588</v>
      </c>
      <c r="N25" s="102">
        <v>6</v>
      </c>
      <c r="O25" s="163">
        <f>+N25*M25</f>
        <v>-1012084.0228058153</v>
      </c>
      <c r="P25" s="386" t="s">
        <v>723</v>
      </c>
      <c r="Q25" s="379"/>
      <c r="R25" s="379"/>
      <c r="S25" s="379"/>
      <c r="T25" s="321"/>
      <c r="U25" s="168"/>
      <c r="V25" s="382"/>
      <c r="W25" s="383"/>
    </row>
    <row r="26" spans="1:23" ht="15.7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386"/>
      <c r="L26" s="169" t="s">
        <v>84</v>
      </c>
      <c r="M26" s="161">
        <f>-'04 MFG Batch 0001 Cost (330pc)'!I44</f>
        <v>-945</v>
      </c>
      <c r="N26" s="330">
        <v>1000</v>
      </c>
      <c r="O26" s="163">
        <f>+M26*N26</f>
        <v>-945000</v>
      </c>
      <c r="P26" s="386"/>
      <c r="Q26" s="379"/>
      <c r="R26" s="379"/>
      <c r="S26" s="379"/>
      <c r="T26" s="321"/>
      <c r="U26" s="168"/>
      <c r="V26" s="382"/>
      <c r="W26" s="383"/>
    </row>
    <row r="27" spans="1:23" ht="15.7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386"/>
      <c r="L27" s="169" t="s">
        <v>90</v>
      </c>
      <c r="M27" s="161">
        <f>-'10 Laser Balancing Int vs Ext'!B42</f>
        <v>-320248.8</v>
      </c>
      <c r="N27" s="100">
        <v>1</v>
      </c>
      <c r="O27" s="163">
        <f>M27*N27</f>
        <v>-320248.8</v>
      </c>
      <c r="P27" s="100" t="s">
        <v>91</v>
      </c>
      <c r="Q27" s="100"/>
      <c r="R27" s="100"/>
      <c r="S27" s="100"/>
      <c r="T27" s="100"/>
      <c r="U27" s="168"/>
      <c r="V27" s="383"/>
      <c r="W27" s="281"/>
    </row>
    <row r="28" spans="1:23" ht="15.7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386"/>
      <c r="L28" s="169" t="s">
        <v>92</v>
      </c>
      <c r="M28" s="161">
        <v>-150000</v>
      </c>
      <c r="N28" s="100">
        <v>2</v>
      </c>
      <c r="O28" s="163">
        <f>M28*N28</f>
        <v>-300000</v>
      </c>
      <c r="P28" s="100" t="s">
        <v>93</v>
      </c>
      <c r="Q28" s="100"/>
      <c r="R28" s="100"/>
      <c r="S28" s="100"/>
      <c r="T28" s="100"/>
      <c r="U28" s="168"/>
      <c r="V28" s="383"/>
      <c r="W28" s="281"/>
    </row>
    <row r="29" spans="1:23" ht="15.7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386"/>
      <c r="L29" s="388" t="s">
        <v>94</v>
      </c>
      <c r="M29" s="181">
        <f>-'Summary P&amp;L-USD Yr Jul_Jun Best'!M12/2*M2</f>
        <v>-498466.5</v>
      </c>
      <c r="N29" s="100">
        <v>1</v>
      </c>
      <c r="O29" s="163">
        <f t="shared" ref="O29:O30" si="0">M29*N29</f>
        <v>-498466.5</v>
      </c>
      <c r="P29" s="100" t="s">
        <v>95</v>
      </c>
      <c r="Q29" s="100"/>
      <c r="R29" s="100"/>
      <c r="S29" s="100"/>
      <c r="T29" s="100"/>
      <c r="U29" s="168"/>
      <c r="V29" s="383"/>
      <c r="W29" s="281"/>
    </row>
    <row r="30" spans="1:23" ht="15.7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386"/>
      <c r="L30" s="388" t="s">
        <v>96</v>
      </c>
      <c r="M30" s="181">
        <f>(-'Summary P&amp;L-USD Yr Jul_Jun Best'!M13-'Summary P&amp;L-USD Yr Jul_Jun Best'!N13)/2*M2</f>
        <v>-597273.375</v>
      </c>
      <c r="N30" s="100">
        <v>1</v>
      </c>
      <c r="O30" s="163">
        <f t="shared" si="0"/>
        <v>-597273.375</v>
      </c>
      <c r="P30" s="291" t="s">
        <v>97</v>
      </c>
      <c r="Q30" s="100"/>
      <c r="R30" s="100"/>
      <c r="S30" s="100"/>
      <c r="T30" s="100"/>
      <c r="U30" s="168"/>
      <c r="V30" s="383"/>
      <c r="W30" s="281"/>
    </row>
    <row r="31" spans="1:23" ht="15.75" customHeight="1">
      <c r="A31" s="100"/>
      <c r="B31" s="177"/>
      <c r="C31" s="177"/>
      <c r="D31" s="177"/>
      <c r="E31" s="100"/>
      <c r="F31" s="100"/>
      <c r="G31" s="100"/>
      <c r="H31" s="100"/>
      <c r="I31" s="100"/>
      <c r="J31" s="100"/>
      <c r="K31" s="386"/>
      <c r="L31" s="388"/>
      <c r="M31" s="379"/>
      <c r="N31" s="379"/>
      <c r="O31" s="331">
        <f>SUM(O25:O30)</f>
        <v>-3673072.6978058154</v>
      </c>
      <c r="P31" s="100"/>
      <c r="Q31" s="100"/>
      <c r="R31" s="100"/>
      <c r="S31" s="100"/>
      <c r="T31" s="100"/>
      <c r="U31" s="168"/>
      <c r="V31" s="383"/>
      <c r="W31" s="281"/>
    </row>
    <row r="32" spans="1:23" ht="15.75" customHeight="1">
      <c r="A32" s="100"/>
      <c r="B32" s="177"/>
      <c r="C32" s="177"/>
      <c r="D32" s="177"/>
      <c r="E32" s="100"/>
      <c r="F32" s="100"/>
      <c r="G32" s="100"/>
      <c r="H32" s="100"/>
      <c r="I32" s="100"/>
      <c r="J32" s="100"/>
      <c r="K32" s="386"/>
      <c r="L32" s="388"/>
      <c r="M32" s="379"/>
      <c r="N32" s="379"/>
      <c r="O32" s="331"/>
      <c r="P32" s="100"/>
      <c r="Q32" s="100"/>
      <c r="R32" s="100"/>
      <c r="S32" s="100"/>
      <c r="T32" s="100"/>
      <c r="U32" s="168"/>
      <c r="V32" s="383"/>
      <c r="W32" s="281"/>
    </row>
    <row r="33" spans="1:23" ht="15.7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386"/>
      <c r="L33" s="269" t="s">
        <v>140</v>
      </c>
      <c r="M33" s="350"/>
      <c r="N33" s="105"/>
      <c r="O33" s="270">
        <f>+O23+O31</f>
        <v>264725.17719418462</v>
      </c>
      <c r="P33" s="386"/>
      <c r="Q33" s="379"/>
      <c r="R33" s="379"/>
      <c r="S33" s="379"/>
      <c r="T33" s="321"/>
      <c r="U33" s="168"/>
      <c r="V33" s="382"/>
      <c r="W33" s="383"/>
    </row>
    <row r="34" spans="1:23" ht="15.75" customHeight="1">
      <c r="A34" s="100"/>
      <c r="B34" s="165"/>
      <c r="C34" s="165"/>
      <c r="D34" s="165"/>
      <c r="E34" s="100"/>
      <c r="F34" s="100"/>
      <c r="G34" s="100"/>
      <c r="H34" s="100"/>
      <c r="I34" s="100"/>
      <c r="J34" s="100"/>
      <c r="K34" s="386"/>
      <c r="L34" s="385"/>
      <c r="M34" s="355"/>
      <c r="N34" s="356"/>
      <c r="O34" s="357"/>
      <c r="P34" s="386"/>
      <c r="Q34" s="379"/>
      <c r="R34" s="379"/>
      <c r="S34" s="379"/>
      <c r="T34" s="321"/>
      <c r="U34" s="168"/>
      <c r="V34" s="382"/>
      <c r="W34" s="383"/>
    </row>
    <row r="35" spans="1:23" s="57" customFormat="1" ht="15.75" customHeight="1">
      <c r="A35" s="101"/>
      <c r="B35" s="358"/>
      <c r="C35" s="358"/>
      <c r="D35" s="358"/>
      <c r="E35" s="101"/>
      <c r="F35" s="101"/>
      <c r="G35" s="101"/>
      <c r="H35" s="101"/>
      <c r="I35" s="101"/>
      <c r="J35" s="101"/>
      <c r="K35" s="384"/>
      <c r="L35" s="385" t="s">
        <v>724</v>
      </c>
      <c r="M35" s="359"/>
      <c r="N35" s="359"/>
      <c r="O35" s="360">
        <f>+O16+O33</f>
        <v>-1065935.0868951771</v>
      </c>
      <c r="P35" s="101"/>
      <c r="Q35" s="101"/>
      <c r="R35" s="101"/>
      <c r="S35" s="101"/>
      <c r="T35" s="101"/>
      <c r="U35" s="361"/>
      <c r="V35" s="362"/>
      <c r="W35" s="282"/>
    </row>
    <row r="36" spans="1:23" ht="15.75" customHeight="1" thickBot="1">
      <c r="L36" s="364"/>
      <c r="M36" s="365"/>
      <c r="N36" s="365"/>
      <c r="O36" s="365"/>
      <c r="P36" s="365"/>
      <c r="Q36" s="365"/>
      <c r="R36" s="365"/>
      <c r="S36" s="365"/>
      <c r="T36" s="365"/>
      <c r="U36" s="366"/>
    </row>
    <row r="37" spans="1:23" ht="13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U37" s="165"/>
      <c r="V37" s="281"/>
      <c r="W37" s="281"/>
    </row>
    <row r="38" spans="1:23" ht="1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281"/>
      <c r="W38" s="281"/>
    </row>
    <row r="39" spans="1:23" ht="13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281"/>
      <c r="W39" s="281"/>
    </row>
    <row r="40" spans="1:23" ht="13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281"/>
      <c r="W40" s="281"/>
    </row>
    <row r="41" spans="1:23" ht="13" collapsed="1">
      <c r="A41" s="581" t="s">
        <v>125</v>
      </c>
      <c r="B41" s="577"/>
      <c r="C41" s="100"/>
      <c r="D41" s="100"/>
      <c r="E41" s="100"/>
      <c r="F41" s="100"/>
      <c r="G41" s="100"/>
      <c r="H41" s="100"/>
      <c r="I41" s="100"/>
      <c r="J41" s="100"/>
      <c r="K41" s="100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281"/>
      <c r="W41" s="281"/>
    </row>
    <row r="42" spans="1:23" ht="13" hidden="1" outlineLevel="1">
      <c r="A42" s="100" t="s">
        <v>126</v>
      </c>
      <c r="B42" s="100" t="s">
        <v>127</v>
      </c>
      <c r="C42" s="100"/>
      <c r="D42" s="102" t="s">
        <v>128</v>
      </c>
      <c r="E42" s="100"/>
      <c r="F42" s="100"/>
      <c r="G42" s="100"/>
      <c r="H42" s="100"/>
      <c r="I42" s="100"/>
      <c r="J42" s="100"/>
      <c r="K42" s="386"/>
      <c r="L42" s="304" t="s">
        <v>134</v>
      </c>
      <c r="M42" s="166"/>
      <c r="N42" s="166"/>
      <c r="O42" s="166"/>
      <c r="P42" s="166"/>
      <c r="Q42" s="166"/>
      <c r="R42" s="166"/>
      <c r="S42" s="166"/>
      <c r="T42" s="166"/>
      <c r="U42" s="167"/>
      <c r="V42" s="383"/>
      <c r="W42" s="281"/>
    </row>
    <row r="43" spans="1:23" ht="13" hidden="1" outlineLevel="1">
      <c r="A43" s="100" t="s">
        <v>129</v>
      </c>
      <c r="B43" s="100" t="s">
        <v>109</v>
      </c>
      <c r="C43" s="102">
        <v>100</v>
      </c>
      <c r="D43" s="102" t="s">
        <v>56</v>
      </c>
      <c r="E43" s="100"/>
      <c r="F43" s="100"/>
      <c r="G43" s="100"/>
      <c r="H43" s="100"/>
      <c r="I43" s="100"/>
      <c r="J43" s="100"/>
      <c r="K43" s="386"/>
      <c r="L43" s="169"/>
      <c r="M43" s="100"/>
      <c r="N43" s="100"/>
      <c r="O43" s="100"/>
      <c r="P43" s="100"/>
      <c r="Q43" s="100"/>
      <c r="R43" s="100"/>
      <c r="S43" s="100"/>
      <c r="T43" s="100"/>
      <c r="U43" s="168"/>
      <c r="V43" s="383"/>
      <c r="W43" s="281"/>
    </row>
    <row r="44" spans="1:23" ht="13" hidden="1" outlineLevel="1">
      <c r="A44" s="100"/>
      <c r="B44" s="100"/>
      <c r="C44" s="101" t="s">
        <v>130</v>
      </c>
      <c r="D44" s="108" t="s">
        <v>131</v>
      </c>
      <c r="E44" s="100"/>
      <c r="F44" s="100"/>
      <c r="G44" s="100"/>
      <c r="H44" s="100"/>
      <c r="I44" s="100"/>
      <c r="J44" s="100"/>
      <c r="K44" s="386"/>
      <c r="L44" s="322" t="str">
        <f>+L7</f>
        <v>Inventory Loan</v>
      </c>
      <c r="M44" s="363">
        <f>+M7</f>
        <v>357812.5</v>
      </c>
      <c r="N44" s="363">
        <f>+N7</f>
        <v>1</v>
      </c>
      <c r="O44" s="363">
        <f>+O7</f>
        <v>357812.5</v>
      </c>
      <c r="U44" s="323"/>
      <c r="V44" s="383"/>
      <c r="W44" s="281"/>
    </row>
    <row r="45" spans="1:23" ht="13" hidden="1" outlineLevel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386"/>
      <c r="L45" s="169" t="str">
        <f>+L20</f>
        <v>Sales of batch 1</v>
      </c>
      <c r="M45" s="354"/>
      <c r="N45" s="354">
        <f t="shared" ref="N45:O47" si="1">+N20</f>
        <v>300</v>
      </c>
      <c r="O45" s="354">
        <f t="shared" si="1"/>
        <v>1258500</v>
      </c>
      <c r="P45" s="100"/>
      <c r="Q45" s="100"/>
      <c r="R45" s="100"/>
      <c r="S45" s="100"/>
      <c r="T45" s="100"/>
      <c r="U45" s="168"/>
      <c r="V45" s="383"/>
      <c r="W45" s="281"/>
    </row>
    <row r="46" spans="1:23" ht="13" hidden="1" outlineLevel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386"/>
      <c r="L46" s="169" t="str">
        <f>+L21</f>
        <v>Sales of batch 2</v>
      </c>
      <c r="M46" s="354"/>
      <c r="N46" s="354">
        <f t="shared" si="1"/>
        <v>700</v>
      </c>
      <c r="O46" s="354">
        <f t="shared" si="1"/>
        <v>2559412.5</v>
      </c>
      <c r="P46" s="100"/>
      <c r="Q46" s="100"/>
      <c r="R46" s="100"/>
      <c r="S46" s="100"/>
      <c r="T46" s="100"/>
      <c r="U46" s="168"/>
      <c r="V46" s="383"/>
      <c r="W46" s="281"/>
    </row>
    <row r="47" spans="1:23" ht="13" hidden="1" outlineLevel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386"/>
      <c r="L47" s="169" t="str">
        <f>+L22</f>
        <v>Reimbursement of MRA grants</v>
      </c>
      <c r="M47" s="354"/>
      <c r="N47" s="354">
        <f t="shared" si="1"/>
        <v>0</v>
      </c>
      <c r="O47" s="354">
        <f t="shared" si="1"/>
        <v>119885.375</v>
      </c>
      <c r="P47" s="100" t="str">
        <f>+P22</f>
        <v>See MRA grant tab</v>
      </c>
      <c r="Q47" s="100"/>
      <c r="R47" s="100"/>
      <c r="S47" s="100"/>
      <c r="T47" s="100"/>
      <c r="U47" s="168"/>
      <c r="V47" s="383"/>
      <c r="W47" s="281"/>
    </row>
    <row r="48" spans="1:23" s="57" customFormat="1" ht="13" hidden="1" outlineLevel="1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384"/>
      <c r="L48" s="269"/>
      <c r="M48" s="101"/>
      <c r="N48" s="101"/>
      <c r="O48" s="368">
        <f>SUM(O44:O47)</f>
        <v>4295610.375</v>
      </c>
      <c r="P48" s="101"/>
      <c r="Q48" s="101"/>
      <c r="R48" s="101"/>
      <c r="S48" s="101"/>
      <c r="T48" s="101"/>
      <c r="U48" s="361"/>
      <c r="V48" s="362"/>
      <c r="W48" s="282"/>
    </row>
    <row r="49" spans="1:23" ht="13" hidden="1" outlineLevel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386"/>
      <c r="L49" s="169"/>
      <c r="M49" s="100"/>
      <c r="N49" s="100"/>
      <c r="O49" s="100"/>
      <c r="P49" s="100"/>
      <c r="Q49" s="100"/>
      <c r="R49" s="100"/>
      <c r="S49" s="100"/>
      <c r="T49" s="100"/>
      <c r="U49" s="168"/>
      <c r="V49" s="383"/>
      <c r="W49" s="281"/>
    </row>
    <row r="50" spans="1:23" ht="13" hidden="1" outlineLevel="1">
      <c r="A50" s="100"/>
      <c r="B50" s="100"/>
      <c r="C50" s="101" t="s">
        <v>68</v>
      </c>
      <c r="D50" s="105" t="s">
        <v>132</v>
      </c>
      <c r="E50" s="100"/>
      <c r="F50" s="100"/>
      <c r="G50" s="100"/>
      <c r="H50" s="100"/>
      <c r="I50" s="100"/>
      <c r="J50" s="100"/>
      <c r="K50" s="386"/>
      <c r="L50" s="169"/>
      <c r="M50" s="100"/>
      <c r="N50" s="100"/>
      <c r="O50" s="100"/>
      <c r="P50" s="100"/>
      <c r="Q50" s="100"/>
      <c r="R50" s="100"/>
      <c r="S50" s="100"/>
      <c r="T50" s="100"/>
      <c r="U50" s="168"/>
      <c r="V50" s="383"/>
      <c r="W50" s="281"/>
    </row>
    <row r="51" spans="1:23" ht="13" hidden="1" outlineLevel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386"/>
      <c r="L51" s="169" t="str">
        <f>+L10</f>
        <v>OPEX (1st 6 months runway)</v>
      </c>
      <c r="M51" s="354">
        <f>+M10</f>
        <v>-84340.335233817939</v>
      </c>
      <c r="N51" s="354">
        <f>+N10</f>
        <v>6</v>
      </c>
      <c r="O51" s="354">
        <f>+O10</f>
        <v>-506042.01140290766</v>
      </c>
      <c r="P51" s="100"/>
      <c r="Q51" s="100"/>
      <c r="R51" s="100"/>
      <c r="S51" s="100"/>
      <c r="T51" s="100"/>
      <c r="U51" s="168"/>
      <c r="V51" s="383"/>
      <c r="W51" s="281"/>
    </row>
    <row r="52" spans="1:23" ht="15.75" hidden="1" customHeight="1" outlineLevel="1">
      <c r="L52" s="322" t="str">
        <f>+L25</f>
        <v>OPEX (2nd 6 months runway)</v>
      </c>
      <c r="M52" s="363">
        <f>+M25</f>
        <v>-168680.67046763588</v>
      </c>
      <c r="N52" s="363">
        <f>+N25</f>
        <v>6</v>
      </c>
      <c r="O52" s="363">
        <f>+O25</f>
        <v>-1012084.0228058153</v>
      </c>
      <c r="P52" t="str">
        <f>+P25</f>
        <v>With USA &amp; China OPEX</v>
      </c>
      <c r="U52" s="323"/>
    </row>
    <row r="53" spans="1:23" ht="15.75" hidden="1" customHeight="1" outlineLevel="1">
      <c r="L53" s="322" t="str">
        <f t="shared" ref="L53:P55" si="2">+L11</f>
        <v>Manufacture - batch 1</v>
      </c>
      <c r="M53" s="363">
        <f t="shared" si="2"/>
        <v>0</v>
      </c>
      <c r="N53" s="363">
        <f t="shared" si="2"/>
        <v>330</v>
      </c>
      <c r="O53" s="363">
        <f t="shared" si="2"/>
        <v>-410263.91524878464</v>
      </c>
      <c r="P53" t="str">
        <f t="shared" si="2"/>
        <v>BOM with NRE costs (BOM @ 330 units)</v>
      </c>
      <c r="U53" s="323"/>
    </row>
    <row r="54" spans="1:23" ht="15.75" hidden="1" customHeight="1" outlineLevel="1">
      <c r="L54" s="322" t="str">
        <f t="shared" si="2"/>
        <v>Manufacture - batch 2</v>
      </c>
      <c r="M54" s="363">
        <f t="shared" si="2"/>
        <v>-1050.9526249109565</v>
      </c>
      <c r="N54" s="363">
        <f t="shared" si="2"/>
        <v>700</v>
      </c>
      <c r="O54" s="363">
        <f t="shared" si="2"/>
        <v>-735666.83743766951</v>
      </c>
      <c r="P54" t="str">
        <f t="shared" si="2"/>
        <v>BOM without NRE costs (BOM @ 330 units)</v>
      </c>
      <c r="U54" s="323"/>
    </row>
    <row r="55" spans="1:23" ht="15.75" hidden="1" customHeight="1" outlineLevel="1">
      <c r="L55" s="322" t="str">
        <f t="shared" si="2"/>
        <v>Other incidental costs</v>
      </c>
      <c r="M55" s="363">
        <f t="shared" si="2"/>
        <v>-36500</v>
      </c>
      <c r="N55" s="363">
        <f t="shared" si="2"/>
        <v>1</v>
      </c>
      <c r="O55" s="363">
        <f t="shared" si="2"/>
        <v>-36500</v>
      </c>
      <c r="P55" t="str">
        <f t="shared" si="2"/>
        <v>Include US$28K testing on packaging and EMC and consigned parts to PI</v>
      </c>
      <c r="U55" s="323"/>
    </row>
    <row r="56" spans="1:23" ht="15.75" hidden="1" customHeight="1" outlineLevel="1">
      <c r="L56" s="322" t="str">
        <f t="shared" ref="L56:O60" si="3">+L26</f>
        <v>Manufacture - batch 3</v>
      </c>
      <c r="M56" s="363">
        <f t="shared" si="3"/>
        <v>-945</v>
      </c>
      <c r="N56" s="363">
        <f t="shared" si="3"/>
        <v>1000</v>
      </c>
      <c r="O56" s="363">
        <f t="shared" si="3"/>
        <v>-945000</v>
      </c>
      <c r="U56" s="323"/>
    </row>
    <row r="57" spans="1:23" ht="15.75" hidden="1" customHeight="1" outlineLevel="1">
      <c r="L57" s="322" t="str">
        <f t="shared" si="3"/>
        <v>CAPEX - Laser Balancing Machine</v>
      </c>
      <c r="M57" s="363">
        <f t="shared" si="3"/>
        <v>-320248.8</v>
      </c>
      <c r="N57" s="363">
        <f t="shared" si="3"/>
        <v>1</v>
      </c>
      <c r="O57" s="363">
        <f t="shared" si="3"/>
        <v>-320248.8</v>
      </c>
      <c r="P57" t="str">
        <f>+P27</f>
        <v>Procure from Bobertag; we will look to finance.</v>
      </c>
      <c r="U57" s="323"/>
    </row>
    <row r="58" spans="1:23" ht="15.75" hidden="1" customHeight="1" outlineLevel="1">
      <c r="L58" s="322" t="str">
        <f t="shared" si="3"/>
        <v>CAPEX - USA and China Office</v>
      </c>
      <c r="M58" s="363">
        <f t="shared" si="3"/>
        <v>-150000</v>
      </c>
      <c r="N58" s="363">
        <f t="shared" si="3"/>
        <v>2</v>
      </c>
      <c r="O58" s="363">
        <f t="shared" si="3"/>
        <v>-300000</v>
      </c>
      <c r="P58" t="str">
        <f>+P28</f>
        <v>Unlikely to cost this much.</v>
      </c>
      <c r="U58" s="323"/>
    </row>
    <row r="59" spans="1:23" ht="15.75" hidden="1" customHeight="1" outlineLevel="1">
      <c r="L59" s="322" t="str">
        <f t="shared" si="3"/>
        <v>Clinical Trial</v>
      </c>
      <c r="M59" s="363">
        <f t="shared" si="3"/>
        <v>-498466.5</v>
      </c>
      <c r="N59" s="363">
        <f t="shared" si="3"/>
        <v>1</v>
      </c>
      <c r="O59" s="363">
        <f t="shared" si="3"/>
        <v>-498466.5</v>
      </c>
      <c r="P59" t="str">
        <f>+P29</f>
        <v>Clinical trial for Y1.</v>
      </c>
      <c r="U59" s="323"/>
    </row>
    <row r="60" spans="1:23" ht="15.75" hidden="1" customHeight="1" outlineLevel="1">
      <c r="L60" s="322" t="str">
        <f t="shared" si="3"/>
        <v>R&amp;D for next generation</v>
      </c>
      <c r="M60" s="363">
        <f t="shared" si="3"/>
        <v>-597273.375</v>
      </c>
      <c r="N60" s="363">
        <f t="shared" si="3"/>
        <v>1</v>
      </c>
      <c r="O60" s="363">
        <f t="shared" si="3"/>
        <v>-597273.375</v>
      </c>
      <c r="P60" t="str">
        <f>+P30</f>
        <v>R&amp;D for Y1 - see 05 - GG Next Steps, Pipeline</v>
      </c>
      <c r="U60" s="323"/>
    </row>
    <row r="61" spans="1:23" s="57" customFormat="1" ht="15.75" hidden="1" customHeight="1" outlineLevel="1">
      <c r="L61" s="369"/>
      <c r="O61" s="370">
        <f>SUM(O51:O60)</f>
        <v>-5361545.4618951771</v>
      </c>
      <c r="U61" s="371"/>
      <c r="V61" s="367"/>
      <c r="W61" s="367"/>
    </row>
    <row r="62" spans="1:23" ht="15.75" hidden="1" customHeight="1" outlineLevel="1">
      <c r="L62" s="322"/>
      <c r="U62" s="323"/>
    </row>
    <row r="63" spans="1:23" s="57" customFormat="1" ht="15.75" hidden="1" customHeight="1" outlineLevel="1">
      <c r="L63" s="369" t="str">
        <f>+L33</f>
        <v>Cash Surplus (+ve/-ve)</v>
      </c>
      <c r="O63" s="370">
        <f>+O48+O61</f>
        <v>-1065935.0868951771</v>
      </c>
      <c r="U63" s="371"/>
      <c r="V63" s="367"/>
      <c r="W63" s="367"/>
    </row>
    <row r="64" spans="1:23" s="57" customFormat="1" ht="15.75" hidden="1" customHeight="1" outlineLevel="1">
      <c r="L64" s="369"/>
      <c r="U64" s="371"/>
      <c r="V64" s="367"/>
      <c r="W64" s="367"/>
    </row>
    <row r="65" spans="12:23" s="57" customFormat="1" ht="15.75" hidden="1" customHeight="1" outlineLevel="1">
      <c r="L65" s="369" t="str">
        <f>L35</f>
        <v>TOTAL FUND REQUIRED</v>
      </c>
      <c r="O65" s="370">
        <f>+O63</f>
        <v>-1065935.0868951771</v>
      </c>
      <c r="U65" s="371"/>
      <c r="V65" s="367"/>
      <c r="W65" s="367"/>
    </row>
    <row r="66" spans="12:23" ht="15.75" hidden="1" customHeight="1" outlineLevel="1" thickBot="1">
      <c r="L66" s="364"/>
      <c r="M66" s="365"/>
      <c r="N66" s="365"/>
      <c r="O66" s="365"/>
      <c r="P66" s="365"/>
      <c r="Q66" s="365"/>
      <c r="R66" s="365"/>
      <c r="S66" s="365"/>
      <c r="T66" s="365"/>
      <c r="U66" s="366"/>
    </row>
    <row r="69" spans="12:23" ht="15.75" customHeight="1">
      <c r="L69" s="57" t="s">
        <v>134</v>
      </c>
      <c r="M69" s="374" t="s">
        <v>158</v>
      </c>
      <c r="N69" s="374" t="s">
        <v>159</v>
      </c>
      <c r="O69" s="374" t="s">
        <v>158</v>
      </c>
    </row>
    <row r="71" spans="12:23" ht="15.75" customHeight="1">
      <c r="L71" s="325" t="str">
        <f t="shared" ref="L71" si="4">+L44</f>
        <v>Inventory Loan</v>
      </c>
      <c r="M71" s="325"/>
      <c r="N71" s="325"/>
      <c r="O71" s="325">
        <f>+O44</f>
        <v>357812.5</v>
      </c>
    </row>
    <row r="72" spans="12:23" ht="15.75" customHeight="1">
      <c r="L72" s="325" t="str">
        <f t="shared" ref="L72:O72" si="5">+L45</f>
        <v>Sales of batch 1</v>
      </c>
      <c r="M72" s="325"/>
      <c r="N72" s="325">
        <f t="shared" si="5"/>
        <v>300</v>
      </c>
      <c r="O72" s="325">
        <f t="shared" si="5"/>
        <v>1258500</v>
      </c>
    </row>
    <row r="73" spans="12:23" ht="15.75" customHeight="1">
      <c r="L73" s="325" t="str">
        <f t="shared" ref="L73:O73" si="6">+L46</f>
        <v>Sales of batch 2</v>
      </c>
      <c r="M73" s="325"/>
      <c r="N73" s="325">
        <f t="shared" si="6"/>
        <v>700</v>
      </c>
      <c r="O73" s="325">
        <f t="shared" si="6"/>
        <v>2559412.5</v>
      </c>
    </row>
    <row r="74" spans="12:23" ht="15.75" customHeight="1">
      <c r="L74" s="325" t="str">
        <f t="shared" ref="L74:O74" si="7">+L47</f>
        <v>Reimbursement of MRA grants</v>
      </c>
      <c r="M74" s="325"/>
      <c r="N74" s="325"/>
      <c r="O74" s="325">
        <f t="shared" si="7"/>
        <v>119885.375</v>
      </c>
    </row>
    <row r="75" spans="12:23" s="57" customFormat="1" ht="15.75" customHeight="1">
      <c r="L75" s="372"/>
      <c r="M75" s="372"/>
      <c r="N75" s="372"/>
      <c r="O75" s="372">
        <f t="shared" ref="O75" si="8">+O48</f>
        <v>4295610.375</v>
      </c>
      <c r="V75" s="367"/>
      <c r="W75" s="367"/>
    </row>
    <row r="76" spans="12:23" ht="15.75" customHeight="1">
      <c r="L76" s="325"/>
      <c r="M76" s="325"/>
      <c r="N76" s="325"/>
      <c r="O76" s="325"/>
    </row>
    <row r="77" spans="12:23" ht="15.75" customHeight="1">
      <c r="L77" s="325"/>
      <c r="M77" s="325"/>
      <c r="N77" s="325"/>
      <c r="O77" s="325"/>
    </row>
    <row r="78" spans="12:23" ht="15.75" customHeight="1">
      <c r="L78" s="325" t="str">
        <f t="shared" ref="L78:O78" si="9">+L51</f>
        <v>OPEX (1st 6 months runway)</v>
      </c>
      <c r="M78" s="325">
        <f t="shared" si="9"/>
        <v>-84340.335233817939</v>
      </c>
      <c r="N78" s="325">
        <f t="shared" si="9"/>
        <v>6</v>
      </c>
      <c r="O78" s="325">
        <f t="shared" si="9"/>
        <v>-506042.01140290766</v>
      </c>
    </row>
    <row r="79" spans="12:23" ht="15.75" customHeight="1">
      <c r="L79" s="325" t="str">
        <f t="shared" ref="L79:O79" si="10">+L52</f>
        <v>OPEX (2nd 6 months runway)</v>
      </c>
      <c r="M79" s="325">
        <f t="shared" si="10"/>
        <v>-168680.67046763588</v>
      </c>
      <c r="N79" s="325">
        <f t="shared" si="10"/>
        <v>6</v>
      </c>
      <c r="O79" s="325">
        <f t="shared" si="10"/>
        <v>-1012084.0228058153</v>
      </c>
    </row>
    <row r="80" spans="12:23" ht="15.75" customHeight="1">
      <c r="L80" s="325" t="str">
        <f t="shared" ref="L80:O80" si="11">+L53</f>
        <v>Manufacture - batch 1</v>
      </c>
      <c r="M80" s="325"/>
      <c r="N80" s="325">
        <f t="shared" si="11"/>
        <v>330</v>
      </c>
      <c r="O80" s="325">
        <f t="shared" si="11"/>
        <v>-410263.91524878464</v>
      </c>
    </row>
    <row r="81" spans="12:23" ht="15.75" customHeight="1">
      <c r="L81" s="325" t="str">
        <f t="shared" ref="L81:O81" si="12">+L54</f>
        <v>Manufacture - batch 2</v>
      </c>
      <c r="M81" s="325">
        <f t="shared" si="12"/>
        <v>-1050.9526249109565</v>
      </c>
      <c r="N81" s="325">
        <f t="shared" si="12"/>
        <v>700</v>
      </c>
      <c r="O81" s="325">
        <f t="shared" si="12"/>
        <v>-735666.83743766951</v>
      </c>
    </row>
    <row r="82" spans="12:23" ht="15.75" customHeight="1">
      <c r="L82" s="325" t="str">
        <f t="shared" ref="L82:O82" si="13">+L55</f>
        <v>Other incidental costs</v>
      </c>
      <c r="M82" s="325"/>
      <c r="N82" s="325"/>
      <c r="O82" s="325">
        <f t="shared" si="13"/>
        <v>-36500</v>
      </c>
    </row>
    <row r="83" spans="12:23" ht="15.75" customHeight="1">
      <c r="L83" s="325" t="str">
        <f t="shared" ref="L83:O83" si="14">+L56</f>
        <v>Manufacture - batch 3</v>
      </c>
      <c r="M83" s="325">
        <f t="shared" si="14"/>
        <v>-945</v>
      </c>
      <c r="N83" s="325">
        <f t="shared" si="14"/>
        <v>1000</v>
      </c>
      <c r="O83" s="325">
        <f t="shared" si="14"/>
        <v>-945000</v>
      </c>
    </row>
    <row r="84" spans="12:23" ht="15.75" customHeight="1">
      <c r="L84" s="325" t="str">
        <f t="shared" ref="L84:O84" si="15">+L57</f>
        <v>CAPEX - Laser Balancing Machine</v>
      </c>
      <c r="M84" s="325"/>
      <c r="N84" s="325"/>
      <c r="O84" s="325">
        <f t="shared" si="15"/>
        <v>-320248.8</v>
      </c>
    </row>
    <row r="85" spans="12:23" ht="15.75" customHeight="1">
      <c r="L85" s="325" t="str">
        <f t="shared" ref="L85:O85" si="16">+L58</f>
        <v>CAPEX - USA and China Office</v>
      </c>
      <c r="M85" s="325"/>
      <c r="N85" s="325"/>
      <c r="O85" s="325">
        <f t="shared" si="16"/>
        <v>-300000</v>
      </c>
    </row>
    <row r="86" spans="12:23" ht="15.75" customHeight="1">
      <c r="L86" s="325" t="str">
        <f t="shared" ref="L86:O86" si="17">+L59</f>
        <v>Clinical Trial</v>
      </c>
      <c r="M86" s="325"/>
      <c r="N86" s="325"/>
      <c r="O86" s="325">
        <f t="shared" si="17"/>
        <v>-498466.5</v>
      </c>
    </row>
    <row r="87" spans="12:23" ht="15.75" customHeight="1">
      <c r="L87" s="325" t="str">
        <f t="shared" ref="L87:O87" si="18">+L60</f>
        <v>R&amp;D for next generation</v>
      </c>
      <c r="M87" s="325"/>
      <c r="N87" s="325"/>
      <c r="O87" s="325">
        <f t="shared" si="18"/>
        <v>-597273.375</v>
      </c>
    </row>
    <row r="88" spans="12:23" s="57" customFormat="1" ht="15.75" customHeight="1">
      <c r="L88" s="372"/>
      <c r="M88" s="372"/>
      <c r="N88" s="372"/>
      <c r="O88" s="372">
        <f t="shared" ref="O88" si="19">+O61</f>
        <v>-5361545.4618951771</v>
      </c>
      <c r="V88" s="367"/>
      <c r="W88" s="367"/>
    </row>
    <row r="89" spans="12:23" s="57" customFormat="1" ht="15.75" customHeight="1">
      <c r="L89" s="325"/>
      <c r="M89" s="325"/>
      <c r="N89" s="325"/>
      <c r="O89" s="325">
        <f t="shared" ref="O89" si="20">+O62</f>
        <v>0</v>
      </c>
      <c r="V89" s="367"/>
      <c r="W89" s="367"/>
    </row>
    <row r="90" spans="12:23" s="57" customFormat="1" ht="15.75" customHeight="1">
      <c r="L90" s="372" t="str">
        <f t="shared" ref="L90:O90" si="21">+L63</f>
        <v>Cash Surplus (+ve/-ve)</v>
      </c>
      <c r="M90" s="372"/>
      <c r="N90" s="372"/>
      <c r="O90" s="372">
        <f t="shared" si="21"/>
        <v>-1065935.0868951771</v>
      </c>
      <c r="V90" s="367"/>
      <c r="W90" s="367"/>
    </row>
    <row r="91" spans="12:23" s="57" customFormat="1" ht="15.75" customHeight="1" thickBot="1">
      <c r="L91" s="325"/>
      <c r="M91" s="325"/>
      <c r="N91" s="325"/>
      <c r="O91" s="325"/>
      <c r="V91" s="367"/>
      <c r="W91" s="367"/>
    </row>
    <row r="92" spans="12:23" ht="15.75" customHeight="1" thickBot="1">
      <c r="L92" s="375" t="str">
        <f t="shared" ref="L92" si="22">+L65</f>
        <v>TOTAL FUND REQUIRED</v>
      </c>
      <c r="M92" s="373"/>
      <c r="N92" s="373"/>
      <c r="O92" s="376" t="str">
        <f>-ROUNDDOWN(+O65/1000000,1)&amp;" Million"</f>
        <v>1 Million</v>
      </c>
    </row>
  </sheetData>
  <mergeCells count="9">
    <mergeCell ref="A41:B41"/>
    <mergeCell ref="P13:T13"/>
    <mergeCell ref="V13:W13"/>
    <mergeCell ref="V4:W4"/>
    <mergeCell ref="L6:P6"/>
    <mergeCell ref="V6:W6"/>
    <mergeCell ref="A10:D10"/>
    <mergeCell ref="V10:W10"/>
    <mergeCell ref="V11:W11"/>
  </mergeCells>
  <dataValidations count="1">
    <dataValidation type="list" allowBlank="1" showInputMessage="1" showErrorMessage="1" sqref="M2" xr:uid="{FFB13C10-AA7C-714D-AF7C-2AED4E1D5DF7}">
      <formula1>"25%,50%,75%,100%"</formula1>
    </dataValidation>
  </dataValidations>
  <hyperlinks>
    <hyperlink ref="P30" location="'05 - GG Next Steps, Pipeline'!A1" display="R&amp;D for Y1 - see 05 - GG Next Steps, Pipeline" xr:uid="{9BB84EA9-5EC6-7A41-9071-241878CD7DED}"/>
  </hyperlinks>
  <pageMargins left="0.7" right="0.7" top="0.75" bottom="0.75" header="0.3" footer="0.3"/>
  <pageSetup paperSize="9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>
      <selection activeCell="G14" sqref="G14"/>
    </sheetView>
  </sheetViews>
  <sheetFormatPr baseColWidth="10" defaultColWidth="12.6640625" defaultRowHeight="15.75" customHeight="1"/>
  <cols>
    <col min="4" max="4" width="12.6640625" customWidth="1"/>
    <col min="5" max="6" width="12.6640625" style="59"/>
    <col min="7" max="7" width="32.1640625" style="59" customWidth="1"/>
    <col min="10" max="26" width="12.6640625" style="59"/>
  </cols>
  <sheetData>
    <row r="1" spans="1:12" ht="15.75" customHeight="1">
      <c r="A1" s="1"/>
      <c r="B1" s="1"/>
      <c r="C1" s="2" t="s">
        <v>725</v>
      </c>
      <c r="D1" s="2" t="s">
        <v>726</v>
      </c>
      <c r="E1" s="2" t="s">
        <v>727</v>
      </c>
      <c r="F1" s="1"/>
      <c r="G1" s="1"/>
      <c r="I1" s="1"/>
      <c r="J1" s="1"/>
      <c r="K1" s="1"/>
      <c r="L1" s="1"/>
    </row>
    <row r="2" spans="1:12" ht="15.75" customHeight="1">
      <c r="A2" s="614" t="s">
        <v>728</v>
      </c>
      <c r="B2" s="598"/>
      <c r="C2" s="60">
        <f>'OPEX Tabulation (DO NOT USE)'!H71</f>
        <v>66991.16</v>
      </c>
      <c r="D2" s="14">
        <f>C2*6</f>
        <v>401946.96</v>
      </c>
      <c r="E2" s="14">
        <f>C2*12</f>
        <v>803893.92</v>
      </c>
      <c r="F2" s="1"/>
      <c r="G2" s="1"/>
      <c r="I2" s="1"/>
      <c r="J2" s="1"/>
      <c r="K2" s="1"/>
      <c r="L2" s="1"/>
    </row>
    <row r="3" spans="1:12" ht="15.75" customHeight="1">
      <c r="A3" s="61"/>
      <c r="B3" s="61"/>
      <c r="C3" s="62"/>
      <c r="D3" s="1"/>
      <c r="E3" s="1"/>
      <c r="F3" s="1"/>
      <c r="G3" s="1"/>
      <c r="I3" s="1"/>
      <c r="J3" s="1"/>
      <c r="K3" s="1"/>
      <c r="L3" s="1"/>
    </row>
    <row r="4" spans="1:12" ht="15.75" customHeight="1">
      <c r="A4" s="604" t="s">
        <v>729</v>
      </c>
      <c r="B4" s="598"/>
      <c r="C4" s="62"/>
      <c r="D4" s="1"/>
      <c r="E4" s="1"/>
      <c r="F4" s="1"/>
      <c r="G4" s="1"/>
      <c r="I4" s="1"/>
      <c r="J4" s="1"/>
      <c r="K4" s="1"/>
      <c r="L4" s="1"/>
    </row>
    <row r="5" spans="1:12" ht="15.75" customHeight="1">
      <c r="A5" s="615" t="s">
        <v>730</v>
      </c>
      <c r="B5" s="598"/>
      <c r="C5" s="60">
        <v>12000</v>
      </c>
      <c r="D5" s="14">
        <f t="shared" ref="D5:D6" si="0">C5*6</f>
        <v>72000</v>
      </c>
      <c r="E5" s="14">
        <f t="shared" ref="E5:E6" si="1">C5*12</f>
        <v>144000</v>
      </c>
      <c r="F5" s="1"/>
      <c r="G5" s="286" t="s">
        <v>731</v>
      </c>
      <c r="I5" s="1"/>
      <c r="J5" s="1"/>
      <c r="K5" s="1"/>
      <c r="L5" s="1"/>
    </row>
    <row r="6" spans="1:12" ht="15.75" customHeight="1">
      <c r="A6" s="615" t="s">
        <v>732</v>
      </c>
      <c r="B6" s="598"/>
      <c r="C6" s="287">
        <v>1200</v>
      </c>
      <c r="D6" s="14">
        <f t="shared" si="0"/>
        <v>7200</v>
      </c>
      <c r="E6" s="14">
        <f t="shared" si="1"/>
        <v>14400</v>
      </c>
      <c r="F6" s="1" t="s">
        <v>223</v>
      </c>
      <c r="G6" s="1"/>
      <c r="J6" s="1"/>
      <c r="K6" s="1"/>
      <c r="L6" s="1"/>
    </row>
    <row r="7" spans="1:12" ht="15.75" customHeight="1">
      <c r="A7" s="61"/>
      <c r="B7" s="61"/>
      <c r="C7" s="62"/>
      <c r="D7" s="1"/>
      <c r="E7" s="1"/>
      <c r="F7" s="1"/>
      <c r="G7" s="1"/>
      <c r="I7" s="1"/>
      <c r="J7" s="1"/>
      <c r="K7" s="1"/>
      <c r="L7" s="1"/>
    </row>
    <row r="8" spans="1:12" ht="15.75" customHeight="1">
      <c r="A8" s="61"/>
      <c r="B8" s="61"/>
      <c r="C8" s="63">
        <f>SUM(C2:C6)</f>
        <v>80191.16</v>
      </c>
      <c r="D8" s="21">
        <f>C8*6</f>
        <v>481146.96</v>
      </c>
      <c r="E8" s="21">
        <f>C8*12</f>
        <v>962293.92</v>
      </c>
      <c r="F8" s="1"/>
      <c r="G8" s="1"/>
      <c r="I8" s="1"/>
      <c r="J8" s="1"/>
      <c r="K8" s="1"/>
      <c r="L8" s="1"/>
    </row>
    <row r="9" spans="1:12" ht="15.75" customHeight="1">
      <c r="A9" s="61"/>
      <c r="B9" s="61"/>
      <c r="C9" s="62"/>
      <c r="D9" s="61"/>
      <c r="E9" s="1"/>
      <c r="F9" s="1"/>
      <c r="G9" s="1"/>
      <c r="H9" s="1"/>
      <c r="I9" s="1"/>
      <c r="J9" s="1"/>
      <c r="K9" s="1"/>
      <c r="L9" s="1" t="s">
        <v>733</v>
      </c>
    </row>
    <row r="10" spans="1:12" ht="15.75" customHeight="1">
      <c r="A10" s="61"/>
      <c r="B10" s="61"/>
      <c r="C10" s="62"/>
      <c r="D10" s="61"/>
      <c r="E10" s="1"/>
      <c r="F10" s="1"/>
      <c r="G10" s="1"/>
      <c r="H10" s="1"/>
      <c r="I10" s="1"/>
      <c r="J10" s="1"/>
      <c r="K10" s="1"/>
      <c r="L10" s="1"/>
    </row>
    <row r="11" spans="1:12" ht="15.75" customHeight="1">
      <c r="A11" s="391" t="s">
        <v>734</v>
      </c>
      <c r="B11" s="61"/>
      <c r="C11" s="62"/>
      <c r="D11" s="61"/>
      <c r="E11" s="1"/>
      <c r="F11" s="1"/>
      <c r="G11" s="1"/>
      <c r="H11" s="1"/>
      <c r="I11" s="1"/>
      <c r="J11" s="1"/>
      <c r="K11" s="1"/>
      <c r="L11" s="1" t="s">
        <v>735</v>
      </c>
    </row>
    <row r="12" spans="1:12" ht="15.75" customHeight="1">
      <c r="A12" s="61" t="s">
        <v>736</v>
      </c>
      <c r="B12" s="61"/>
      <c r="C12" s="62"/>
      <c r="D12" s="61"/>
      <c r="E12" s="1"/>
      <c r="F12" s="1"/>
      <c r="G12" s="1"/>
      <c r="H12" s="1"/>
      <c r="I12" s="1"/>
      <c r="J12" s="1"/>
      <c r="K12" s="1"/>
      <c r="L12" s="1"/>
    </row>
    <row r="13" spans="1:12" ht="15.75" customHeight="1">
      <c r="A13" s="1"/>
      <c r="B13" s="1"/>
      <c r="C13" s="14"/>
      <c r="D13" s="1"/>
      <c r="E13" s="1"/>
      <c r="F13" s="1"/>
      <c r="G13" s="1"/>
      <c r="H13" s="1"/>
      <c r="I13" s="1"/>
      <c r="J13" s="1"/>
      <c r="K13" s="1"/>
      <c r="L13" s="1"/>
    </row>
    <row r="14" spans="1:12" ht="15.75" customHeight="1">
      <c r="A14" s="1"/>
      <c r="B14" s="1"/>
      <c r="C14" s="14"/>
      <c r="D14" s="1"/>
      <c r="E14" s="1"/>
      <c r="F14" s="1"/>
      <c r="G14" s="1"/>
      <c r="H14" s="1"/>
      <c r="I14" s="1"/>
      <c r="J14" s="1"/>
      <c r="K14" s="1"/>
      <c r="L14" s="1"/>
    </row>
    <row r="15" spans="1:12" ht="15.75" customHeight="1">
      <c r="A15" s="1"/>
      <c r="B15" s="1"/>
      <c r="C15" s="14"/>
      <c r="D15" s="1"/>
      <c r="E15" s="1"/>
      <c r="F15" s="1"/>
      <c r="G15" s="1"/>
      <c r="H15" s="1"/>
      <c r="I15" s="1"/>
      <c r="J15" s="1"/>
      <c r="K15" s="1"/>
      <c r="L15" s="1"/>
    </row>
    <row r="16" spans="1:12" ht="15.75" customHeight="1">
      <c r="A16" s="1"/>
      <c r="B16" s="1"/>
      <c r="C16" s="14"/>
      <c r="D16" s="1"/>
      <c r="E16" s="1"/>
      <c r="F16" s="1"/>
      <c r="G16" s="1"/>
      <c r="H16" s="1"/>
      <c r="I16" s="1"/>
      <c r="J16" s="1"/>
      <c r="K16" s="1"/>
      <c r="L16" s="1"/>
    </row>
    <row r="17" spans="1:9" ht="15.75" customHeight="1">
      <c r="A17" s="288">
        <v>45847</v>
      </c>
      <c r="B17" s="1" t="s">
        <v>737</v>
      </c>
      <c r="C17" s="14"/>
      <c r="D17" s="1"/>
      <c r="E17" s="1"/>
      <c r="F17" s="1"/>
      <c r="G17" s="1"/>
      <c r="H17" s="1"/>
      <c r="I17" s="1"/>
    </row>
    <row r="18" spans="1:9" ht="15.75" customHeight="1">
      <c r="A18" s="1"/>
      <c r="B18" s="1"/>
      <c r="C18" s="14"/>
      <c r="D18" s="1"/>
      <c r="E18" s="1"/>
      <c r="F18" s="1"/>
      <c r="G18" s="1"/>
      <c r="H18" s="1"/>
      <c r="I18" s="1"/>
    </row>
    <row r="19" spans="1:9" ht="15.75" customHeight="1">
      <c r="A19" s="1"/>
      <c r="B19" s="1"/>
      <c r="C19" s="14"/>
      <c r="D19" s="1"/>
      <c r="E19" s="1"/>
      <c r="F19" s="1"/>
      <c r="G19" s="1"/>
      <c r="H19" s="1"/>
      <c r="I19" s="1"/>
    </row>
    <row r="20" spans="1:9" ht="15.75" customHeight="1">
      <c r="A20" s="1"/>
      <c r="B20" s="1"/>
      <c r="C20" s="14"/>
      <c r="D20" s="1"/>
      <c r="E20" s="1"/>
      <c r="F20" s="1"/>
      <c r="G20" s="1"/>
      <c r="H20" s="1"/>
      <c r="I20" s="1"/>
    </row>
    <row r="21" spans="1:9" ht="15.75" customHeight="1">
      <c r="A21" s="1"/>
      <c r="B21" s="1"/>
      <c r="C21" s="14"/>
      <c r="D21" s="1"/>
      <c r="E21" s="1"/>
      <c r="F21" s="1"/>
      <c r="G21" s="1"/>
      <c r="H21" s="1"/>
      <c r="I21" s="1"/>
    </row>
    <row r="22" spans="1:9" ht="15.75" customHeight="1">
      <c r="A22" s="1"/>
      <c r="B22" s="1"/>
      <c r="C22" s="14"/>
      <c r="D22" s="1"/>
      <c r="E22" s="1"/>
      <c r="F22" s="1"/>
      <c r="G22" s="1"/>
      <c r="H22" s="1"/>
      <c r="I22" s="1"/>
    </row>
    <row r="23" spans="1:9" ht="15.75" customHeight="1">
      <c r="A23" s="1"/>
      <c r="B23" s="1"/>
      <c r="C23" s="14"/>
      <c r="D23" s="1"/>
      <c r="E23" s="1"/>
      <c r="F23" s="1"/>
      <c r="G23" s="1"/>
      <c r="H23" s="1"/>
      <c r="I23" s="1"/>
    </row>
    <row r="24" spans="1:9" ht="15.75" customHeight="1">
      <c r="A24" s="1"/>
      <c r="B24" s="1"/>
      <c r="C24" s="14"/>
      <c r="D24" s="1"/>
      <c r="E24" s="1"/>
      <c r="F24" s="1"/>
      <c r="G24" s="1"/>
      <c r="H24" s="1"/>
      <c r="I24" s="1"/>
    </row>
    <row r="25" spans="1:9" ht="15.75" customHeight="1">
      <c r="A25" s="1"/>
      <c r="B25" s="1"/>
      <c r="C25" s="14"/>
      <c r="D25" s="1"/>
      <c r="E25" s="1"/>
      <c r="F25" s="1"/>
      <c r="G25" s="1"/>
      <c r="H25" s="1"/>
      <c r="I25" s="1"/>
    </row>
    <row r="26" spans="1:9" ht="15.75" customHeight="1">
      <c r="A26" s="1"/>
      <c r="B26" s="1"/>
      <c r="C26" s="14"/>
      <c r="D26" s="1"/>
      <c r="E26" s="1"/>
      <c r="F26" s="1"/>
      <c r="G26" s="1"/>
      <c r="H26" s="1"/>
      <c r="I26" s="1"/>
    </row>
    <row r="27" spans="1:9" ht="15.75" customHeight="1">
      <c r="A27" s="1"/>
      <c r="B27" s="1"/>
      <c r="C27" s="1"/>
      <c r="D27" s="1"/>
      <c r="E27" s="1"/>
      <c r="F27" s="1"/>
      <c r="G27" s="1"/>
      <c r="H27" s="1"/>
      <c r="I27" s="1"/>
    </row>
    <row r="28" spans="1:9" ht="15.75" customHeight="1">
      <c r="A28" s="1"/>
      <c r="B28" s="1"/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1"/>
      <c r="D30" s="1"/>
      <c r="E30" s="1"/>
      <c r="F30" s="1"/>
      <c r="G30" s="1"/>
      <c r="H30" s="1"/>
      <c r="I30" s="1"/>
    </row>
    <row r="31" spans="1:9" ht="15.75" customHeight="1">
      <c r="A31" s="1"/>
      <c r="B31" s="1"/>
      <c r="C31" s="1"/>
      <c r="D31" s="1"/>
      <c r="E31" s="1"/>
      <c r="F31" s="1"/>
      <c r="G31" s="1"/>
      <c r="H31" s="1"/>
      <c r="I31" s="1"/>
    </row>
    <row r="32" spans="1:9" ht="15.75" customHeight="1">
      <c r="A32" s="1"/>
      <c r="B32" s="1"/>
      <c r="C32" s="1"/>
      <c r="D32" s="1"/>
      <c r="E32" s="1"/>
      <c r="F32" s="1"/>
      <c r="G32" s="1"/>
      <c r="H32" s="1"/>
      <c r="I32" s="1"/>
    </row>
    <row r="33" spans="1:9" ht="15.75" customHeight="1">
      <c r="A33" s="1"/>
      <c r="B33" s="1"/>
      <c r="C33" s="1"/>
      <c r="D33" s="1"/>
      <c r="E33" s="1"/>
      <c r="F33" s="1"/>
      <c r="G33" s="1"/>
      <c r="H33" s="1"/>
      <c r="I33" s="1"/>
    </row>
    <row r="34" spans="1:9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9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9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9" ht="15.75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9" ht="15.75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9" ht="15.75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9" ht="15.75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9" ht="15.75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9" ht="15.75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9" ht="15.75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9" ht="15.75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9" ht="15.75" customHeight="1">
      <c r="A45" s="1"/>
      <c r="B45" s="1"/>
      <c r="C45" s="1"/>
      <c r="D45" s="1"/>
      <c r="E45" s="1"/>
      <c r="F45" s="1"/>
      <c r="G45" s="1"/>
      <c r="H45" s="1"/>
      <c r="I45" s="1"/>
    </row>
    <row r="46" spans="1:9" ht="15.75" customHeight="1">
      <c r="A46" s="1"/>
      <c r="B46" s="1"/>
      <c r="C46" s="1"/>
      <c r="D46" s="1"/>
      <c r="E46" s="1"/>
      <c r="F46" s="1"/>
      <c r="G46" s="1"/>
      <c r="H46" s="1"/>
      <c r="I46" s="1"/>
    </row>
    <row r="47" spans="1:9" ht="13">
      <c r="A47" s="1"/>
      <c r="B47" s="1"/>
      <c r="C47" s="1"/>
      <c r="D47" s="1"/>
      <c r="E47" s="1"/>
      <c r="F47" s="1"/>
      <c r="G47" s="1"/>
      <c r="H47" s="1"/>
      <c r="I47" s="1"/>
    </row>
    <row r="48" spans="1:9" ht="13">
      <c r="A48" s="1"/>
      <c r="B48" s="1"/>
      <c r="C48" s="1"/>
      <c r="D48" s="1"/>
      <c r="E48" s="1"/>
      <c r="F48" s="1"/>
      <c r="G48" s="1"/>
      <c r="H48" s="1"/>
      <c r="I48" s="1"/>
    </row>
    <row r="49" spans="1:9" ht="13">
      <c r="A49" s="1"/>
      <c r="B49" s="1"/>
      <c r="C49" s="1"/>
      <c r="D49" s="1"/>
      <c r="E49" s="1"/>
      <c r="F49" s="1"/>
      <c r="G49" s="1"/>
      <c r="H49" s="1"/>
      <c r="I49" s="1"/>
    </row>
    <row r="50" spans="1:9" ht="13">
      <c r="A50" s="1"/>
      <c r="B50" s="1"/>
      <c r="C50" s="1"/>
      <c r="D50" s="1"/>
      <c r="E50" s="1"/>
      <c r="F50" s="1"/>
      <c r="G50" s="1"/>
      <c r="H50" s="1"/>
      <c r="I50" s="1"/>
    </row>
    <row r="51" spans="1:9" ht="13">
      <c r="A51" s="1"/>
      <c r="B51" s="1"/>
      <c r="C51" s="1"/>
      <c r="D51" s="1"/>
      <c r="E51" s="1"/>
      <c r="F51" s="1"/>
      <c r="G51" s="1"/>
      <c r="H51" s="1"/>
      <c r="I51" s="1"/>
    </row>
    <row r="52" spans="1:9" ht="13">
      <c r="A52" s="1"/>
      <c r="B52" s="1"/>
      <c r="C52" s="1"/>
      <c r="D52" s="1"/>
      <c r="E52" s="1"/>
      <c r="F52" s="1"/>
      <c r="G52" s="1"/>
      <c r="H52" s="1"/>
      <c r="I52" s="1"/>
    </row>
    <row r="53" spans="1:9" ht="13">
      <c r="A53" s="1"/>
      <c r="B53" s="1"/>
      <c r="C53" s="1"/>
      <c r="D53" s="1"/>
      <c r="E53" s="1"/>
      <c r="F53" s="1"/>
      <c r="G53" s="1"/>
      <c r="H53" s="1"/>
      <c r="I53" s="1"/>
    </row>
    <row r="54" spans="1:9" ht="13">
      <c r="A54" s="1"/>
      <c r="B54" s="1"/>
      <c r="C54" s="1"/>
      <c r="D54" s="1"/>
      <c r="E54" s="1"/>
      <c r="F54" s="1"/>
      <c r="G54" s="1"/>
      <c r="H54" s="1"/>
      <c r="I54" s="1"/>
    </row>
    <row r="55" spans="1:9" ht="13">
      <c r="A55" s="1"/>
      <c r="B55" s="1"/>
      <c r="C55" s="1"/>
      <c r="D55" s="1"/>
      <c r="E55" s="1"/>
      <c r="F55" s="1"/>
      <c r="G55" s="1"/>
      <c r="H55" s="1"/>
      <c r="I55" s="1"/>
    </row>
    <row r="56" spans="1:9" ht="13">
      <c r="A56" s="1"/>
      <c r="B56" s="1"/>
      <c r="C56" s="1"/>
      <c r="D56" s="1"/>
      <c r="E56" s="1"/>
      <c r="F56" s="1"/>
      <c r="G56" s="1"/>
      <c r="H56" s="1"/>
      <c r="I56" s="1"/>
    </row>
    <row r="57" spans="1:9" ht="13">
      <c r="A57" s="1"/>
      <c r="B57" s="1"/>
      <c r="C57" s="1"/>
      <c r="D57" s="1"/>
      <c r="E57" s="1"/>
      <c r="F57" s="1"/>
      <c r="G57" s="1"/>
      <c r="H57" s="1"/>
      <c r="I57" s="1"/>
    </row>
    <row r="58" spans="1:9" ht="13">
      <c r="A58" s="1"/>
      <c r="B58" s="1"/>
      <c r="C58" s="1"/>
      <c r="D58" s="1"/>
      <c r="E58" s="1"/>
      <c r="F58" s="1"/>
      <c r="G58" s="1"/>
      <c r="H58" s="1"/>
      <c r="I58" s="1"/>
    </row>
    <row r="59" spans="1:9" ht="13">
      <c r="A59" s="1"/>
      <c r="B59" s="1"/>
      <c r="C59" s="1"/>
      <c r="D59" s="1"/>
      <c r="E59" s="1"/>
      <c r="F59" s="1"/>
      <c r="G59" s="1"/>
      <c r="H59" s="1"/>
      <c r="I59" s="1"/>
    </row>
    <row r="60" spans="1:9" ht="13">
      <c r="A60" s="1"/>
      <c r="B60" s="1"/>
      <c r="C60" s="1"/>
      <c r="D60" s="1"/>
      <c r="E60" s="1"/>
      <c r="F60" s="1"/>
      <c r="G60" s="1"/>
      <c r="H60" s="1"/>
      <c r="I60" s="1"/>
    </row>
    <row r="61" spans="1:9" ht="13">
      <c r="A61" s="1"/>
      <c r="B61" s="1"/>
      <c r="C61" s="1"/>
      <c r="D61" s="1"/>
      <c r="E61" s="1"/>
      <c r="F61" s="1"/>
      <c r="G61" s="1"/>
      <c r="H61" s="1"/>
      <c r="I61" s="1"/>
    </row>
    <row r="62" spans="1:9" ht="13">
      <c r="A62" s="1"/>
      <c r="B62" s="1"/>
      <c r="C62" s="1"/>
      <c r="D62" s="1"/>
      <c r="E62" s="1"/>
      <c r="F62" s="1"/>
      <c r="G62" s="1"/>
      <c r="H62" s="1"/>
      <c r="I62" s="1"/>
    </row>
    <row r="63" spans="1:9" ht="13">
      <c r="A63" s="1"/>
      <c r="B63" s="1"/>
      <c r="C63" s="1"/>
      <c r="D63" s="1"/>
      <c r="E63" s="1"/>
      <c r="F63" s="1"/>
      <c r="G63" s="1"/>
      <c r="H63" s="1"/>
      <c r="I63" s="1"/>
    </row>
    <row r="64" spans="1:9" ht="13">
      <c r="A64" s="1"/>
      <c r="B64" s="1"/>
      <c r="C64" s="1"/>
      <c r="D64" s="1"/>
      <c r="E64" s="1"/>
      <c r="F64" s="1"/>
      <c r="G64" s="1"/>
      <c r="H64" s="1"/>
      <c r="I64" s="1"/>
    </row>
    <row r="65" spans="1:9" ht="13">
      <c r="A65" s="1"/>
      <c r="B65" s="1"/>
      <c r="C65" s="1"/>
      <c r="D65" s="1"/>
      <c r="E65" s="1"/>
      <c r="F65" s="1"/>
      <c r="G65" s="1"/>
      <c r="H65" s="1"/>
      <c r="I65" s="1"/>
    </row>
    <row r="66" spans="1:9" ht="13">
      <c r="A66" s="1"/>
      <c r="B66" s="1"/>
      <c r="C66" s="1"/>
      <c r="D66" s="1"/>
      <c r="E66" s="1"/>
      <c r="F66" s="1"/>
      <c r="G66" s="1"/>
      <c r="H66" s="1"/>
      <c r="I66" s="1"/>
    </row>
    <row r="67" spans="1:9" ht="13">
      <c r="A67" s="1"/>
      <c r="B67" s="1"/>
      <c r="C67" s="1"/>
      <c r="D67" s="1"/>
      <c r="E67" s="1"/>
      <c r="F67" s="1"/>
      <c r="G67" s="1"/>
      <c r="H67" s="1"/>
      <c r="I67" s="1"/>
    </row>
    <row r="68" spans="1:9" ht="13">
      <c r="A68" s="1"/>
      <c r="B68" s="1"/>
      <c r="C68" s="1"/>
      <c r="D68" s="1"/>
      <c r="E68" s="1"/>
      <c r="F68" s="1"/>
      <c r="G68" s="1"/>
      <c r="H68" s="1"/>
      <c r="I68" s="1"/>
    </row>
    <row r="69" spans="1:9" ht="13">
      <c r="A69" s="1"/>
      <c r="B69" s="1"/>
      <c r="C69" s="1"/>
      <c r="D69" s="1"/>
      <c r="E69" s="1"/>
      <c r="F69" s="1"/>
      <c r="G69" s="1"/>
      <c r="H69" s="1"/>
      <c r="I69" s="1"/>
    </row>
    <row r="70" spans="1:9" ht="13">
      <c r="A70" s="1"/>
      <c r="B70" s="1"/>
      <c r="C70" s="1"/>
      <c r="D70" s="1"/>
      <c r="E70" s="1"/>
      <c r="F70" s="1"/>
      <c r="G70" s="1"/>
      <c r="H70" s="1"/>
      <c r="I70" s="1"/>
    </row>
    <row r="71" spans="1:9" ht="13">
      <c r="A71" s="1"/>
      <c r="B71" s="1"/>
      <c r="C71" s="1"/>
      <c r="D71" s="1"/>
      <c r="E71" s="1"/>
      <c r="F71" s="1"/>
      <c r="G71" s="1"/>
      <c r="H71" s="1"/>
      <c r="I71" s="1"/>
    </row>
    <row r="72" spans="1:9" ht="13">
      <c r="A72" s="1"/>
      <c r="B72" s="1"/>
      <c r="C72" s="1"/>
      <c r="D72" s="1"/>
      <c r="E72" s="1"/>
      <c r="F72" s="1"/>
      <c r="G72" s="1"/>
      <c r="H72" s="1"/>
      <c r="I72" s="1"/>
    </row>
    <row r="73" spans="1:9" ht="13">
      <c r="A73" s="1"/>
      <c r="B73" s="1"/>
      <c r="C73" s="1"/>
      <c r="D73" s="1"/>
      <c r="E73" s="1"/>
      <c r="F73" s="1"/>
      <c r="G73" s="1"/>
      <c r="H73" s="1"/>
      <c r="I73" s="1"/>
    </row>
    <row r="74" spans="1:9" ht="13">
      <c r="A74" s="1"/>
      <c r="B74" s="1"/>
      <c r="C74" s="1"/>
      <c r="D74" s="1"/>
      <c r="E74" s="1"/>
      <c r="F74" s="1"/>
      <c r="G74" s="1"/>
      <c r="H74" s="1"/>
      <c r="I74" s="1"/>
    </row>
    <row r="75" spans="1:9" ht="13">
      <c r="A75" s="1"/>
      <c r="B75" s="1"/>
      <c r="C75" s="1"/>
      <c r="D75" s="1"/>
      <c r="E75" s="1"/>
      <c r="F75" s="1"/>
      <c r="G75" s="1"/>
      <c r="H75" s="1"/>
      <c r="I75" s="1"/>
    </row>
    <row r="76" spans="1:9" ht="13">
      <c r="A76" s="1"/>
      <c r="B76" s="1"/>
      <c r="C76" s="1"/>
      <c r="D76" s="1"/>
      <c r="E76" s="1"/>
      <c r="F76" s="1"/>
      <c r="G76" s="1"/>
      <c r="H76" s="1"/>
      <c r="I76" s="1"/>
    </row>
    <row r="77" spans="1:9" ht="13">
      <c r="A77" s="1"/>
      <c r="B77" s="1"/>
      <c r="C77" s="1"/>
      <c r="D77" s="1"/>
      <c r="E77" s="1"/>
      <c r="F77" s="1"/>
      <c r="G77" s="1"/>
      <c r="H77" s="1"/>
      <c r="I77" s="1"/>
    </row>
    <row r="78" spans="1:9" ht="13">
      <c r="A78" s="1"/>
      <c r="B78" s="1"/>
      <c r="C78" s="1"/>
      <c r="D78" s="1"/>
      <c r="E78" s="1"/>
      <c r="F78" s="1"/>
      <c r="G78" s="1"/>
      <c r="H78" s="1"/>
      <c r="I78" s="1"/>
    </row>
    <row r="79" spans="1:9" ht="13">
      <c r="A79" s="1"/>
      <c r="B79" s="1"/>
      <c r="C79" s="1"/>
      <c r="D79" s="1"/>
      <c r="E79" s="1"/>
      <c r="F79" s="1"/>
      <c r="G79" s="1"/>
      <c r="H79" s="1"/>
      <c r="I79" s="1"/>
    </row>
    <row r="80" spans="1:9" ht="13">
      <c r="A80" s="1"/>
      <c r="B80" s="1"/>
      <c r="C80" s="1"/>
      <c r="D80" s="1"/>
      <c r="E80" s="1"/>
      <c r="F80" s="1"/>
      <c r="G80" s="1"/>
      <c r="H80" s="1"/>
      <c r="I80" s="1"/>
    </row>
    <row r="81" spans="1:9" ht="13">
      <c r="A81" s="1"/>
      <c r="B81" s="1"/>
      <c r="C81" s="1"/>
      <c r="D81" s="1"/>
      <c r="E81" s="1"/>
      <c r="F81" s="1"/>
      <c r="G81" s="1"/>
      <c r="H81" s="1"/>
      <c r="I81" s="1"/>
    </row>
    <row r="82" spans="1:9" ht="13">
      <c r="A82" s="1"/>
      <c r="B82" s="1"/>
      <c r="C82" s="1"/>
      <c r="D82" s="1"/>
      <c r="E82" s="1"/>
      <c r="F82" s="1"/>
      <c r="G82" s="1"/>
      <c r="H82" s="1"/>
      <c r="I82" s="1"/>
    </row>
    <row r="83" spans="1:9" ht="13">
      <c r="A83" s="1"/>
      <c r="B83" s="1"/>
      <c r="C83" s="1"/>
      <c r="D83" s="1"/>
      <c r="E83" s="1"/>
      <c r="F83" s="1"/>
      <c r="G83" s="1"/>
      <c r="H83" s="1"/>
      <c r="I83" s="1"/>
    </row>
    <row r="84" spans="1:9" ht="13">
      <c r="A84" s="1"/>
      <c r="B84" s="1"/>
      <c r="C84" s="1"/>
      <c r="D84" s="1"/>
      <c r="E84" s="1"/>
      <c r="F84" s="1"/>
      <c r="G84" s="1"/>
      <c r="H84" s="1"/>
      <c r="I84" s="1"/>
    </row>
    <row r="85" spans="1:9" ht="13">
      <c r="A85" s="1"/>
      <c r="B85" s="1"/>
      <c r="C85" s="1"/>
      <c r="D85" s="1"/>
      <c r="E85" s="1"/>
      <c r="F85" s="1"/>
      <c r="G85" s="1"/>
      <c r="H85" s="1"/>
      <c r="I85" s="1"/>
    </row>
    <row r="86" spans="1:9" ht="13">
      <c r="A86" s="1"/>
      <c r="B86" s="1"/>
      <c r="C86" s="1"/>
      <c r="D86" s="1"/>
      <c r="E86" s="1"/>
      <c r="F86" s="1"/>
      <c r="G86" s="1"/>
      <c r="H86" s="1"/>
      <c r="I86" s="1"/>
    </row>
    <row r="87" spans="1:9" ht="13">
      <c r="A87" s="1"/>
      <c r="B87" s="1"/>
      <c r="C87" s="1"/>
      <c r="D87" s="1"/>
      <c r="E87" s="1"/>
      <c r="F87" s="1"/>
      <c r="G87" s="1"/>
      <c r="H87" s="1"/>
      <c r="I87" s="1"/>
    </row>
    <row r="88" spans="1:9" ht="13">
      <c r="A88" s="1"/>
      <c r="B88" s="1"/>
      <c r="C88" s="1"/>
      <c r="D88" s="1"/>
      <c r="E88" s="1"/>
      <c r="F88" s="1"/>
      <c r="G88" s="1"/>
      <c r="H88" s="1"/>
      <c r="I88" s="1"/>
    </row>
    <row r="89" spans="1:9" ht="13">
      <c r="A89" s="1"/>
      <c r="B89" s="1"/>
      <c r="C89" s="1"/>
      <c r="D89" s="1"/>
      <c r="E89" s="1"/>
      <c r="F89" s="1"/>
      <c r="G89" s="1"/>
      <c r="H89" s="1"/>
      <c r="I89" s="1"/>
    </row>
    <row r="90" spans="1:9" ht="13">
      <c r="A90" s="1"/>
      <c r="B90" s="1"/>
      <c r="C90" s="1"/>
      <c r="D90" s="1"/>
      <c r="E90" s="1"/>
      <c r="F90" s="1"/>
      <c r="G90" s="1"/>
      <c r="H90" s="1"/>
      <c r="I90" s="1"/>
    </row>
    <row r="91" spans="1:9" ht="13">
      <c r="A91" s="1"/>
      <c r="B91" s="1"/>
      <c r="C91" s="1"/>
      <c r="D91" s="1"/>
      <c r="E91" s="1"/>
      <c r="F91" s="1"/>
      <c r="G91" s="1"/>
      <c r="H91" s="1"/>
      <c r="I91" s="1"/>
    </row>
    <row r="92" spans="1:9" ht="13">
      <c r="A92" s="1"/>
      <c r="B92" s="1"/>
      <c r="C92" s="1"/>
      <c r="D92" s="1"/>
      <c r="E92" s="1"/>
      <c r="F92" s="1"/>
      <c r="G92" s="1"/>
      <c r="H92" s="1"/>
      <c r="I92" s="1"/>
    </row>
    <row r="93" spans="1:9" ht="13">
      <c r="A93" s="1"/>
      <c r="B93" s="1"/>
      <c r="C93" s="1"/>
      <c r="D93" s="1"/>
      <c r="E93" s="1"/>
      <c r="F93" s="1"/>
      <c r="G93" s="1"/>
      <c r="H93" s="1"/>
      <c r="I93" s="1"/>
    </row>
    <row r="94" spans="1:9" ht="13">
      <c r="A94" s="1"/>
      <c r="B94" s="1"/>
      <c r="C94" s="1"/>
      <c r="D94" s="1"/>
      <c r="E94" s="1"/>
      <c r="F94" s="1"/>
      <c r="G94" s="1"/>
      <c r="H94" s="1"/>
      <c r="I94" s="1"/>
    </row>
    <row r="95" spans="1:9" ht="13">
      <c r="A95" s="1"/>
      <c r="B95" s="1"/>
      <c r="C95" s="1"/>
      <c r="D95" s="1"/>
      <c r="E95" s="1"/>
      <c r="F95" s="1"/>
      <c r="G95" s="1"/>
      <c r="H95" s="1"/>
      <c r="I95" s="1"/>
    </row>
    <row r="96" spans="1:9" ht="13">
      <c r="A96" s="1"/>
      <c r="B96" s="1"/>
      <c r="C96" s="1"/>
      <c r="D96" s="1"/>
      <c r="E96" s="1"/>
      <c r="F96" s="1"/>
      <c r="G96" s="1"/>
      <c r="H96" s="1"/>
      <c r="I96" s="1"/>
    </row>
    <row r="97" spans="1:9" ht="13">
      <c r="A97" s="1"/>
      <c r="B97" s="1"/>
      <c r="C97" s="1"/>
      <c r="D97" s="1"/>
      <c r="E97" s="1"/>
      <c r="F97" s="1"/>
      <c r="G97" s="1"/>
      <c r="H97" s="1"/>
      <c r="I97" s="1"/>
    </row>
    <row r="98" spans="1:9" ht="13">
      <c r="A98" s="1"/>
      <c r="B98" s="1"/>
      <c r="C98" s="1"/>
      <c r="D98" s="1"/>
      <c r="E98" s="1"/>
      <c r="F98" s="1"/>
      <c r="G98" s="1"/>
      <c r="H98" s="1"/>
      <c r="I98" s="1"/>
    </row>
    <row r="99" spans="1:9" ht="13">
      <c r="A99" s="1"/>
      <c r="B99" s="1"/>
      <c r="C99" s="1"/>
      <c r="D99" s="1"/>
      <c r="E99" s="1"/>
      <c r="F99" s="1"/>
      <c r="G99" s="1"/>
      <c r="H99" s="1"/>
      <c r="I99" s="1"/>
    </row>
    <row r="100" spans="1:9" ht="13">
      <c r="A100" s="1"/>
      <c r="B100" s="1"/>
      <c r="C100" s="1"/>
      <c r="D100" s="1"/>
      <c r="E100" s="1"/>
      <c r="F100" s="1"/>
      <c r="G100" s="1"/>
      <c r="H100" s="1"/>
      <c r="I100" s="1"/>
    </row>
    <row r="101" spans="1:9" ht="13">
      <c r="A101" s="1"/>
      <c r="B101" s="1"/>
      <c r="C101" s="1"/>
      <c r="D101" s="1"/>
      <c r="E101" s="1"/>
      <c r="F101" s="1"/>
      <c r="G101" s="1"/>
      <c r="H101" s="1"/>
      <c r="I101" s="1"/>
    </row>
    <row r="102" spans="1:9" ht="13">
      <c r="A102" s="1"/>
      <c r="B102" s="1"/>
      <c r="C102" s="1"/>
      <c r="D102" s="1"/>
      <c r="E102" s="1"/>
      <c r="F102" s="1"/>
      <c r="G102" s="1"/>
      <c r="H102" s="1"/>
      <c r="I102" s="1"/>
    </row>
    <row r="103" spans="1:9" ht="13">
      <c r="A103" s="1"/>
      <c r="B103" s="1"/>
      <c r="C103" s="1"/>
      <c r="D103" s="1"/>
      <c r="E103" s="1"/>
      <c r="F103" s="1"/>
      <c r="G103" s="1"/>
      <c r="H103" s="1"/>
      <c r="I103" s="1"/>
    </row>
    <row r="104" spans="1:9" ht="13">
      <c r="A104" s="1"/>
      <c r="B104" s="1"/>
      <c r="C104" s="1"/>
      <c r="D104" s="1"/>
      <c r="E104" s="1"/>
      <c r="F104" s="1"/>
      <c r="G104" s="1"/>
      <c r="H104" s="1"/>
      <c r="I104" s="1"/>
    </row>
    <row r="105" spans="1:9" ht="13">
      <c r="A105" s="1"/>
      <c r="B105" s="1"/>
      <c r="C105" s="1"/>
      <c r="D105" s="1"/>
      <c r="E105" s="1"/>
      <c r="F105" s="1"/>
      <c r="G105" s="1"/>
      <c r="H105" s="1"/>
      <c r="I105" s="1"/>
    </row>
    <row r="106" spans="1:9" ht="13">
      <c r="A106" s="1"/>
      <c r="B106" s="1"/>
      <c r="C106" s="1"/>
      <c r="D106" s="1"/>
      <c r="E106" s="1"/>
      <c r="F106" s="1"/>
      <c r="G106" s="1"/>
      <c r="H106" s="1"/>
      <c r="I106" s="1"/>
    </row>
    <row r="107" spans="1:9" ht="13">
      <c r="A107" s="1"/>
      <c r="B107" s="1"/>
      <c r="C107" s="1"/>
      <c r="D107" s="1"/>
      <c r="E107" s="1"/>
      <c r="F107" s="1"/>
      <c r="G107" s="1"/>
      <c r="H107" s="1"/>
      <c r="I107" s="1"/>
    </row>
    <row r="108" spans="1:9" ht="13">
      <c r="A108" s="1"/>
      <c r="B108" s="1"/>
      <c r="C108" s="1"/>
      <c r="D108" s="1"/>
      <c r="E108" s="1"/>
      <c r="F108" s="1"/>
      <c r="G108" s="1"/>
      <c r="H108" s="1"/>
      <c r="I108" s="1"/>
    </row>
    <row r="109" spans="1:9" ht="13">
      <c r="A109" s="1"/>
      <c r="B109" s="1"/>
      <c r="C109" s="1"/>
      <c r="D109" s="1"/>
      <c r="E109" s="1"/>
      <c r="F109" s="1"/>
      <c r="G109" s="1"/>
      <c r="H109" s="1"/>
      <c r="I109" s="1"/>
    </row>
    <row r="110" spans="1:9" ht="13">
      <c r="A110" s="1"/>
      <c r="B110" s="1"/>
      <c r="C110" s="1"/>
      <c r="D110" s="1"/>
      <c r="E110" s="1"/>
      <c r="F110" s="1"/>
      <c r="G110" s="1"/>
      <c r="H110" s="1"/>
      <c r="I110" s="1"/>
    </row>
    <row r="111" spans="1:9" ht="13">
      <c r="A111" s="1"/>
      <c r="B111" s="1"/>
      <c r="C111" s="1"/>
      <c r="D111" s="1"/>
      <c r="E111" s="1"/>
      <c r="F111" s="1"/>
      <c r="G111" s="1"/>
      <c r="H111" s="1"/>
      <c r="I111" s="1"/>
    </row>
    <row r="112" spans="1:9" ht="13">
      <c r="A112" s="1"/>
      <c r="B112" s="1"/>
      <c r="C112" s="1"/>
      <c r="D112" s="1"/>
      <c r="E112" s="1"/>
      <c r="F112" s="1"/>
      <c r="G112" s="1"/>
      <c r="H112" s="1"/>
      <c r="I112" s="1"/>
    </row>
    <row r="113" spans="1:9" ht="13">
      <c r="A113" s="1"/>
      <c r="B113" s="1"/>
      <c r="C113" s="1"/>
      <c r="D113" s="1"/>
      <c r="E113" s="1"/>
      <c r="F113" s="1"/>
      <c r="G113" s="1"/>
      <c r="H113" s="1"/>
      <c r="I113" s="1"/>
    </row>
    <row r="114" spans="1:9" ht="13">
      <c r="A114" s="1"/>
      <c r="B114" s="1"/>
      <c r="C114" s="1"/>
      <c r="D114" s="1"/>
      <c r="E114" s="1"/>
      <c r="F114" s="1"/>
      <c r="G114" s="1"/>
      <c r="H114" s="1"/>
      <c r="I114" s="1"/>
    </row>
    <row r="115" spans="1:9" ht="13">
      <c r="A115" s="1"/>
      <c r="B115" s="1"/>
      <c r="C115" s="1"/>
      <c r="D115" s="1"/>
      <c r="E115" s="1"/>
      <c r="F115" s="1"/>
      <c r="G115" s="1"/>
      <c r="H115" s="1"/>
      <c r="I115" s="1"/>
    </row>
    <row r="116" spans="1:9" ht="13">
      <c r="A116" s="1"/>
      <c r="B116" s="1"/>
      <c r="C116" s="1"/>
      <c r="D116" s="1"/>
      <c r="E116" s="1"/>
      <c r="F116" s="1"/>
      <c r="G116" s="1"/>
      <c r="H116" s="1"/>
      <c r="I116" s="1"/>
    </row>
    <row r="117" spans="1:9" ht="13">
      <c r="A117" s="1"/>
      <c r="B117" s="1"/>
      <c r="C117" s="1"/>
      <c r="D117" s="1"/>
      <c r="E117" s="1"/>
      <c r="F117" s="1"/>
      <c r="G117" s="1"/>
      <c r="H117" s="1"/>
      <c r="I117" s="1"/>
    </row>
    <row r="118" spans="1:9" ht="13">
      <c r="A118" s="1"/>
      <c r="B118" s="1"/>
      <c r="C118" s="1"/>
      <c r="D118" s="1"/>
      <c r="E118" s="1"/>
      <c r="F118" s="1"/>
      <c r="G118" s="1"/>
      <c r="H118" s="1"/>
      <c r="I118" s="1"/>
    </row>
    <row r="119" spans="1:9" ht="13">
      <c r="A119" s="1"/>
      <c r="B119" s="1"/>
      <c r="C119" s="1"/>
      <c r="D119" s="1"/>
      <c r="E119" s="1"/>
      <c r="F119" s="1"/>
      <c r="G119" s="1"/>
      <c r="H119" s="1"/>
      <c r="I119" s="1"/>
    </row>
    <row r="120" spans="1:9" ht="13">
      <c r="A120" s="1"/>
      <c r="B120" s="1"/>
      <c r="C120" s="1"/>
      <c r="D120" s="1"/>
      <c r="E120" s="1"/>
      <c r="F120" s="1"/>
      <c r="G120" s="1"/>
      <c r="H120" s="1"/>
      <c r="I120" s="1"/>
    </row>
    <row r="121" spans="1:9" ht="13">
      <c r="A121" s="1"/>
      <c r="B121" s="1"/>
      <c r="C121" s="1"/>
      <c r="D121" s="1"/>
      <c r="E121" s="1"/>
      <c r="F121" s="1"/>
      <c r="G121" s="1"/>
      <c r="H121" s="1"/>
      <c r="I121" s="1"/>
    </row>
    <row r="122" spans="1:9" ht="13">
      <c r="A122" s="1"/>
      <c r="B122" s="1"/>
      <c r="C122" s="1"/>
      <c r="D122" s="1"/>
      <c r="E122" s="1"/>
      <c r="F122" s="1"/>
      <c r="G122" s="1"/>
      <c r="H122" s="1"/>
      <c r="I122" s="1"/>
    </row>
    <row r="123" spans="1:9" ht="13">
      <c r="A123" s="1"/>
      <c r="B123" s="1"/>
      <c r="C123" s="1"/>
      <c r="D123" s="1"/>
      <c r="E123" s="1"/>
      <c r="F123" s="1"/>
      <c r="G123" s="1"/>
      <c r="H123" s="1"/>
      <c r="I123" s="1"/>
    </row>
    <row r="124" spans="1:9" ht="13">
      <c r="A124" s="1"/>
      <c r="B124" s="1"/>
      <c r="C124" s="1"/>
      <c r="D124" s="1"/>
      <c r="E124" s="1"/>
      <c r="F124" s="1"/>
      <c r="G124" s="1"/>
      <c r="H124" s="1"/>
      <c r="I124" s="1"/>
    </row>
    <row r="125" spans="1:9" ht="13">
      <c r="A125" s="1"/>
      <c r="B125" s="1"/>
      <c r="C125" s="1"/>
      <c r="D125" s="1"/>
      <c r="E125" s="1"/>
      <c r="F125" s="1"/>
      <c r="G125" s="1"/>
      <c r="H125" s="1"/>
      <c r="I125" s="1"/>
    </row>
    <row r="126" spans="1:9" ht="13">
      <c r="A126" s="1"/>
      <c r="B126" s="1"/>
      <c r="C126" s="1"/>
      <c r="D126" s="1"/>
      <c r="E126" s="1"/>
      <c r="F126" s="1"/>
      <c r="G126" s="1"/>
      <c r="H126" s="1"/>
      <c r="I126" s="1"/>
    </row>
    <row r="127" spans="1:9" ht="13">
      <c r="A127" s="1"/>
      <c r="B127" s="1"/>
      <c r="C127" s="1"/>
      <c r="D127" s="1"/>
      <c r="E127" s="1"/>
      <c r="F127" s="1"/>
      <c r="G127" s="1"/>
      <c r="H127" s="1"/>
      <c r="I127" s="1"/>
    </row>
    <row r="128" spans="1:9" ht="13">
      <c r="A128" s="1"/>
      <c r="B128" s="1"/>
      <c r="C128" s="1"/>
      <c r="D128" s="1"/>
      <c r="E128" s="1"/>
      <c r="F128" s="1"/>
      <c r="G128" s="1"/>
      <c r="H128" s="1"/>
      <c r="I128" s="1"/>
    </row>
    <row r="129" spans="1:9" ht="13">
      <c r="A129" s="1"/>
      <c r="B129" s="1"/>
      <c r="C129" s="1"/>
      <c r="D129" s="1"/>
      <c r="E129" s="1"/>
      <c r="F129" s="1"/>
      <c r="G129" s="1"/>
      <c r="H129" s="1"/>
      <c r="I129" s="1"/>
    </row>
    <row r="130" spans="1:9" ht="13">
      <c r="A130" s="1"/>
      <c r="B130" s="1"/>
      <c r="C130" s="1"/>
      <c r="D130" s="1"/>
      <c r="E130" s="1"/>
      <c r="F130" s="1"/>
      <c r="G130" s="1"/>
      <c r="H130" s="1"/>
      <c r="I130" s="1"/>
    </row>
    <row r="131" spans="1:9" ht="13">
      <c r="A131" s="1"/>
      <c r="B131" s="1"/>
      <c r="C131" s="1"/>
      <c r="D131" s="1"/>
      <c r="E131" s="1"/>
      <c r="F131" s="1"/>
      <c r="G131" s="1"/>
      <c r="H131" s="1"/>
      <c r="I131" s="1"/>
    </row>
    <row r="132" spans="1:9" ht="13">
      <c r="A132" s="1"/>
      <c r="B132" s="1"/>
      <c r="C132" s="1"/>
      <c r="D132" s="1"/>
      <c r="E132" s="1"/>
      <c r="F132" s="1"/>
      <c r="G132" s="1"/>
      <c r="H132" s="1"/>
      <c r="I132" s="1"/>
    </row>
    <row r="133" spans="1:9" ht="13">
      <c r="A133" s="1"/>
      <c r="B133" s="1"/>
      <c r="C133" s="1"/>
      <c r="D133" s="1"/>
      <c r="E133" s="1"/>
      <c r="F133" s="1"/>
      <c r="G133" s="1"/>
      <c r="H133" s="1"/>
      <c r="I133" s="1"/>
    </row>
    <row r="134" spans="1:9" ht="13">
      <c r="A134" s="1"/>
      <c r="B134" s="1"/>
      <c r="C134" s="1"/>
      <c r="D134" s="1"/>
      <c r="E134" s="1"/>
      <c r="F134" s="1"/>
      <c r="G134" s="1"/>
      <c r="H134" s="1"/>
      <c r="I134" s="1"/>
    </row>
    <row r="135" spans="1:9" ht="13">
      <c r="A135" s="1"/>
      <c r="B135" s="1"/>
      <c r="C135" s="1"/>
      <c r="D135" s="1"/>
      <c r="E135" s="1"/>
      <c r="F135" s="1"/>
      <c r="G135" s="1"/>
      <c r="H135" s="1"/>
      <c r="I135" s="1"/>
    </row>
    <row r="136" spans="1:9" ht="13">
      <c r="A136" s="1"/>
      <c r="B136" s="1"/>
      <c r="C136" s="1"/>
      <c r="D136" s="1"/>
      <c r="E136" s="1"/>
      <c r="F136" s="1"/>
      <c r="G136" s="1"/>
      <c r="H136" s="1"/>
      <c r="I136" s="1"/>
    </row>
    <row r="137" spans="1:9" ht="13">
      <c r="A137" s="1"/>
      <c r="B137" s="1"/>
      <c r="C137" s="1"/>
      <c r="D137" s="1"/>
      <c r="E137" s="1"/>
      <c r="F137" s="1"/>
      <c r="G137" s="1"/>
      <c r="H137" s="1"/>
      <c r="I137" s="1"/>
    </row>
    <row r="138" spans="1:9" ht="13">
      <c r="A138" s="1"/>
      <c r="B138" s="1"/>
      <c r="C138" s="1"/>
      <c r="D138" s="1"/>
      <c r="E138" s="1"/>
      <c r="F138" s="1"/>
      <c r="G138" s="1"/>
      <c r="H138" s="1"/>
      <c r="I138" s="1"/>
    </row>
    <row r="139" spans="1:9" ht="13">
      <c r="A139" s="1"/>
      <c r="B139" s="1"/>
      <c r="C139" s="1"/>
      <c r="D139" s="1"/>
      <c r="E139" s="1"/>
      <c r="F139" s="1"/>
      <c r="G139" s="1"/>
      <c r="H139" s="1"/>
      <c r="I139" s="1"/>
    </row>
    <row r="140" spans="1:9" ht="13">
      <c r="A140" s="1"/>
      <c r="B140" s="1"/>
      <c r="C140" s="1"/>
      <c r="D140" s="1"/>
      <c r="E140" s="1"/>
      <c r="F140" s="1"/>
      <c r="G140" s="1"/>
      <c r="H140" s="1"/>
      <c r="I140" s="1"/>
    </row>
    <row r="141" spans="1:9" ht="13">
      <c r="A141" s="1"/>
      <c r="B141" s="1"/>
      <c r="C141" s="1"/>
      <c r="D141" s="1"/>
      <c r="E141" s="1"/>
      <c r="F141" s="1"/>
      <c r="G141" s="1"/>
      <c r="H141" s="1"/>
      <c r="I141" s="1"/>
    </row>
    <row r="142" spans="1:9" ht="13">
      <c r="A142" s="1"/>
      <c r="B142" s="1"/>
      <c r="C142" s="1"/>
      <c r="D142" s="1"/>
      <c r="E142" s="1"/>
      <c r="F142" s="1"/>
      <c r="G142" s="1"/>
      <c r="H142" s="1"/>
      <c r="I142" s="1"/>
    </row>
    <row r="143" spans="1:9" ht="13">
      <c r="A143" s="1"/>
      <c r="B143" s="1"/>
      <c r="C143" s="1"/>
      <c r="D143" s="1"/>
      <c r="E143" s="1"/>
      <c r="F143" s="1"/>
      <c r="G143" s="1"/>
      <c r="H143" s="1"/>
      <c r="I143" s="1"/>
    </row>
    <row r="144" spans="1:9" ht="13">
      <c r="A144" s="1"/>
      <c r="B144" s="1"/>
      <c r="C144" s="1"/>
      <c r="D144" s="1"/>
      <c r="E144" s="1"/>
      <c r="F144" s="1"/>
      <c r="G144" s="1"/>
      <c r="H144" s="1"/>
      <c r="I144" s="1"/>
    </row>
    <row r="145" spans="1:9" ht="13">
      <c r="A145" s="1"/>
      <c r="B145" s="1"/>
      <c r="C145" s="1"/>
      <c r="D145" s="1"/>
      <c r="E145" s="1"/>
      <c r="F145" s="1"/>
      <c r="G145" s="1"/>
      <c r="H145" s="1"/>
      <c r="I145" s="1"/>
    </row>
    <row r="146" spans="1:9" ht="13">
      <c r="A146" s="1"/>
      <c r="B146" s="1"/>
      <c r="C146" s="1"/>
      <c r="D146" s="1"/>
      <c r="E146" s="1"/>
      <c r="F146" s="1"/>
      <c r="G146" s="1"/>
      <c r="H146" s="1"/>
      <c r="I146" s="1"/>
    </row>
    <row r="147" spans="1:9" ht="13">
      <c r="A147" s="1"/>
      <c r="B147" s="1"/>
      <c r="C147" s="1"/>
      <c r="D147" s="1"/>
      <c r="E147" s="1"/>
      <c r="F147" s="1"/>
      <c r="G147" s="1"/>
      <c r="H147" s="1"/>
      <c r="I147" s="1"/>
    </row>
    <row r="148" spans="1:9" ht="13">
      <c r="A148" s="1"/>
      <c r="B148" s="1"/>
      <c r="C148" s="1"/>
      <c r="D148" s="1"/>
      <c r="E148" s="1"/>
      <c r="F148" s="1"/>
      <c r="G148" s="1"/>
      <c r="H148" s="1"/>
      <c r="I148" s="1"/>
    </row>
    <row r="149" spans="1:9" ht="13">
      <c r="A149" s="1"/>
      <c r="B149" s="1"/>
      <c r="C149" s="1"/>
      <c r="D149" s="1"/>
      <c r="E149" s="1"/>
      <c r="F149" s="1"/>
      <c r="G149" s="1"/>
      <c r="H149" s="1"/>
      <c r="I149" s="1"/>
    </row>
    <row r="150" spans="1:9" ht="13">
      <c r="A150" s="1"/>
      <c r="B150" s="1"/>
      <c r="C150" s="1"/>
      <c r="D150" s="1"/>
      <c r="E150" s="1"/>
      <c r="F150" s="1"/>
      <c r="G150" s="1"/>
      <c r="H150" s="1"/>
      <c r="I150" s="1"/>
    </row>
    <row r="151" spans="1:9" ht="13">
      <c r="A151" s="1"/>
      <c r="B151" s="1"/>
      <c r="C151" s="1"/>
      <c r="D151" s="1"/>
      <c r="E151" s="1"/>
      <c r="F151" s="1"/>
      <c r="G151" s="1"/>
      <c r="H151" s="1"/>
      <c r="I151" s="1"/>
    </row>
    <row r="152" spans="1:9" ht="13">
      <c r="A152" s="1"/>
      <c r="B152" s="1"/>
      <c r="C152" s="1"/>
      <c r="D152" s="1"/>
      <c r="E152" s="1"/>
      <c r="F152" s="1"/>
      <c r="G152" s="1"/>
      <c r="H152" s="1"/>
      <c r="I152" s="1"/>
    </row>
    <row r="153" spans="1:9" ht="13">
      <c r="A153" s="1"/>
      <c r="B153" s="1"/>
      <c r="C153" s="1"/>
      <c r="D153" s="1"/>
      <c r="E153" s="1"/>
      <c r="F153" s="1"/>
      <c r="G153" s="1"/>
      <c r="H153" s="1"/>
      <c r="I153" s="1"/>
    </row>
    <row r="154" spans="1:9" ht="13">
      <c r="A154" s="1"/>
      <c r="B154" s="1"/>
      <c r="C154" s="1"/>
      <c r="D154" s="1"/>
      <c r="E154" s="1"/>
      <c r="F154" s="1"/>
      <c r="G154" s="1"/>
      <c r="H154" s="1"/>
      <c r="I154" s="1"/>
    </row>
    <row r="155" spans="1:9" ht="13">
      <c r="A155" s="1"/>
      <c r="B155" s="1"/>
      <c r="C155" s="1"/>
      <c r="D155" s="1"/>
      <c r="E155" s="1"/>
      <c r="F155" s="1"/>
      <c r="G155" s="1"/>
      <c r="H155" s="1"/>
      <c r="I155" s="1"/>
    </row>
    <row r="156" spans="1:9" ht="13">
      <c r="A156" s="1"/>
      <c r="B156" s="1"/>
      <c r="C156" s="1"/>
      <c r="D156" s="1"/>
      <c r="E156" s="1"/>
      <c r="F156" s="1"/>
      <c r="G156" s="1"/>
      <c r="H156" s="1"/>
      <c r="I156" s="1"/>
    </row>
    <row r="157" spans="1:9" ht="13">
      <c r="A157" s="1"/>
      <c r="B157" s="1"/>
      <c r="C157" s="1"/>
      <c r="D157" s="1"/>
      <c r="E157" s="1"/>
      <c r="F157" s="1"/>
      <c r="G157" s="1"/>
      <c r="H157" s="1"/>
      <c r="I157" s="1"/>
    </row>
    <row r="158" spans="1:9" ht="13">
      <c r="A158" s="1"/>
      <c r="B158" s="1"/>
      <c r="C158" s="1"/>
      <c r="D158" s="1"/>
      <c r="E158" s="1"/>
      <c r="F158" s="1"/>
      <c r="G158" s="1"/>
      <c r="H158" s="1"/>
      <c r="I158" s="1"/>
    </row>
    <row r="159" spans="1:9" ht="13">
      <c r="A159" s="1"/>
      <c r="B159" s="1"/>
      <c r="C159" s="1"/>
      <c r="D159" s="1"/>
      <c r="E159" s="1"/>
      <c r="F159" s="1"/>
      <c r="G159" s="1"/>
      <c r="H159" s="1"/>
      <c r="I159" s="1"/>
    </row>
    <row r="160" spans="1:9" ht="13">
      <c r="A160" s="1"/>
      <c r="B160" s="1"/>
      <c r="C160" s="1"/>
      <c r="D160" s="1"/>
      <c r="E160" s="1"/>
      <c r="F160" s="1"/>
      <c r="G160" s="1"/>
      <c r="H160" s="1"/>
      <c r="I160" s="1"/>
    </row>
    <row r="161" spans="1:9" ht="13">
      <c r="A161" s="1"/>
      <c r="B161" s="1"/>
      <c r="C161" s="1"/>
      <c r="D161" s="1"/>
      <c r="E161" s="1"/>
      <c r="F161" s="1"/>
      <c r="G161" s="1"/>
      <c r="H161" s="1"/>
      <c r="I161" s="1"/>
    </row>
    <row r="162" spans="1:9" ht="13">
      <c r="A162" s="1"/>
      <c r="B162" s="1"/>
      <c r="C162" s="1"/>
      <c r="D162" s="1"/>
      <c r="E162" s="1"/>
      <c r="F162" s="1"/>
      <c r="G162" s="1"/>
      <c r="H162" s="1"/>
      <c r="I162" s="1"/>
    </row>
    <row r="163" spans="1:9" ht="13">
      <c r="A163" s="1"/>
      <c r="B163" s="1"/>
      <c r="C163" s="1"/>
      <c r="D163" s="1"/>
      <c r="E163" s="1"/>
      <c r="F163" s="1"/>
      <c r="G163" s="1"/>
      <c r="H163" s="1"/>
      <c r="I163" s="1"/>
    </row>
    <row r="164" spans="1:9" ht="13">
      <c r="A164" s="1"/>
      <c r="B164" s="1"/>
      <c r="C164" s="1"/>
      <c r="D164" s="1"/>
      <c r="E164" s="1"/>
      <c r="F164" s="1"/>
      <c r="G164" s="1"/>
      <c r="H164" s="1"/>
      <c r="I164" s="1"/>
    </row>
    <row r="165" spans="1:9" ht="13">
      <c r="A165" s="1"/>
      <c r="B165" s="1"/>
      <c r="C165" s="1"/>
      <c r="D165" s="1"/>
      <c r="E165" s="1"/>
      <c r="F165" s="1"/>
      <c r="G165" s="1"/>
      <c r="H165" s="1"/>
      <c r="I165" s="1"/>
    </row>
    <row r="166" spans="1:9" ht="13">
      <c r="A166" s="1"/>
      <c r="B166" s="1"/>
      <c r="C166" s="1"/>
      <c r="D166" s="1"/>
      <c r="E166" s="1"/>
      <c r="F166" s="1"/>
      <c r="G166" s="1"/>
      <c r="H166" s="1"/>
      <c r="I166" s="1"/>
    </row>
    <row r="167" spans="1:9" ht="13">
      <c r="A167" s="1"/>
      <c r="B167" s="1"/>
      <c r="C167" s="1"/>
      <c r="D167" s="1"/>
      <c r="E167" s="1"/>
      <c r="F167" s="1"/>
      <c r="G167" s="1"/>
      <c r="H167" s="1"/>
      <c r="I167" s="1"/>
    </row>
    <row r="168" spans="1:9" ht="13">
      <c r="A168" s="1"/>
      <c r="B168" s="1"/>
      <c r="C168" s="1"/>
      <c r="D168" s="1"/>
      <c r="E168" s="1"/>
      <c r="F168" s="1"/>
      <c r="G168" s="1"/>
      <c r="H168" s="1"/>
      <c r="I168" s="1"/>
    </row>
    <row r="169" spans="1:9" ht="13">
      <c r="A169" s="1"/>
      <c r="B169" s="1"/>
      <c r="C169" s="1"/>
      <c r="D169" s="1"/>
      <c r="E169" s="1"/>
      <c r="F169" s="1"/>
      <c r="G169" s="1"/>
      <c r="H169" s="1"/>
      <c r="I169" s="1"/>
    </row>
    <row r="170" spans="1:9" ht="13">
      <c r="A170" s="1"/>
      <c r="B170" s="1"/>
      <c r="C170" s="1"/>
      <c r="D170" s="1"/>
      <c r="E170" s="1"/>
      <c r="F170" s="1"/>
      <c r="G170" s="1"/>
      <c r="H170" s="1"/>
      <c r="I170" s="1"/>
    </row>
    <row r="171" spans="1:9" ht="13">
      <c r="A171" s="1"/>
      <c r="B171" s="1"/>
      <c r="C171" s="1"/>
      <c r="D171" s="1"/>
      <c r="E171" s="1"/>
      <c r="F171" s="1"/>
      <c r="G171" s="1"/>
      <c r="H171" s="1"/>
      <c r="I171" s="1"/>
    </row>
    <row r="172" spans="1:9" ht="13">
      <c r="A172" s="1"/>
      <c r="B172" s="1"/>
      <c r="C172" s="1"/>
      <c r="D172" s="1"/>
      <c r="E172" s="1"/>
      <c r="F172" s="1"/>
      <c r="G172" s="1"/>
      <c r="H172" s="1"/>
      <c r="I172" s="1"/>
    </row>
    <row r="173" spans="1:9" ht="13">
      <c r="A173" s="1"/>
      <c r="B173" s="1"/>
      <c r="C173" s="1"/>
      <c r="D173" s="1"/>
      <c r="E173" s="1"/>
      <c r="F173" s="1"/>
      <c r="G173" s="1"/>
      <c r="H173" s="1"/>
      <c r="I173" s="1"/>
    </row>
    <row r="174" spans="1:9" ht="13">
      <c r="A174" s="1"/>
      <c r="B174" s="1"/>
      <c r="C174" s="1"/>
      <c r="D174" s="1"/>
      <c r="E174" s="1"/>
      <c r="F174" s="1"/>
      <c r="G174" s="1"/>
      <c r="H174" s="1"/>
      <c r="I174" s="1"/>
    </row>
    <row r="175" spans="1:9" ht="13">
      <c r="A175" s="1"/>
      <c r="B175" s="1"/>
      <c r="C175" s="1"/>
      <c r="D175" s="1"/>
      <c r="E175" s="1"/>
      <c r="F175" s="1"/>
      <c r="G175" s="1"/>
      <c r="H175" s="1"/>
      <c r="I175" s="1"/>
    </row>
    <row r="176" spans="1:9" ht="13">
      <c r="A176" s="1"/>
      <c r="B176" s="1"/>
      <c r="C176" s="1"/>
      <c r="D176" s="1"/>
      <c r="E176" s="1"/>
      <c r="F176" s="1"/>
      <c r="G176" s="1"/>
      <c r="H176" s="1"/>
      <c r="I176" s="1"/>
    </row>
    <row r="177" spans="1:9" ht="13">
      <c r="A177" s="1"/>
      <c r="B177" s="1"/>
      <c r="C177" s="1"/>
      <c r="D177" s="1"/>
      <c r="E177" s="1"/>
      <c r="F177" s="1"/>
      <c r="G177" s="1"/>
      <c r="H177" s="1"/>
      <c r="I177" s="1"/>
    </row>
    <row r="178" spans="1:9" ht="13">
      <c r="A178" s="1"/>
      <c r="B178" s="1"/>
      <c r="C178" s="1"/>
      <c r="D178" s="1"/>
      <c r="E178" s="1"/>
      <c r="F178" s="1"/>
      <c r="G178" s="1"/>
      <c r="H178" s="1"/>
      <c r="I178" s="1"/>
    </row>
    <row r="179" spans="1:9" ht="13">
      <c r="A179" s="1"/>
      <c r="B179" s="1"/>
      <c r="C179" s="1"/>
      <c r="D179" s="1"/>
      <c r="E179" s="1"/>
      <c r="F179" s="1"/>
      <c r="G179" s="1"/>
      <c r="H179" s="1"/>
      <c r="I179" s="1"/>
    </row>
    <row r="180" spans="1:9" ht="13">
      <c r="A180" s="1"/>
      <c r="B180" s="1"/>
      <c r="C180" s="1"/>
      <c r="D180" s="1"/>
      <c r="E180" s="1"/>
      <c r="F180" s="1"/>
      <c r="G180" s="1"/>
      <c r="H180" s="1"/>
      <c r="I180" s="1"/>
    </row>
    <row r="181" spans="1:9" ht="13">
      <c r="A181" s="1"/>
      <c r="B181" s="1"/>
      <c r="C181" s="1"/>
      <c r="D181" s="1"/>
      <c r="E181" s="1"/>
      <c r="F181" s="1"/>
      <c r="G181" s="1"/>
      <c r="H181" s="1"/>
      <c r="I181" s="1"/>
    </row>
    <row r="182" spans="1:9" ht="13">
      <c r="A182" s="1"/>
      <c r="B182" s="1"/>
      <c r="C182" s="1"/>
      <c r="D182" s="1"/>
      <c r="E182" s="1"/>
      <c r="F182" s="1"/>
      <c r="G182" s="1"/>
      <c r="H182" s="1"/>
      <c r="I182" s="1"/>
    </row>
    <row r="183" spans="1:9" ht="13">
      <c r="A183" s="1"/>
      <c r="B183" s="1"/>
      <c r="C183" s="1"/>
      <c r="D183" s="1"/>
      <c r="E183" s="1"/>
      <c r="F183" s="1"/>
      <c r="G183" s="1"/>
      <c r="H183" s="1"/>
      <c r="I183" s="1"/>
    </row>
    <row r="184" spans="1:9" ht="13">
      <c r="A184" s="1"/>
      <c r="B184" s="1"/>
      <c r="C184" s="1"/>
      <c r="D184" s="1"/>
      <c r="E184" s="1"/>
      <c r="F184" s="1"/>
      <c r="G184" s="1"/>
      <c r="H184" s="1"/>
      <c r="I184" s="1"/>
    </row>
    <row r="185" spans="1:9" ht="13">
      <c r="A185" s="1"/>
      <c r="B185" s="1"/>
      <c r="C185" s="1"/>
      <c r="D185" s="1"/>
      <c r="E185" s="1"/>
      <c r="F185" s="1"/>
      <c r="G185" s="1"/>
      <c r="H185" s="1"/>
      <c r="I185" s="1"/>
    </row>
    <row r="186" spans="1:9" ht="13">
      <c r="A186" s="1"/>
      <c r="B186" s="1"/>
      <c r="C186" s="1"/>
      <c r="D186" s="1"/>
      <c r="E186" s="1"/>
      <c r="F186" s="1"/>
      <c r="G186" s="1"/>
      <c r="H186" s="1"/>
      <c r="I186" s="1"/>
    </row>
    <row r="187" spans="1:9" ht="13">
      <c r="A187" s="1"/>
      <c r="B187" s="1"/>
      <c r="C187" s="1"/>
      <c r="D187" s="1"/>
      <c r="E187" s="1"/>
      <c r="F187" s="1"/>
      <c r="G187" s="1"/>
      <c r="H187" s="1"/>
      <c r="I187" s="1"/>
    </row>
    <row r="188" spans="1:9" ht="13">
      <c r="A188" s="1"/>
      <c r="B188" s="1"/>
      <c r="C188" s="1"/>
      <c r="D188" s="1"/>
      <c r="E188" s="1"/>
      <c r="F188" s="1"/>
      <c r="G188" s="1"/>
      <c r="H188" s="1"/>
      <c r="I188" s="1"/>
    </row>
    <row r="189" spans="1:9" ht="13">
      <c r="A189" s="1"/>
      <c r="B189" s="1"/>
      <c r="C189" s="1"/>
      <c r="D189" s="1"/>
      <c r="E189" s="1"/>
      <c r="F189" s="1"/>
      <c r="G189" s="1"/>
      <c r="H189" s="1"/>
      <c r="I189" s="1"/>
    </row>
    <row r="190" spans="1:9" ht="13">
      <c r="A190" s="1"/>
      <c r="B190" s="1"/>
      <c r="C190" s="1"/>
      <c r="D190" s="1"/>
      <c r="E190" s="1"/>
      <c r="F190" s="1"/>
      <c r="G190" s="1"/>
      <c r="H190" s="1"/>
      <c r="I190" s="1"/>
    </row>
    <row r="191" spans="1:9" ht="13">
      <c r="A191" s="1"/>
      <c r="B191" s="1"/>
      <c r="C191" s="1"/>
      <c r="D191" s="1"/>
      <c r="E191" s="1"/>
      <c r="F191" s="1"/>
      <c r="G191" s="1"/>
      <c r="H191" s="1"/>
      <c r="I191" s="1"/>
    </row>
    <row r="192" spans="1:9" ht="13">
      <c r="A192" s="1"/>
      <c r="B192" s="1"/>
      <c r="C192" s="1"/>
      <c r="D192" s="1"/>
      <c r="E192" s="1"/>
      <c r="F192" s="1"/>
      <c r="G192" s="1"/>
      <c r="H192" s="1"/>
      <c r="I192" s="1"/>
    </row>
    <row r="193" spans="1:9" ht="13">
      <c r="A193" s="1"/>
      <c r="B193" s="1"/>
      <c r="C193" s="1"/>
      <c r="D193" s="1"/>
      <c r="E193" s="1"/>
      <c r="F193" s="1"/>
      <c r="G193" s="1"/>
      <c r="H193" s="1"/>
      <c r="I193" s="1"/>
    </row>
    <row r="194" spans="1:9" ht="13">
      <c r="A194" s="1"/>
      <c r="B194" s="1"/>
      <c r="C194" s="1"/>
      <c r="D194" s="1"/>
      <c r="E194" s="1"/>
      <c r="F194" s="1"/>
      <c r="G194" s="1"/>
      <c r="H194" s="1"/>
      <c r="I194" s="1"/>
    </row>
    <row r="195" spans="1:9" ht="13">
      <c r="A195" s="1"/>
      <c r="B195" s="1"/>
      <c r="C195" s="1"/>
      <c r="D195" s="1"/>
      <c r="E195" s="1"/>
      <c r="F195" s="1"/>
      <c r="G195" s="1"/>
      <c r="H195" s="1"/>
      <c r="I195" s="1"/>
    </row>
    <row r="196" spans="1:9" ht="13">
      <c r="A196" s="1"/>
      <c r="B196" s="1"/>
      <c r="C196" s="1"/>
      <c r="D196" s="1"/>
      <c r="E196" s="1"/>
      <c r="F196" s="1"/>
      <c r="G196" s="1"/>
      <c r="H196" s="1"/>
      <c r="I196" s="1"/>
    </row>
    <row r="197" spans="1:9" ht="13">
      <c r="A197" s="1"/>
      <c r="B197" s="1"/>
      <c r="C197" s="1"/>
      <c r="D197" s="1"/>
      <c r="E197" s="1"/>
      <c r="F197" s="1"/>
      <c r="G197" s="1"/>
      <c r="H197" s="1"/>
      <c r="I197" s="1"/>
    </row>
    <row r="198" spans="1:9" ht="13">
      <c r="A198" s="1"/>
      <c r="B198" s="1"/>
      <c r="C198" s="1"/>
      <c r="D198" s="1"/>
      <c r="E198" s="1"/>
      <c r="F198" s="1"/>
      <c r="G198" s="1"/>
      <c r="H198" s="1"/>
      <c r="I198" s="1"/>
    </row>
    <row r="199" spans="1:9" ht="13">
      <c r="A199" s="1"/>
      <c r="B199" s="1"/>
      <c r="C199" s="1"/>
      <c r="D199" s="1"/>
      <c r="E199" s="1"/>
      <c r="F199" s="1"/>
      <c r="G199" s="1"/>
      <c r="H199" s="1"/>
      <c r="I199" s="1"/>
    </row>
    <row r="200" spans="1:9" ht="13">
      <c r="A200" s="1"/>
      <c r="B200" s="1"/>
      <c r="C200" s="1"/>
      <c r="D200" s="1"/>
      <c r="E200" s="1"/>
      <c r="F200" s="1"/>
      <c r="G200" s="1"/>
      <c r="H200" s="1"/>
      <c r="I200" s="1"/>
    </row>
    <row r="201" spans="1:9" ht="13">
      <c r="A201" s="1"/>
      <c r="B201" s="1"/>
      <c r="C201" s="1"/>
      <c r="D201" s="1"/>
      <c r="E201" s="1"/>
      <c r="F201" s="1"/>
      <c r="G201" s="1"/>
      <c r="H201" s="1"/>
      <c r="I201" s="1"/>
    </row>
    <row r="202" spans="1:9" ht="13">
      <c r="A202" s="1"/>
      <c r="B202" s="1"/>
      <c r="C202" s="1"/>
      <c r="D202" s="1"/>
      <c r="E202" s="1"/>
      <c r="F202" s="1"/>
      <c r="G202" s="1"/>
      <c r="H202" s="1"/>
      <c r="I202" s="1"/>
    </row>
    <row r="203" spans="1:9" ht="13">
      <c r="A203" s="1"/>
      <c r="B203" s="1"/>
      <c r="C203" s="1"/>
      <c r="D203" s="1"/>
      <c r="E203" s="1"/>
      <c r="F203" s="1"/>
      <c r="G203" s="1"/>
      <c r="H203" s="1"/>
      <c r="I203" s="1"/>
    </row>
    <row r="204" spans="1:9" ht="13">
      <c r="A204" s="1"/>
      <c r="B204" s="1"/>
      <c r="C204" s="1"/>
      <c r="D204" s="1"/>
      <c r="E204" s="1"/>
      <c r="F204" s="1"/>
      <c r="G204" s="1"/>
      <c r="H204" s="1"/>
      <c r="I204" s="1"/>
    </row>
    <row r="205" spans="1:9" ht="13">
      <c r="A205" s="1"/>
      <c r="B205" s="1"/>
      <c r="C205" s="1"/>
      <c r="D205" s="1"/>
      <c r="E205" s="1"/>
      <c r="F205" s="1"/>
      <c r="G205" s="1"/>
      <c r="H205" s="1"/>
      <c r="I205" s="1"/>
    </row>
    <row r="206" spans="1:9" ht="13">
      <c r="A206" s="1"/>
      <c r="B206" s="1"/>
      <c r="C206" s="1"/>
      <c r="D206" s="1"/>
      <c r="E206" s="1"/>
      <c r="F206" s="1"/>
      <c r="G206" s="1"/>
      <c r="H206" s="1"/>
      <c r="I206" s="1"/>
    </row>
    <row r="207" spans="1:9" ht="13">
      <c r="A207" s="1"/>
      <c r="B207" s="1"/>
      <c r="C207" s="1"/>
      <c r="D207" s="1"/>
      <c r="E207" s="1"/>
      <c r="F207" s="1"/>
      <c r="G207" s="1"/>
      <c r="H207" s="1"/>
      <c r="I207" s="1"/>
    </row>
    <row r="208" spans="1:9" ht="13">
      <c r="A208" s="1"/>
      <c r="B208" s="1"/>
      <c r="C208" s="1"/>
      <c r="D208" s="1"/>
      <c r="E208" s="1"/>
      <c r="F208" s="1"/>
      <c r="G208" s="1"/>
      <c r="H208" s="1"/>
      <c r="I208" s="1"/>
    </row>
    <row r="209" spans="1:9" ht="13">
      <c r="A209" s="1"/>
      <c r="B209" s="1"/>
      <c r="C209" s="1"/>
      <c r="D209" s="1"/>
      <c r="E209" s="1"/>
      <c r="F209" s="1"/>
      <c r="G209" s="1"/>
      <c r="H209" s="1"/>
      <c r="I209" s="1"/>
    </row>
    <row r="210" spans="1:9" ht="13">
      <c r="A210" s="1"/>
      <c r="B210" s="1"/>
      <c r="C210" s="1"/>
      <c r="D210" s="1"/>
      <c r="E210" s="1"/>
      <c r="F210" s="1"/>
      <c r="G210" s="1"/>
      <c r="H210" s="1"/>
      <c r="I210" s="1"/>
    </row>
    <row r="211" spans="1:9" ht="13">
      <c r="A211" s="1"/>
      <c r="B211" s="1"/>
      <c r="C211" s="1"/>
      <c r="D211" s="1"/>
      <c r="E211" s="1"/>
      <c r="F211" s="1"/>
      <c r="G211" s="1"/>
      <c r="H211" s="1"/>
      <c r="I211" s="1"/>
    </row>
    <row r="212" spans="1:9" ht="13">
      <c r="A212" s="1"/>
      <c r="B212" s="1"/>
      <c r="C212" s="1"/>
      <c r="D212" s="1"/>
      <c r="E212" s="1"/>
      <c r="F212" s="1"/>
      <c r="G212" s="1"/>
      <c r="H212" s="1"/>
      <c r="I212" s="1"/>
    </row>
    <row r="213" spans="1:9" ht="13">
      <c r="A213" s="1"/>
      <c r="B213" s="1"/>
      <c r="C213" s="1"/>
      <c r="D213" s="1"/>
      <c r="E213" s="1"/>
      <c r="F213" s="1"/>
      <c r="G213" s="1"/>
      <c r="H213" s="1"/>
      <c r="I213" s="1"/>
    </row>
    <row r="214" spans="1:9" ht="13">
      <c r="A214" s="1"/>
      <c r="B214" s="1"/>
      <c r="C214" s="1"/>
      <c r="D214" s="1"/>
      <c r="E214" s="1"/>
      <c r="F214" s="1"/>
      <c r="G214" s="1"/>
      <c r="H214" s="1"/>
      <c r="I214" s="1"/>
    </row>
    <row r="215" spans="1:9" ht="13">
      <c r="A215" s="1"/>
      <c r="B215" s="1"/>
      <c r="C215" s="1"/>
      <c r="D215" s="1"/>
      <c r="E215" s="1"/>
      <c r="F215" s="1"/>
      <c r="G215" s="1"/>
      <c r="H215" s="1"/>
      <c r="I215" s="1"/>
    </row>
    <row r="216" spans="1:9" ht="13">
      <c r="A216" s="1"/>
      <c r="B216" s="1"/>
      <c r="C216" s="1"/>
      <c r="D216" s="1"/>
      <c r="E216" s="1"/>
      <c r="F216" s="1"/>
      <c r="G216" s="1"/>
      <c r="H216" s="1"/>
      <c r="I216" s="1"/>
    </row>
    <row r="217" spans="1:9" ht="13">
      <c r="A217" s="1"/>
      <c r="B217" s="1"/>
      <c r="C217" s="1"/>
      <c r="D217" s="1"/>
      <c r="E217" s="1"/>
      <c r="F217" s="1"/>
      <c r="G217" s="1"/>
      <c r="H217" s="1"/>
      <c r="I217" s="1"/>
    </row>
    <row r="218" spans="1:9" ht="13">
      <c r="A218" s="1"/>
      <c r="B218" s="1"/>
      <c r="C218" s="1"/>
      <c r="D218" s="1"/>
      <c r="E218" s="1"/>
      <c r="F218" s="1"/>
      <c r="G218" s="1"/>
      <c r="H218" s="1"/>
      <c r="I218" s="1"/>
    </row>
    <row r="219" spans="1:9" ht="13">
      <c r="A219" s="1"/>
      <c r="B219" s="1"/>
      <c r="C219" s="1"/>
      <c r="D219" s="1"/>
      <c r="E219" s="1"/>
      <c r="F219" s="1"/>
      <c r="G219" s="1"/>
      <c r="H219" s="1"/>
      <c r="I219" s="1"/>
    </row>
    <row r="220" spans="1:9" ht="13">
      <c r="A220" s="1"/>
      <c r="B220" s="1"/>
      <c r="C220" s="1"/>
      <c r="D220" s="1"/>
      <c r="E220" s="1"/>
      <c r="F220" s="1"/>
      <c r="G220" s="1"/>
      <c r="H220" s="1"/>
      <c r="I220" s="1"/>
    </row>
    <row r="221" spans="1:9" ht="13">
      <c r="A221" s="1"/>
      <c r="B221" s="1"/>
      <c r="C221" s="1"/>
      <c r="D221" s="1"/>
      <c r="E221" s="1"/>
      <c r="F221" s="1"/>
      <c r="G221" s="1"/>
      <c r="H221" s="1"/>
      <c r="I221" s="1"/>
    </row>
    <row r="222" spans="1:9" ht="13">
      <c r="A222" s="1"/>
      <c r="B222" s="1"/>
      <c r="C222" s="1"/>
      <c r="D222" s="1"/>
      <c r="E222" s="1"/>
      <c r="F222" s="1"/>
      <c r="G222" s="1"/>
      <c r="H222" s="1"/>
      <c r="I222" s="1"/>
    </row>
    <row r="223" spans="1:9" ht="13">
      <c r="A223" s="1"/>
      <c r="B223" s="1"/>
      <c r="C223" s="1"/>
      <c r="D223" s="1"/>
      <c r="E223" s="1"/>
      <c r="F223" s="1"/>
      <c r="G223" s="1"/>
      <c r="H223" s="1"/>
      <c r="I223" s="1"/>
    </row>
    <row r="224" spans="1:9" ht="13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3">
      <c r="A225" s="1"/>
      <c r="B225" s="1"/>
      <c r="C225" s="1"/>
      <c r="D225" s="1"/>
      <c r="E225" s="1"/>
      <c r="F225" s="1"/>
      <c r="G225" s="1"/>
      <c r="H225" s="1"/>
      <c r="I225" s="1"/>
    </row>
    <row r="226" spans="1:9" ht="13">
      <c r="A226" s="1"/>
      <c r="B226" s="1"/>
      <c r="C226" s="1"/>
      <c r="D226" s="1"/>
      <c r="E226" s="1"/>
      <c r="F226" s="1"/>
      <c r="G226" s="1"/>
      <c r="H226" s="1"/>
      <c r="I226" s="1"/>
    </row>
    <row r="227" spans="1:9" ht="13">
      <c r="A227" s="1"/>
      <c r="B227" s="1"/>
      <c r="C227" s="1"/>
      <c r="D227" s="1"/>
      <c r="E227" s="1"/>
      <c r="F227" s="1"/>
      <c r="G227" s="1"/>
      <c r="H227" s="1"/>
      <c r="I227" s="1"/>
    </row>
    <row r="228" spans="1:9" ht="13">
      <c r="A228" s="1"/>
      <c r="B228" s="1"/>
      <c r="C228" s="1"/>
      <c r="D228" s="1"/>
      <c r="E228" s="1"/>
      <c r="F228" s="1"/>
      <c r="G228" s="1"/>
      <c r="H228" s="1"/>
      <c r="I228" s="1"/>
    </row>
    <row r="229" spans="1:9" ht="13">
      <c r="A229" s="1"/>
      <c r="B229" s="1"/>
      <c r="C229" s="1"/>
      <c r="D229" s="1"/>
      <c r="E229" s="1"/>
      <c r="F229" s="1"/>
      <c r="G229" s="1"/>
      <c r="H229" s="1"/>
      <c r="I229" s="1"/>
    </row>
    <row r="230" spans="1:9" ht="13">
      <c r="A230" s="1"/>
      <c r="B230" s="1"/>
      <c r="C230" s="1"/>
      <c r="D230" s="1"/>
      <c r="E230" s="1"/>
      <c r="F230" s="1"/>
      <c r="G230" s="1"/>
      <c r="H230" s="1"/>
      <c r="I230" s="1"/>
    </row>
    <row r="231" spans="1:9" ht="13">
      <c r="A231" s="1"/>
      <c r="B231" s="1"/>
      <c r="C231" s="1"/>
      <c r="D231" s="1"/>
      <c r="E231" s="1"/>
      <c r="F231" s="1"/>
      <c r="G231" s="1"/>
      <c r="H231" s="1"/>
      <c r="I231" s="1"/>
    </row>
    <row r="232" spans="1:9" ht="13">
      <c r="A232" s="1"/>
      <c r="B232" s="1"/>
      <c r="C232" s="1"/>
      <c r="D232" s="1"/>
      <c r="E232" s="1"/>
      <c r="F232" s="1"/>
      <c r="G232" s="1"/>
      <c r="H232" s="1"/>
      <c r="I232" s="1"/>
    </row>
    <row r="233" spans="1:9" ht="13">
      <c r="A233" s="1"/>
      <c r="B233" s="1"/>
      <c r="C233" s="1"/>
      <c r="D233" s="1"/>
      <c r="E233" s="1"/>
      <c r="F233" s="1"/>
      <c r="G233" s="1"/>
      <c r="H233" s="1"/>
      <c r="I233" s="1"/>
    </row>
    <row r="234" spans="1:9" ht="13">
      <c r="A234" s="1"/>
      <c r="B234" s="1"/>
      <c r="C234" s="1"/>
      <c r="D234" s="1"/>
      <c r="E234" s="1"/>
      <c r="F234" s="1"/>
      <c r="G234" s="1"/>
      <c r="H234" s="1"/>
      <c r="I234" s="1"/>
    </row>
    <row r="235" spans="1:9" ht="13">
      <c r="A235" s="1"/>
      <c r="B235" s="1"/>
      <c r="C235" s="1"/>
      <c r="D235" s="1"/>
      <c r="E235" s="1"/>
      <c r="F235" s="1"/>
      <c r="G235" s="1"/>
      <c r="H235" s="1"/>
      <c r="I235" s="1"/>
    </row>
    <row r="236" spans="1:9" ht="13">
      <c r="A236" s="1"/>
      <c r="B236" s="1"/>
      <c r="C236" s="1"/>
      <c r="D236" s="1"/>
      <c r="E236" s="1"/>
      <c r="F236" s="1"/>
      <c r="G236" s="1"/>
      <c r="H236" s="1"/>
      <c r="I236" s="1"/>
    </row>
    <row r="237" spans="1:9" ht="13">
      <c r="A237" s="1"/>
      <c r="B237" s="1"/>
      <c r="C237" s="1"/>
      <c r="D237" s="1"/>
      <c r="E237" s="1"/>
      <c r="F237" s="1"/>
      <c r="G237" s="1"/>
      <c r="H237" s="1"/>
      <c r="I237" s="1"/>
    </row>
    <row r="238" spans="1:9" ht="13">
      <c r="A238" s="1"/>
      <c r="B238" s="1"/>
      <c r="C238" s="1"/>
      <c r="D238" s="1"/>
      <c r="E238" s="1"/>
      <c r="F238" s="1"/>
      <c r="G238" s="1"/>
      <c r="H238" s="1"/>
      <c r="I238" s="1"/>
    </row>
    <row r="239" spans="1:9" ht="13">
      <c r="A239" s="1"/>
      <c r="B239" s="1"/>
      <c r="C239" s="1"/>
      <c r="D239" s="1"/>
      <c r="E239" s="1"/>
      <c r="F239" s="1"/>
      <c r="G239" s="1"/>
      <c r="H239" s="1"/>
      <c r="I239" s="1"/>
    </row>
    <row r="240" spans="1:9" ht="13">
      <c r="A240" s="1"/>
      <c r="B240" s="1"/>
      <c r="C240" s="1"/>
      <c r="D240" s="1"/>
      <c r="E240" s="1"/>
      <c r="F240" s="1"/>
      <c r="G240" s="1"/>
      <c r="H240" s="1"/>
      <c r="I240" s="1"/>
    </row>
    <row r="241" spans="1:9" ht="13">
      <c r="A241" s="1"/>
      <c r="B241" s="1"/>
      <c r="C241" s="1"/>
      <c r="D241" s="1"/>
      <c r="E241" s="1"/>
      <c r="F241" s="1"/>
      <c r="G241" s="1"/>
      <c r="H241" s="1"/>
      <c r="I241" s="1"/>
    </row>
    <row r="242" spans="1:9" ht="13">
      <c r="A242" s="1"/>
      <c r="B242" s="1"/>
      <c r="C242" s="1"/>
      <c r="D242" s="1"/>
      <c r="E242" s="1"/>
      <c r="F242" s="1"/>
      <c r="G242" s="1"/>
      <c r="H242" s="1"/>
      <c r="I242" s="1"/>
    </row>
    <row r="243" spans="1:9" ht="13">
      <c r="A243" s="1"/>
      <c r="B243" s="1"/>
      <c r="C243" s="1"/>
      <c r="D243" s="1"/>
      <c r="E243" s="1"/>
      <c r="F243" s="1"/>
      <c r="G243" s="1"/>
      <c r="H243" s="1"/>
      <c r="I243" s="1"/>
    </row>
    <row r="244" spans="1:9" ht="13">
      <c r="A244" s="1"/>
      <c r="B244" s="1"/>
      <c r="C244" s="1"/>
      <c r="D244" s="1"/>
      <c r="E244" s="1"/>
      <c r="F244" s="1"/>
      <c r="G244" s="1"/>
      <c r="H244" s="1"/>
      <c r="I244" s="1"/>
    </row>
    <row r="245" spans="1:9" ht="13">
      <c r="A245" s="1"/>
      <c r="B245" s="1"/>
      <c r="C245" s="1"/>
      <c r="D245" s="1"/>
      <c r="E245" s="1"/>
      <c r="F245" s="1"/>
      <c r="G245" s="1"/>
      <c r="H245" s="1"/>
      <c r="I245" s="1"/>
    </row>
    <row r="246" spans="1:9" ht="13">
      <c r="A246" s="1"/>
      <c r="B246" s="1"/>
      <c r="C246" s="1"/>
      <c r="D246" s="1"/>
      <c r="E246" s="1"/>
      <c r="F246" s="1"/>
      <c r="G246" s="1"/>
      <c r="H246" s="1"/>
      <c r="I246" s="1"/>
    </row>
    <row r="247" spans="1:9" ht="13">
      <c r="A247" s="1"/>
      <c r="B247" s="1"/>
      <c r="C247" s="1"/>
      <c r="D247" s="1"/>
      <c r="E247" s="1"/>
      <c r="F247" s="1"/>
      <c r="G247" s="1"/>
      <c r="H247" s="1"/>
      <c r="I247" s="1"/>
    </row>
    <row r="248" spans="1:9" ht="13">
      <c r="A248" s="1"/>
      <c r="B248" s="1"/>
      <c r="C248" s="1"/>
      <c r="D248" s="1"/>
      <c r="E248" s="1"/>
      <c r="F248" s="1"/>
      <c r="G248" s="1"/>
      <c r="H248" s="1"/>
      <c r="I248" s="1"/>
    </row>
    <row r="249" spans="1:9" ht="13">
      <c r="A249" s="1"/>
      <c r="B249" s="1"/>
      <c r="C249" s="1"/>
      <c r="D249" s="1"/>
      <c r="E249" s="1"/>
      <c r="F249" s="1"/>
      <c r="G249" s="1"/>
      <c r="H249" s="1"/>
      <c r="I249" s="1"/>
    </row>
    <row r="250" spans="1:9" ht="13">
      <c r="A250" s="1"/>
      <c r="B250" s="1"/>
      <c r="C250" s="1"/>
      <c r="D250" s="1"/>
      <c r="E250" s="1"/>
      <c r="F250" s="1"/>
      <c r="G250" s="1"/>
      <c r="H250" s="1"/>
      <c r="I250" s="1"/>
    </row>
    <row r="251" spans="1:9" ht="13">
      <c r="A251" s="1"/>
      <c r="B251" s="1"/>
      <c r="C251" s="1"/>
      <c r="D251" s="1"/>
      <c r="E251" s="1"/>
      <c r="F251" s="1"/>
      <c r="G251" s="1"/>
      <c r="H251" s="1"/>
      <c r="I251" s="1"/>
    </row>
    <row r="252" spans="1:9" ht="13">
      <c r="A252" s="1"/>
      <c r="B252" s="1"/>
      <c r="C252" s="1"/>
      <c r="D252" s="1"/>
      <c r="E252" s="1"/>
      <c r="F252" s="1"/>
      <c r="G252" s="1"/>
      <c r="H252" s="1"/>
      <c r="I252" s="1"/>
    </row>
    <row r="253" spans="1:9" ht="13">
      <c r="A253" s="1"/>
      <c r="B253" s="1"/>
      <c r="C253" s="1"/>
      <c r="D253" s="1"/>
      <c r="E253" s="1"/>
      <c r="F253" s="1"/>
      <c r="G253" s="1"/>
      <c r="H253" s="1"/>
      <c r="I253" s="1"/>
    </row>
    <row r="254" spans="1:9" ht="13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3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3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3">
      <c r="A257" s="1"/>
      <c r="B257" s="1"/>
      <c r="C257" s="1"/>
      <c r="D257" s="1"/>
      <c r="E257" s="1"/>
      <c r="F257" s="1"/>
      <c r="G257" s="1"/>
      <c r="H257" s="1"/>
      <c r="I257" s="1"/>
    </row>
    <row r="258" spans="1:9" ht="13">
      <c r="A258" s="1"/>
      <c r="B258" s="1"/>
      <c r="C258" s="1"/>
      <c r="D258" s="1"/>
      <c r="E258" s="1"/>
      <c r="F258" s="1"/>
      <c r="G258" s="1"/>
      <c r="H258" s="1"/>
      <c r="I258" s="1"/>
    </row>
    <row r="259" spans="1:9" ht="13">
      <c r="A259" s="1"/>
      <c r="B259" s="1"/>
      <c r="C259" s="1"/>
      <c r="D259" s="1"/>
      <c r="E259" s="1"/>
      <c r="F259" s="1"/>
      <c r="G259" s="1"/>
      <c r="H259" s="1"/>
      <c r="I259" s="1"/>
    </row>
    <row r="260" spans="1:9" ht="13">
      <c r="A260" s="1"/>
      <c r="B260" s="1"/>
      <c r="C260" s="1"/>
      <c r="D260" s="1"/>
      <c r="E260" s="1"/>
      <c r="F260" s="1"/>
      <c r="G260" s="1"/>
      <c r="H260" s="1"/>
      <c r="I260" s="1"/>
    </row>
    <row r="261" spans="1:9" ht="13">
      <c r="A261" s="1"/>
      <c r="B261" s="1"/>
      <c r="C261" s="1"/>
      <c r="D261" s="1"/>
      <c r="E261" s="1"/>
      <c r="F261" s="1"/>
      <c r="G261" s="1"/>
      <c r="H261" s="1"/>
      <c r="I261" s="1"/>
    </row>
    <row r="262" spans="1:9" ht="13">
      <c r="A262" s="1"/>
      <c r="B262" s="1"/>
      <c r="C262" s="1"/>
      <c r="D262" s="1"/>
      <c r="E262" s="1"/>
      <c r="F262" s="1"/>
      <c r="G262" s="1"/>
      <c r="H262" s="1"/>
      <c r="I262" s="1"/>
    </row>
    <row r="263" spans="1:9" ht="13">
      <c r="A263" s="1"/>
      <c r="B263" s="1"/>
      <c r="C263" s="1"/>
      <c r="D263" s="1"/>
      <c r="E263" s="1"/>
      <c r="F263" s="1"/>
      <c r="G263" s="1"/>
      <c r="H263" s="1"/>
      <c r="I263" s="1"/>
    </row>
    <row r="264" spans="1:9" ht="13">
      <c r="A264" s="1"/>
      <c r="B264" s="1"/>
      <c r="C264" s="1"/>
      <c r="D264" s="1"/>
      <c r="E264" s="1"/>
      <c r="F264" s="1"/>
      <c r="G264" s="1"/>
      <c r="H264" s="1"/>
      <c r="I264" s="1"/>
    </row>
    <row r="265" spans="1:9" ht="13">
      <c r="A265" s="1"/>
      <c r="B265" s="1"/>
      <c r="C265" s="1"/>
      <c r="D265" s="1"/>
      <c r="E265" s="1"/>
      <c r="F265" s="1"/>
      <c r="G265" s="1"/>
      <c r="H265" s="1"/>
      <c r="I265" s="1"/>
    </row>
    <row r="266" spans="1:9" ht="13">
      <c r="A266" s="1"/>
      <c r="B266" s="1"/>
      <c r="C266" s="1"/>
      <c r="D266" s="1"/>
      <c r="E266" s="1"/>
      <c r="F266" s="1"/>
      <c r="G266" s="1"/>
      <c r="H266" s="1"/>
      <c r="I266" s="1"/>
    </row>
    <row r="267" spans="1:9" ht="13">
      <c r="A267" s="1"/>
      <c r="B267" s="1"/>
      <c r="C267" s="1"/>
      <c r="D267" s="1"/>
      <c r="E267" s="1"/>
      <c r="F267" s="1"/>
      <c r="G267" s="1"/>
      <c r="H267" s="1"/>
      <c r="I267" s="1"/>
    </row>
    <row r="268" spans="1:9" ht="13">
      <c r="A268" s="1"/>
      <c r="B268" s="1"/>
      <c r="C268" s="1"/>
      <c r="D268" s="1"/>
      <c r="E268" s="1"/>
      <c r="F268" s="1"/>
      <c r="G268" s="1"/>
      <c r="H268" s="1"/>
      <c r="I268" s="1"/>
    </row>
    <row r="269" spans="1:9" ht="13">
      <c r="A269" s="1"/>
      <c r="B269" s="1"/>
      <c r="C269" s="1"/>
      <c r="D269" s="1"/>
      <c r="E269" s="1"/>
      <c r="F269" s="1"/>
      <c r="G269" s="1"/>
      <c r="H269" s="1"/>
      <c r="I269" s="1"/>
    </row>
    <row r="270" spans="1:9" ht="13">
      <c r="A270" s="1"/>
      <c r="B270" s="1"/>
      <c r="C270" s="1"/>
      <c r="D270" s="1"/>
      <c r="E270" s="1"/>
      <c r="F270" s="1"/>
      <c r="G270" s="1"/>
      <c r="H270" s="1"/>
      <c r="I270" s="1"/>
    </row>
    <row r="271" spans="1:9" ht="13">
      <c r="A271" s="1"/>
      <c r="B271" s="1"/>
      <c r="C271" s="1"/>
      <c r="D271" s="1"/>
      <c r="E271" s="1"/>
      <c r="F271" s="1"/>
      <c r="G271" s="1"/>
      <c r="H271" s="1"/>
      <c r="I271" s="1"/>
    </row>
    <row r="272" spans="1:9" ht="13">
      <c r="A272" s="1"/>
      <c r="B272" s="1"/>
      <c r="C272" s="1"/>
      <c r="D272" s="1"/>
      <c r="E272" s="1"/>
      <c r="F272" s="1"/>
      <c r="G272" s="1"/>
      <c r="H272" s="1"/>
      <c r="I272" s="1"/>
    </row>
    <row r="273" spans="1:9" ht="13">
      <c r="A273" s="1"/>
      <c r="B273" s="1"/>
      <c r="C273" s="1"/>
      <c r="D273" s="1"/>
      <c r="E273" s="1"/>
      <c r="F273" s="1"/>
      <c r="G273" s="1"/>
      <c r="H273" s="1"/>
      <c r="I273" s="1"/>
    </row>
    <row r="274" spans="1:9" ht="13">
      <c r="A274" s="1"/>
      <c r="B274" s="1"/>
      <c r="C274" s="1"/>
      <c r="D274" s="1"/>
      <c r="E274" s="1"/>
      <c r="F274" s="1"/>
      <c r="G274" s="1"/>
      <c r="H274" s="1"/>
      <c r="I274" s="1"/>
    </row>
    <row r="275" spans="1:9" ht="13">
      <c r="A275" s="1"/>
      <c r="B275" s="1"/>
      <c r="C275" s="1"/>
      <c r="D275" s="1"/>
      <c r="E275" s="1"/>
      <c r="F275" s="1"/>
      <c r="G275" s="1"/>
      <c r="H275" s="1"/>
      <c r="I275" s="1"/>
    </row>
    <row r="276" spans="1:9" ht="13">
      <c r="A276" s="1"/>
      <c r="B276" s="1"/>
      <c r="C276" s="1"/>
      <c r="D276" s="1"/>
      <c r="E276" s="1"/>
      <c r="F276" s="1"/>
      <c r="G276" s="1"/>
      <c r="H276" s="1"/>
      <c r="I276" s="1"/>
    </row>
    <row r="277" spans="1:9" ht="13">
      <c r="A277" s="1"/>
      <c r="B277" s="1"/>
      <c r="C277" s="1"/>
      <c r="D277" s="1"/>
      <c r="E277" s="1"/>
      <c r="F277" s="1"/>
      <c r="G277" s="1"/>
      <c r="H277" s="1"/>
      <c r="I277" s="1"/>
    </row>
    <row r="278" spans="1:9" ht="13">
      <c r="A278" s="1"/>
      <c r="B278" s="1"/>
      <c r="C278" s="1"/>
      <c r="D278" s="1"/>
      <c r="E278" s="1"/>
      <c r="F278" s="1"/>
      <c r="G278" s="1"/>
      <c r="H278" s="1"/>
      <c r="I278" s="1"/>
    </row>
    <row r="279" spans="1:9" ht="13">
      <c r="A279" s="1"/>
      <c r="B279" s="1"/>
      <c r="C279" s="1"/>
      <c r="D279" s="1"/>
      <c r="E279" s="1"/>
      <c r="F279" s="1"/>
      <c r="G279" s="1"/>
      <c r="H279" s="1"/>
      <c r="I279" s="1"/>
    </row>
    <row r="280" spans="1:9" ht="13">
      <c r="A280" s="1"/>
      <c r="B280" s="1"/>
      <c r="C280" s="1"/>
      <c r="D280" s="1"/>
      <c r="E280" s="1"/>
      <c r="F280" s="1"/>
      <c r="G280" s="1"/>
      <c r="H280" s="1"/>
      <c r="I280" s="1"/>
    </row>
    <row r="281" spans="1:9" ht="13">
      <c r="A281" s="1"/>
      <c r="B281" s="1"/>
      <c r="C281" s="1"/>
      <c r="D281" s="1"/>
      <c r="E281" s="1"/>
      <c r="F281" s="1"/>
      <c r="G281" s="1"/>
      <c r="H281" s="1"/>
      <c r="I281" s="1"/>
    </row>
    <row r="282" spans="1:9" ht="13">
      <c r="A282" s="1"/>
      <c r="B282" s="1"/>
      <c r="C282" s="1"/>
      <c r="D282" s="1"/>
      <c r="E282" s="1"/>
      <c r="F282" s="1"/>
      <c r="G282" s="1"/>
      <c r="H282" s="1"/>
      <c r="I282" s="1"/>
    </row>
    <row r="283" spans="1:9" ht="13">
      <c r="A283" s="1"/>
      <c r="B283" s="1"/>
      <c r="C283" s="1"/>
      <c r="D283" s="1"/>
      <c r="E283" s="1"/>
      <c r="F283" s="1"/>
      <c r="G283" s="1"/>
      <c r="H283" s="1"/>
      <c r="I283" s="1"/>
    </row>
    <row r="284" spans="1:9" ht="13">
      <c r="A284" s="1"/>
      <c r="B284" s="1"/>
      <c r="C284" s="1"/>
      <c r="D284" s="1"/>
      <c r="E284" s="1"/>
      <c r="F284" s="1"/>
      <c r="G284" s="1"/>
      <c r="H284" s="1"/>
      <c r="I284" s="1"/>
    </row>
    <row r="285" spans="1:9" ht="13">
      <c r="A285" s="1"/>
      <c r="B285" s="1"/>
      <c r="C285" s="1"/>
      <c r="D285" s="1"/>
      <c r="E285" s="1"/>
      <c r="F285" s="1"/>
      <c r="G285" s="1"/>
      <c r="H285" s="1"/>
      <c r="I285" s="1"/>
    </row>
    <row r="286" spans="1:9" ht="13">
      <c r="A286" s="1"/>
      <c r="B286" s="1"/>
      <c r="C286" s="1"/>
      <c r="D286" s="1"/>
      <c r="E286" s="1"/>
      <c r="F286" s="1"/>
      <c r="G286" s="1"/>
      <c r="H286" s="1"/>
      <c r="I286" s="1"/>
    </row>
    <row r="287" spans="1:9" ht="13">
      <c r="A287" s="1"/>
      <c r="B287" s="1"/>
      <c r="C287" s="1"/>
      <c r="D287" s="1"/>
      <c r="E287" s="1"/>
      <c r="F287" s="1"/>
      <c r="G287" s="1"/>
      <c r="H287" s="1"/>
      <c r="I287" s="1"/>
    </row>
    <row r="288" spans="1:9" ht="13">
      <c r="A288" s="1"/>
      <c r="B288" s="1"/>
      <c r="C288" s="1"/>
      <c r="D288" s="1"/>
      <c r="E288" s="1"/>
      <c r="F288" s="1"/>
      <c r="G288" s="1"/>
      <c r="H288" s="1"/>
      <c r="I288" s="1"/>
    </row>
    <row r="289" spans="1:9" ht="13">
      <c r="A289" s="1"/>
      <c r="B289" s="1"/>
      <c r="C289" s="1"/>
      <c r="D289" s="1"/>
      <c r="E289" s="1"/>
      <c r="F289" s="1"/>
      <c r="G289" s="1"/>
      <c r="H289" s="1"/>
      <c r="I289" s="1"/>
    </row>
    <row r="290" spans="1:9" ht="13">
      <c r="A290" s="1"/>
      <c r="B290" s="1"/>
      <c r="C290" s="1"/>
      <c r="D290" s="1"/>
      <c r="E290" s="1"/>
      <c r="F290" s="1"/>
      <c r="G290" s="1"/>
      <c r="H290" s="1"/>
      <c r="I290" s="1"/>
    </row>
    <row r="291" spans="1:9" ht="13">
      <c r="A291" s="1"/>
      <c r="B291" s="1"/>
      <c r="C291" s="1"/>
      <c r="D291" s="1"/>
      <c r="E291" s="1"/>
      <c r="F291" s="1"/>
      <c r="G291" s="1"/>
      <c r="H291" s="1"/>
      <c r="I291" s="1"/>
    </row>
    <row r="292" spans="1:9" ht="13">
      <c r="A292" s="1"/>
      <c r="B292" s="1"/>
      <c r="C292" s="1"/>
      <c r="D292" s="1"/>
      <c r="E292" s="1"/>
      <c r="F292" s="1"/>
      <c r="G292" s="1"/>
      <c r="H292" s="1"/>
      <c r="I292" s="1"/>
    </row>
    <row r="293" spans="1:9" ht="13">
      <c r="A293" s="1"/>
      <c r="B293" s="1"/>
      <c r="C293" s="1"/>
      <c r="D293" s="1"/>
      <c r="E293" s="1"/>
      <c r="F293" s="1"/>
      <c r="G293" s="1"/>
      <c r="H293" s="1"/>
      <c r="I293" s="1"/>
    </row>
    <row r="294" spans="1:9" ht="13">
      <c r="A294" s="1"/>
      <c r="B294" s="1"/>
      <c r="C294" s="1"/>
      <c r="D294" s="1"/>
      <c r="E294" s="1"/>
      <c r="F294" s="1"/>
      <c r="G294" s="1"/>
      <c r="H294" s="1"/>
      <c r="I294" s="1"/>
    </row>
    <row r="295" spans="1:9" ht="13">
      <c r="A295" s="1"/>
      <c r="B295" s="1"/>
      <c r="C295" s="1"/>
      <c r="D295" s="1"/>
      <c r="E295" s="1"/>
      <c r="F295" s="1"/>
      <c r="G295" s="1"/>
      <c r="H295" s="1"/>
      <c r="I295" s="1"/>
    </row>
    <row r="296" spans="1:9" ht="13">
      <c r="A296" s="1"/>
      <c r="B296" s="1"/>
      <c r="C296" s="1"/>
      <c r="D296" s="1"/>
      <c r="E296" s="1"/>
      <c r="F296" s="1"/>
      <c r="G296" s="1"/>
      <c r="H296" s="1"/>
      <c r="I296" s="1"/>
    </row>
    <row r="297" spans="1:9" ht="13">
      <c r="A297" s="1"/>
      <c r="B297" s="1"/>
      <c r="C297" s="1"/>
      <c r="D297" s="1"/>
      <c r="E297" s="1"/>
      <c r="F297" s="1"/>
      <c r="G297" s="1"/>
      <c r="H297" s="1"/>
      <c r="I297" s="1"/>
    </row>
    <row r="298" spans="1:9" ht="13">
      <c r="A298" s="1"/>
      <c r="B298" s="1"/>
      <c r="C298" s="1"/>
      <c r="D298" s="1"/>
      <c r="E298" s="1"/>
      <c r="F298" s="1"/>
      <c r="G298" s="1"/>
      <c r="H298" s="1"/>
      <c r="I298" s="1"/>
    </row>
    <row r="299" spans="1:9" ht="13">
      <c r="A299" s="1"/>
      <c r="B299" s="1"/>
      <c r="C299" s="1"/>
      <c r="D299" s="1"/>
      <c r="E299" s="1"/>
      <c r="F299" s="1"/>
      <c r="G299" s="1"/>
      <c r="H299" s="1"/>
      <c r="I299" s="1"/>
    </row>
    <row r="300" spans="1:9" ht="13">
      <c r="A300" s="1"/>
      <c r="B300" s="1"/>
      <c r="C300" s="1"/>
      <c r="D300" s="1"/>
      <c r="E300" s="1"/>
      <c r="F300" s="1"/>
      <c r="G300" s="1"/>
      <c r="H300" s="1"/>
      <c r="I300" s="1"/>
    </row>
    <row r="301" spans="1:9" ht="13">
      <c r="A301" s="1"/>
      <c r="B301" s="1"/>
      <c r="C301" s="1"/>
      <c r="D301" s="1"/>
      <c r="E301" s="1"/>
      <c r="F301" s="1"/>
      <c r="G301" s="1"/>
      <c r="H301" s="1"/>
      <c r="I301" s="1"/>
    </row>
    <row r="302" spans="1:9" ht="13">
      <c r="A302" s="1"/>
      <c r="B302" s="1"/>
      <c r="C302" s="1"/>
      <c r="D302" s="1"/>
      <c r="E302" s="1"/>
      <c r="F302" s="1"/>
      <c r="G302" s="1"/>
      <c r="H302" s="1"/>
      <c r="I302" s="1"/>
    </row>
    <row r="303" spans="1:9" ht="13">
      <c r="A303" s="1"/>
      <c r="B303" s="1"/>
      <c r="C303" s="1"/>
      <c r="D303" s="1"/>
      <c r="E303" s="1"/>
      <c r="F303" s="1"/>
      <c r="G303" s="1"/>
      <c r="H303" s="1"/>
      <c r="I303" s="1"/>
    </row>
    <row r="304" spans="1:9" ht="13">
      <c r="A304" s="1"/>
      <c r="B304" s="1"/>
      <c r="C304" s="1"/>
      <c r="D304" s="1"/>
      <c r="E304" s="1"/>
      <c r="F304" s="1"/>
      <c r="G304" s="1"/>
      <c r="H304" s="1"/>
      <c r="I304" s="1"/>
    </row>
    <row r="305" spans="1:9" ht="13">
      <c r="A305" s="1"/>
      <c r="B305" s="1"/>
      <c r="C305" s="1"/>
      <c r="D305" s="1"/>
      <c r="E305" s="1"/>
      <c r="F305" s="1"/>
      <c r="G305" s="1"/>
      <c r="H305" s="1"/>
      <c r="I305" s="1"/>
    </row>
    <row r="306" spans="1:9" ht="13">
      <c r="A306" s="1"/>
      <c r="B306" s="1"/>
      <c r="C306" s="1"/>
      <c r="D306" s="1"/>
      <c r="E306" s="1"/>
      <c r="F306" s="1"/>
      <c r="G306" s="1"/>
      <c r="H306" s="1"/>
      <c r="I306" s="1"/>
    </row>
    <row r="307" spans="1:9" ht="13">
      <c r="A307" s="1"/>
      <c r="B307" s="1"/>
      <c r="C307" s="1"/>
      <c r="D307" s="1"/>
      <c r="E307" s="1"/>
      <c r="F307" s="1"/>
      <c r="G307" s="1"/>
      <c r="H307" s="1"/>
      <c r="I307" s="1"/>
    </row>
    <row r="308" spans="1:9" ht="13">
      <c r="A308" s="1"/>
      <c r="B308" s="1"/>
      <c r="C308" s="1"/>
      <c r="D308" s="1"/>
      <c r="E308" s="1"/>
      <c r="F308" s="1"/>
      <c r="G308" s="1"/>
      <c r="H308" s="1"/>
      <c r="I308" s="1"/>
    </row>
    <row r="309" spans="1:9" ht="13">
      <c r="A309" s="1"/>
      <c r="B309" s="1"/>
      <c r="C309" s="1"/>
      <c r="D309" s="1"/>
      <c r="E309" s="1"/>
      <c r="F309" s="1"/>
      <c r="G309" s="1"/>
      <c r="H309" s="1"/>
      <c r="I309" s="1"/>
    </row>
    <row r="310" spans="1:9" ht="13">
      <c r="A310" s="1"/>
      <c r="B310" s="1"/>
      <c r="C310" s="1"/>
      <c r="D310" s="1"/>
      <c r="E310" s="1"/>
      <c r="F310" s="1"/>
      <c r="G310" s="1"/>
      <c r="H310" s="1"/>
      <c r="I310" s="1"/>
    </row>
    <row r="311" spans="1:9" ht="13">
      <c r="A311" s="1"/>
      <c r="B311" s="1"/>
      <c r="C311" s="1"/>
      <c r="D311" s="1"/>
      <c r="E311" s="1"/>
      <c r="F311" s="1"/>
      <c r="G311" s="1"/>
      <c r="H311" s="1"/>
      <c r="I311" s="1"/>
    </row>
    <row r="312" spans="1:9" ht="13">
      <c r="A312" s="1"/>
      <c r="B312" s="1"/>
      <c r="C312" s="1"/>
      <c r="D312" s="1"/>
      <c r="E312" s="1"/>
      <c r="F312" s="1"/>
      <c r="G312" s="1"/>
      <c r="H312" s="1"/>
      <c r="I312" s="1"/>
    </row>
    <row r="313" spans="1:9" ht="13">
      <c r="A313" s="1"/>
      <c r="B313" s="1"/>
      <c r="C313" s="1"/>
      <c r="D313" s="1"/>
      <c r="E313" s="1"/>
      <c r="F313" s="1"/>
      <c r="G313" s="1"/>
      <c r="H313" s="1"/>
      <c r="I313" s="1"/>
    </row>
    <row r="314" spans="1:9" ht="13">
      <c r="A314" s="1"/>
      <c r="B314" s="1"/>
      <c r="C314" s="1"/>
      <c r="D314" s="1"/>
      <c r="E314" s="1"/>
      <c r="F314" s="1"/>
      <c r="G314" s="1"/>
      <c r="H314" s="1"/>
      <c r="I314" s="1"/>
    </row>
    <row r="315" spans="1:9" ht="13">
      <c r="A315" s="1"/>
      <c r="B315" s="1"/>
      <c r="C315" s="1"/>
      <c r="D315" s="1"/>
      <c r="E315" s="1"/>
      <c r="F315" s="1"/>
      <c r="G315" s="1"/>
      <c r="H315" s="1"/>
      <c r="I315" s="1"/>
    </row>
    <row r="316" spans="1:9" ht="13">
      <c r="A316" s="1"/>
      <c r="B316" s="1"/>
      <c r="C316" s="1"/>
      <c r="D316" s="1"/>
      <c r="E316" s="1"/>
      <c r="F316" s="1"/>
      <c r="G316" s="1"/>
      <c r="H316" s="1"/>
      <c r="I316" s="1"/>
    </row>
    <row r="317" spans="1:9" ht="13">
      <c r="A317" s="1"/>
      <c r="B317" s="1"/>
      <c r="C317" s="1"/>
      <c r="D317" s="1"/>
      <c r="E317" s="1"/>
      <c r="F317" s="1"/>
      <c r="G317" s="1"/>
      <c r="H317" s="1"/>
      <c r="I317" s="1"/>
    </row>
    <row r="318" spans="1:9" ht="13">
      <c r="A318" s="1"/>
      <c r="B318" s="1"/>
      <c r="C318" s="1"/>
      <c r="D318" s="1"/>
      <c r="E318" s="1"/>
      <c r="F318" s="1"/>
      <c r="G318" s="1"/>
      <c r="H318" s="1"/>
      <c r="I318" s="1"/>
    </row>
    <row r="319" spans="1:9" ht="13">
      <c r="A319" s="1"/>
      <c r="B319" s="1"/>
      <c r="C319" s="1"/>
      <c r="D319" s="1"/>
      <c r="E319" s="1"/>
      <c r="F319" s="1"/>
      <c r="G319" s="1"/>
      <c r="H319" s="1"/>
      <c r="I319" s="1"/>
    </row>
    <row r="320" spans="1:9" ht="13">
      <c r="A320" s="1"/>
      <c r="B320" s="1"/>
      <c r="C320" s="1"/>
      <c r="D320" s="1"/>
      <c r="E320" s="1"/>
      <c r="F320" s="1"/>
      <c r="G320" s="1"/>
      <c r="H320" s="1"/>
      <c r="I320" s="1"/>
    </row>
    <row r="321" spans="1:9" ht="13">
      <c r="A321" s="1"/>
      <c r="B321" s="1"/>
      <c r="C321" s="1"/>
      <c r="D321" s="1"/>
      <c r="E321" s="1"/>
      <c r="F321" s="1"/>
      <c r="G321" s="1"/>
      <c r="H321" s="1"/>
      <c r="I321" s="1"/>
    </row>
    <row r="322" spans="1:9" ht="13">
      <c r="A322" s="1"/>
      <c r="B322" s="1"/>
      <c r="C322" s="1"/>
      <c r="D322" s="1"/>
      <c r="E322" s="1"/>
      <c r="F322" s="1"/>
      <c r="G322" s="1"/>
      <c r="H322" s="1"/>
      <c r="I322" s="1"/>
    </row>
    <row r="323" spans="1:9" ht="13">
      <c r="A323" s="1"/>
      <c r="B323" s="1"/>
      <c r="C323" s="1"/>
      <c r="D323" s="1"/>
      <c r="E323" s="1"/>
      <c r="F323" s="1"/>
      <c r="G323" s="1"/>
      <c r="H323" s="1"/>
      <c r="I323" s="1"/>
    </row>
    <row r="324" spans="1:9" ht="13">
      <c r="A324" s="1"/>
      <c r="B324" s="1"/>
      <c r="C324" s="1"/>
      <c r="D324" s="1"/>
      <c r="E324" s="1"/>
      <c r="F324" s="1"/>
      <c r="G324" s="1"/>
      <c r="H324" s="1"/>
      <c r="I324" s="1"/>
    </row>
    <row r="325" spans="1:9" ht="13">
      <c r="A325" s="1"/>
      <c r="B325" s="1"/>
      <c r="C325" s="1"/>
      <c r="D325" s="1"/>
      <c r="E325" s="1"/>
      <c r="F325" s="1"/>
      <c r="G325" s="1"/>
      <c r="H325" s="1"/>
      <c r="I325" s="1"/>
    </row>
    <row r="326" spans="1:9" ht="13">
      <c r="A326" s="1"/>
      <c r="B326" s="1"/>
      <c r="C326" s="1"/>
      <c r="D326" s="1"/>
      <c r="E326" s="1"/>
      <c r="F326" s="1"/>
      <c r="G326" s="1"/>
      <c r="H326" s="1"/>
      <c r="I326" s="1"/>
    </row>
    <row r="327" spans="1:9" ht="13">
      <c r="A327" s="1"/>
      <c r="B327" s="1"/>
      <c r="C327" s="1"/>
      <c r="D327" s="1"/>
      <c r="E327" s="1"/>
      <c r="F327" s="1"/>
      <c r="G327" s="1"/>
      <c r="H327" s="1"/>
      <c r="I327" s="1"/>
    </row>
    <row r="328" spans="1:9" ht="13">
      <c r="A328" s="1"/>
      <c r="B328" s="1"/>
      <c r="C328" s="1"/>
      <c r="D328" s="1"/>
      <c r="E328" s="1"/>
      <c r="F328" s="1"/>
      <c r="G328" s="1"/>
      <c r="H328" s="1"/>
      <c r="I328" s="1"/>
    </row>
    <row r="329" spans="1:9" ht="13">
      <c r="A329" s="1"/>
      <c r="B329" s="1"/>
      <c r="C329" s="1"/>
      <c r="D329" s="1"/>
      <c r="E329" s="1"/>
      <c r="F329" s="1"/>
      <c r="G329" s="1"/>
      <c r="H329" s="1"/>
      <c r="I329" s="1"/>
    </row>
    <row r="330" spans="1:9" ht="13">
      <c r="A330" s="1"/>
      <c r="B330" s="1"/>
      <c r="C330" s="1"/>
      <c r="D330" s="1"/>
      <c r="E330" s="1"/>
      <c r="F330" s="1"/>
      <c r="G330" s="1"/>
      <c r="H330" s="1"/>
      <c r="I330" s="1"/>
    </row>
    <row r="331" spans="1:9" ht="13">
      <c r="A331" s="1"/>
      <c r="B331" s="1"/>
      <c r="C331" s="1"/>
      <c r="D331" s="1"/>
      <c r="E331" s="1"/>
      <c r="F331" s="1"/>
      <c r="G331" s="1"/>
      <c r="H331" s="1"/>
      <c r="I331" s="1"/>
    </row>
    <row r="332" spans="1:9" ht="13">
      <c r="A332" s="1"/>
      <c r="B332" s="1"/>
      <c r="C332" s="1"/>
      <c r="D332" s="1"/>
      <c r="E332" s="1"/>
      <c r="F332" s="1"/>
      <c r="G332" s="1"/>
      <c r="H332" s="1"/>
      <c r="I332" s="1"/>
    </row>
    <row r="333" spans="1:9" ht="13">
      <c r="A333" s="1"/>
      <c r="B333" s="1"/>
      <c r="C333" s="1"/>
      <c r="D333" s="1"/>
      <c r="E333" s="1"/>
      <c r="F333" s="1"/>
      <c r="G333" s="1"/>
      <c r="H333" s="1"/>
      <c r="I333" s="1"/>
    </row>
    <row r="334" spans="1:9" ht="13">
      <c r="A334" s="1"/>
      <c r="B334" s="1"/>
      <c r="C334" s="1"/>
      <c r="D334" s="1"/>
      <c r="E334" s="1"/>
      <c r="F334" s="1"/>
      <c r="G334" s="1"/>
      <c r="H334" s="1"/>
      <c r="I334" s="1"/>
    </row>
    <row r="335" spans="1:9" ht="13">
      <c r="A335" s="1"/>
      <c r="B335" s="1"/>
      <c r="C335" s="1"/>
      <c r="D335" s="1"/>
      <c r="E335" s="1"/>
      <c r="F335" s="1"/>
      <c r="G335" s="1"/>
      <c r="H335" s="1"/>
      <c r="I335" s="1"/>
    </row>
    <row r="336" spans="1:9" ht="13">
      <c r="A336" s="1"/>
      <c r="B336" s="1"/>
      <c r="C336" s="1"/>
      <c r="D336" s="1"/>
      <c r="E336" s="1"/>
      <c r="F336" s="1"/>
      <c r="G336" s="1"/>
      <c r="H336" s="1"/>
      <c r="I336" s="1"/>
    </row>
    <row r="337" spans="1:9" ht="13">
      <c r="A337" s="1"/>
      <c r="B337" s="1"/>
      <c r="C337" s="1"/>
      <c r="D337" s="1"/>
      <c r="E337" s="1"/>
      <c r="F337" s="1"/>
      <c r="G337" s="1"/>
      <c r="H337" s="1"/>
      <c r="I337" s="1"/>
    </row>
    <row r="338" spans="1:9" ht="13">
      <c r="A338" s="1"/>
      <c r="B338" s="1"/>
      <c r="C338" s="1"/>
      <c r="D338" s="1"/>
      <c r="E338" s="1"/>
      <c r="F338" s="1"/>
      <c r="G338" s="1"/>
      <c r="H338" s="1"/>
      <c r="I338" s="1"/>
    </row>
    <row r="339" spans="1:9" ht="13">
      <c r="A339" s="1"/>
      <c r="B339" s="1"/>
      <c r="C339" s="1"/>
      <c r="D339" s="1"/>
      <c r="E339" s="1"/>
      <c r="F339" s="1"/>
      <c r="G339" s="1"/>
      <c r="H339" s="1"/>
      <c r="I339" s="1"/>
    </row>
    <row r="340" spans="1:9" ht="13">
      <c r="A340" s="1"/>
      <c r="B340" s="1"/>
      <c r="C340" s="1"/>
      <c r="D340" s="1"/>
      <c r="E340" s="1"/>
      <c r="F340" s="1"/>
      <c r="G340" s="1"/>
      <c r="H340" s="1"/>
      <c r="I340" s="1"/>
    </row>
    <row r="341" spans="1:9" ht="13">
      <c r="A341" s="1"/>
      <c r="B341" s="1"/>
      <c r="C341" s="1"/>
      <c r="D341" s="1"/>
      <c r="E341" s="1"/>
      <c r="F341" s="1"/>
      <c r="G341" s="1"/>
      <c r="H341" s="1"/>
      <c r="I341" s="1"/>
    </row>
    <row r="342" spans="1:9" ht="13">
      <c r="A342" s="1"/>
      <c r="B342" s="1"/>
      <c r="C342" s="1"/>
      <c r="D342" s="1"/>
      <c r="E342" s="1"/>
      <c r="F342" s="1"/>
      <c r="G342" s="1"/>
      <c r="H342" s="1"/>
      <c r="I342" s="1"/>
    </row>
    <row r="343" spans="1:9" ht="13">
      <c r="A343" s="1"/>
      <c r="B343" s="1"/>
      <c r="C343" s="1"/>
      <c r="D343" s="1"/>
      <c r="E343" s="1"/>
      <c r="F343" s="1"/>
      <c r="G343" s="1"/>
      <c r="H343" s="1"/>
      <c r="I343" s="1"/>
    </row>
    <row r="344" spans="1:9" ht="13">
      <c r="A344" s="1"/>
      <c r="B344" s="1"/>
      <c r="C344" s="1"/>
      <c r="D344" s="1"/>
      <c r="E344" s="1"/>
      <c r="F344" s="1"/>
      <c r="G344" s="1"/>
      <c r="H344" s="1"/>
      <c r="I344" s="1"/>
    </row>
    <row r="345" spans="1:9" ht="13">
      <c r="A345" s="1"/>
      <c r="B345" s="1"/>
      <c r="C345" s="1"/>
      <c r="D345" s="1"/>
      <c r="E345" s="1"/>
      <c r="F345" s="1"/>
      <c r="G345" s="1"/>
      <c r="H345" s="1"/>
      <c r="I345" s="1"/>
    </row>
    <row r="346" spans="1:9" ht="13">
      <c r="A346" s="1"/>
      <c r="B346" s="1"/>
      <c r="C346" s="1"/>
      <c r="D346" s="1"/>
      <c r="E346" s="1"/>
      <c r="F346" s="1"/>
      <c r="G346" s="1"/>
      <c r="H346" s="1"/>
      <c r="I346" s="1"/>
    </row>
    <row r="347" spans="1:9" ht="13">
      <c r="A347" s="1"/>
      <c r="B347" s="1"/>
      <c r="C347" s="1"/>
      <c r="D347" s="1"/>
      <c r="E347" s="1"/>
      <c r="F347" s="1"/>
      <c r="G347" s="1"/>
      <c r="H347" s="1"/>
      <c r="I347" s="1"/>
    </row>
    <row r="348" spans="1:9" ht="13">
      <c r="A348" s="1"/>
      <c r="B348" s="1"/>
      <c r="C348" s="1"/>
      <c r="D348" s="1"/>
      <c r="E348" s="1"/>
      <c r="F348" s="1"/>
      <c r="G348" s="1"/>
      <c r="H348" s="1"/>
      <c r="I348" s="1"/>
    </row>
    <row r="349" spans="1:9" ht="13">
      <c r="A349" s="1"/>
      <c r="B349" s="1"/>
      <c r="C349" s="1"/>
      <c r="D349" s="1"/>
      <c r="E349" s="1"/>
      <c r="F349" s="1"/>
      <c r="G349" s="1"/>
      <c r="H349" s="1"/>
      <c r="I349" s="1"/>
    </row>
    <row r="350" spans="1:9" ht="13">
      <c r="A350" s="1"/>
      <c r="B350" s="1"/>
      <c r="C350" s="1"/>
      <c r="D350" s="1"/>
      <c r="E350" s="1"/>
      <c r="F350" s="1"/>
      <c r="G350" s="1"/>
      <c r="H350" s="1"/>
      <c r="I350" s="1"/>
    </row>
    <row r="351" spans="1:9" ht="13">
      <c r="A351" s="1"/>
      <c r="B351" s="1"/>
      <c r="C351" s="1"/>
      <c r="D351" s="1"/>
      <c r="E351" s="1"/>
      <c r="F351" s="1"/>
      <c r="G351" s="1"/>
      <c r="H351" s="1"/>
      <c r="I351" s="1"/>
    </row>
    <row r="352" spans="1:9" ht="13">
      <c r="A352" s="1"/>
      <c r="B352" s="1"/>
      <c r="C352" s="1"/>
      <c r="D352" s="1"/>
      <c r="E352" s="1"/>
      <c r="F352" s="1"/>
      <c r="G352" s="1"/>
      <c r="H352" s="1"/>
      <c r="I352" s="1"/>
    </row>
    <row r="353" spans="1:9" ht="13">
      <c r="A353" s="1"/>
      <c r="B353" s="1"/>
      <c r="C353" s="1"/>
      <c r="D353" s="1"/>
      <c r="E353" s="1"/>
      <c r="F353" s="1"/>
      <c r="G353" s="1"/>
      <c r="H353" s="1"/>
      <c r="I353" s="1"/>
    </row>
    <row r="354" spans="1:9" ht="13">
      <c r="A354" s="1"/>
      <c r="B354" s="1"/>
      <c r="C354" s="1"/>
      <c r="D354" s="1"/>
      <c r="E354" s="1"/>
      <c r="F354" s="1"/>
      <c r="G354" s="1"/>
      <c r="H354" s="1"/>
      <c r="I354" s="1"/>
    </row>
    <row r="355" spans="1:9" ht="13">
      <c r="A355" s="1"/>
      <c r="B355" s="1"/>
      <c r="C355" s="1"/>
      <c r="D355" s="1"/>
      <c r="E355" s="1"/>
      <c r="F355" s="1"/>
      <c r="G355" s="1"/>
      <c r="H355" s="1"/>
      <c r="I355" s="1"/>
    </row>
    <row r="356" spans="1:9" ht="13">
      <c r="A356" s="1"/>
      <c r="B356" s="1"/>
      <c r="C356" s="1"/>
      <c r="D356" s="1"/>
      <c r="E356" s="1"/>
      <c r="F356" s="1"/>
      <c r="G356" s="1"/>
      <c r="H356" s="1"/>
      <c r="I356" s="1"/>
    </row>
    <row r="357" spans="1:9" ht="13">
      <c r="A357" s="1"/>
      <c r="B357" s="1"/>
      <c r="C357" s="1"/>
      <c r="D357" s="1"/>
      <c r="E357" s="1"/>
      <c r="F357" s="1"/>
      <c r="G357" s="1"/>
      <c r="H357" s="1"/>
      <c r="I357" s="1"/>
    </row>
    <row r="358" spans="1:9" ht="13">
      <c r="A358" s="1"/>
      <c r="B358" s="1"/>
      <c r="C358" s="1"/>
      <c r="D358" s="1"/>
      <c r="E358" s="1"/>
      <c r="F358" s="1"/>
      <c r="G358" s="1"/>
      <c r="H358" s="1"/>
      <c r="I358" s="1"/>
    </row>
    <row r="359" spans="1:9" ht="13">
      <c r="A359" s="1"/>
      <c r="B359" s="1"/>
      <c r="C359" s="1"/>
      <c r="D359" s="1"/>
      <c r="E359" s="1"/>
      <c r="F359" s="1"/>
      <c r="G359" s="1"/>
      <c r="H359" s="1"/>
      <c r="I359" s="1"/>
    </row>
    <row r="360" spans="1:9" ht="13">
      <c r="A360" s="1"/>
      <c r="B360" s="1"/>
      <c r="C360" s="1"/>
      <c r="D360" s="1"/>
      <c r="E360" s="1"/>
      <c r="F360" s="1"/>
      <c r="G360" s="1"/>
      <c r="H360" s="1"/>
      <c r="I360" s="1"/>
    </row>
    <row r="361" spans="1:9" ht="13">
      <c r="A361" s="1"/>
      <c r="B361" s="1"/>
      <c r="C361" s="1"/>
      <c r="D361" s="1"/>
      <c r="E361" s="1"/>
      <c r="F361" s="1"/>
      <c r="G361" s="1"/>
      <c r="H361" s="1"/>
      <c r="I361" s="1"/>
    </row>
    <row r="362" spans="1:9" ht="13">
      <c r="A362" s="1"/>
      <c r="B362" s="1"/>
      <c r="C362" s="1"/>
      <c r="D362" s="1"/>
      <c r="E362" s="1"/>
      <c r="F362" s="1"/>
      <c r="G362" s="1"/>
      <c r="H362" s="1"/>
      <c r="I362" s="1"/>
    </row>
    <row r="363" spans="1:9" ht="13">
      <c r="A363" s="1"/>
      <c r="B363" s="1"/>
      <c r="C363" s="1"/>
      <c r="D363" s="1"/>
      <c r="E363" s="1"/>
      <c r="F363" s="1"/>
      <c r="G363" s="1"/>
      <c r="H363" s="1"/>
      <c r="I363" s="1"/>
    </row>
    <row r="364" spans="1:9" ht="13">
      <c r="A364" s="1"/>
      <c r="B364" s="1"/>
      <c r="C364" s="1"/>
      <c r="D364" s="1"/>
      <c r="E364" s="1"/>
      <c r="F364" s="1"/>
      <c r="G364" s="1"/>
      <c r="H364" s="1"/>
      <c r="I364" s="1"/>
    </row>
    <row r="365" spans="1:9" ht="13">
      <c r="A365" s="1"/>
      <c r="B365" s="1"/>
      <c r="C365" s="1"/>
      <c r="D365" s="1"/>
      <c r="E365" s="1"/>
      <c r="F365" s="1"/>
      <c r="G365" s="1"/>
      <c r="H365" s="1"/>
      <c r="I365" s="1"/>
    </row>
    <row r="366" spans="1:9" ht="13">
      <c r="A366" s="1"/>
      <c r="B366" s="1"/>
      <c r="C366" s="1"/>
      <c r="D366" s="1"/>
      <c r="E366" s="1"/>
      <c r="F366" s="1"/>
      <c r="G366" s="1"/>
      <c r="H366" s="1"/>
      <c r="I366" s="1"/>
    </row>
    <row r="367" spans="1:9" ht="13">
      <c r="A367" s="1"/>
      <c r="B367" s="1"/>
      <c r="C367" s="1"/>
      <c r="D367" s="1"/>
      <c r="E367" s="1"/>
      <c r="F367" s="1"/>
      <c r="G367" s="1"/>
      <c r="H367" s="1"/>
      <c r="I367" s="1"/>
    </row>
    <row r="368" spans="1:9" ht="13">
      <c r="A368" s="1"/>
      <c r="B368" s="1"/>
      <c r="C368" s="1"/>
      <c r="D368" s="1"/>
      <c r="E368" s="1"/>
      <c r="F368" s="1"/>
      <c r="G368" s="1"/>
      <c r="H368" s="1"/>
      <c r="I368" s="1"/>
    </row>
    <row r="369" spans="1:9" ht="13">
      <c r="A369" s="1"/>
      <c r="B369" s="1"/>
      <c r="C369" s="1"/>
      <c r="D369" s="1"/>
      <c r="E369" s="1"/>
      <c r="F369" s="1"/>
      <c r="G369" s="1"/>
      <c r="H369" s="1"/>
      <c r="I369" s="1"/>
    </row>
    <row r="370" spans="1:9" ht="13">
      <c r="A370" s="1"/>
      <c r="B370" s="1"/>
      <c r="C370" s="1"/>
      <c r="D370" s="1"/>
      <c r="E370" s="1"/>
      <c r="F370" s="1"/>
      <c r="G370" s="1"/>
      <c r="H370" s="1"/>
      <c r="I370" s="1"/>
    </row>
    <row r="371" spans="1:9" ht="13">
      <c r="A371" s="1"/>
      <c r="B371" s="1"/>
      <c r="C371" s="1"/>
      <c r="D371" s="1"/>
      <c r="E371" s="1"/>
      <c r="F371" s="1"/>
      <c r="G371" s="1"/>
      <c r="H371" s="1"/>
      <c r="I371" s="1"/>
    </row>
    <row r="372" spans="1:9" ht="13">
      <c r="A372" s="1"/>
      <c r="B372" s="1"/>
      <c r="C372" s="1"/>
      <c r="D372" s="1"/>
      <c r="E372" s="1"/>
      <c r="F372" s="1"/>
      <c r="G372" s="1"/>
      <c r="H372" s="1"/>
      <c r="I372" s="1"/>
    </row>
    <row r="373" spans="1:9" ht="13">
      <c r="A373" s="1"/>
      <c r="B373" s="1"/>
      <c r="C373" s="1"/>
      <c r="D373" s="1"/>
      <c r="E373" s="1"/>
      <c r="F373" s="1"/>
      <c r="G373" s="1"/>
      <c r="H373" s="1"/>
      <c r="I373" s="1"/>
    </row>
    <row r="374" spans="1:9" ht="13">
      <c r="A374" s="1"/>
      <c r="B374" s="1"/>
      <c r="C374" s="1"/>
      <c r="D374" s="1"/>
      <c r="E374" s="1"/>
      <c r="F374" s="1"/>
      <c r="G374" s="1"/>
      <c r="H374" s="1"/>
      <c r="I374" s="1"/>
    </row>
    <row r="375" spans="1:9" ht="13">
      <c r="A375" s="1"/>
      <c r="B375" s="1"/>
      <c r="C375" s="1"/>
      <c r="D375" s="1"/>
      <c r="E375" s="1"/>
      <c r="F375" s="1"/>
      <c r="G375" s="1"/>
      <c r="H375" s="1"/>
      <c r="I375" s="1"/>
    </row>
    <row r="376" spans="1:9" ht="13">
      <c r="A376" s="1"/>
      <c r="B376" s="1"/>
      <c r="C376" s="1"/>
      <c r="D376" s="1"/>
      <c r="E376" s="1"/>
      <c r="F376" s="1"/>
      <c r="G376" s="1"/>
      <c r="H376" s="1"/>
      <c r="I376" s="1"/>
    </row>
    <row r="377" spans="1:9" ht="13">
      <c r="A377" s="1"/>
      <c r="B377" s="1"/>
      <c r="C377" s="1"/>
      <c r="D377" s="1"/>
      <c r="E377" s="1"/>
      <c r="F377" s="1"/>
      <c r="G377" s="1"/>
      <c r="H377" s="1"/>
      <c r="I377" s="1"/>
    </row>
    <row r="378" spans="1:9" ht="13">
      <c r="A378" s="1"/>
      <c r="B378" s="1"/>
      <c r="C378" s="1"/>
      <c r="D378" s="1"/>
      <c r="E378" s="1"/>
      <c r="F378" s="1"/>
      <c r="G378" s="1"/>
      <c r="H378" s="1"/>
      <c r="I378" s="1"/>
    </row>
    <row r="379" spans="1:9" ht="13">
      <c r="A379" s="1"/>
      <c r="B379" s="1"/>
      <c r="C379" s="1"/>
      <c r="D379" s="1"/>
      <c r="E379" s="1"/>
      <c r="F379" s="1"/>
      <c r="G379" s="1"/>
      <c r="H379" s="1"/>
      <c r="I379" s="1"/>
    </row>
    <row r="380" spans="1:9" ht="13">
      <c r="A380" s="1"/>
      <c r="B380" s="1"/>
      <c r="C380" s="1"/>
      <c r="D380" s="1"/>
      <c r="E380" s="1"/>
      <c r="F380" s="1"/>
      <c r="G380" s="1"/>
      <c r="H380" s="1"/>
      <c r="I380" s="1"/>
    </row>
    <row r="381" spans="1:9" ht="13">
      <c r="A381" s="1"/>
      <c r="B381" s="1"/>
      <c r="C381" s="1"/>
      <c r="D381" s="1"/>
      <c r="E381" s="1"/>
      <c r="F381" s="1"/>
      <c r="G381" s="1"/>
      <c r="H381" s="1"/>
      <c r="I381" s="1"/>
    </row>
    <row r="382" spans="1:9" ht="13">
      <c r="A382" s="1"/>
      <c r="B382" s="1"/>
      <c r="C382" s="1"/>
      <c r="D382" s="1"/>
      <c r="E382" s="1"/>
      <c r="F382" s="1"/>
      <c r="G382" s="1"/>
      <c r="H382" s="1"/>
      <c r="I382" s="1"/>
    </row>
    <row r="383" spans="1:9" ht="13">
      <c r="A383" s="1"/>
      <c r="B383" s="1"/>
      <c r="C383" s="1"/>
      <c r="D383" s="1"/>
      <c r="E383" s="1"/>
      <c r="F383" s="1"/>
      <c r="G383" s="1"/>
      <c r="H383" s="1"/>
      <c r="I383" s="1"/>
    </row>
    <row r="384" spans="1:9" ht="13">
      <c r="A384" s="1"/>
      <c r="B384" s="1"/>
      <c r="C384" s="1"/>
      <c r="D384" s="1"/>
      <c r="E384" s="1"/>
      <c r="F384" s="1"/>
      <c r="G384" s="1"/>
      <c r="H384" s="1"/>
      <c r="I384" s="1"/>
    </row>
    <row r="385" spans="1:9" ht="13">
      <c r="A385" s="1"/>
      <c r="B385" s="1"/>
      <c r="C385" s="1"/>
      <c r="D385" s="1"/>
      <c r="E385" s="1"/>
      <c r="F385" s="1"/>
      <c r="G385" s="1"/>
      <c r="H385" s="1"/>
      <c r="I385" s="1"/>
    </row>
    <row r="386" spans="1:9" ht="13">
      <c r="A386" s="1"/>
      <c r="B386" s="1"/>
      <c r="C386" s="1"/>
      <c r="D386" s="1"/>
      <c r="E386" s="1"/>
      <c r="F386" s="1"/>
      <c r="G386" s="1"/>
      <c r="H386" s="1"/>
      <c r="I386" s="1"/>
    </row>
    <row r="387" spans="1:9" ht="13">
      <c r="A387" s="1"/>
      <c r="B387" s="1"/>
      <c r="C387" s="1"/>
      <c r="D387" s="1"/>
      <c r="E387" s="1"/>
      <c r="F387" s="1"/>
      <c r="G387" s="1"/>
      <c r="H387" s="1"/>
      <c r="I387" s="1"/>
    </row>
    <row r="388" spans="1:9" ht="13">
      <c r="A388" s="1"/>
      <c r="B388" s="1"/>
      <c r="C388" s="1"/>
      <c r="D388" s="1"/>
      <c r="E388" s="1"/>
      <c r="F388" s="1"/>
      <c r="G388" s="1"/>
      <c r="H388" s="1"/>
      <c r="I388" s="1"/>
    </row>
    <row r="389" spans="1:9" ht="13">
      <c r="A389" s="1"/>
      <c r="B389" s="1"/>
      <c r="C389" s="1"/>
      <c r="D389" s="1"/>
      <c r="E389" s="1"/>
      <c r="F389" s="1"/>
      <c r="G389" s="1"/>
      <c r="H389" s="1"/>
      <c r="I389" s="1"/>
    </row>
    <row r="390" spans="1:9" ht="13">
      <c r="A390" s="1"/>
      <c r="B390" s="1"/>
      <c r="C390" s="1"/>
      <c r="D390" s="1"/>
      <c r="E390" s="1"/>
      <c r="F390" s="1"/>
      <c r="G390" s="1"/>
      <c r="H390" s="1"/>
      <c r="I390" s="1"/>
    </row>
    <row r="391" spans="1:9" ht="13">
      <c r="A391" s="1"/>
      <c r="B391" s="1"/>
      <c r="C391" s="1"/>
      <c r="D391" s="1"/>
      <c r="E391" s="1"/>
      <c r="F391" s="1"/>
      <c r="G391" s="1"/>
      <c r="H391" s="1"/>
      <c r="I391" s="1"/>
    </row>
    <row r="392" spans="1:9" ht="13">
      <c r="A392" s="1"/>
      <c r="B392" s="1"/>
      <c r="C392" s="1"/>
      <c r="D392" s="1"/>
      <c r="E392" s="1"/>
      <c r="F392" s="1"/>
      <c r="G392" s="1"/>
      <c r="H392" s="1"/>
      <c r="I392" s="1"/>
    </row>
    <row r="393" spans="1:9" ht="13">
      <c r="A393" s="1"/>
      <c r="B393" s="1"/>
      <c r="C393" s="1"/>
      <c r="D393" s="1"/>
      <c r="E393" s="1"/>
      <c r="F393" s="1"/>
      <c r="G393" s="1"/>
      <c r="H393" s="1"/>
      <c r="I393" s="1"/>
    </row>
    <row r="394" spans="1:9" ht="13">
      <c r="A394" s="1"/>
      <c r="B394" s="1"/>
      <c r="C394" s="1"/>
      <c r="D394" s="1"/>
      <c r="E394" s="1"/>
      <c r="F394" s="1"/>
      <c r="G394" s="1"/>
      <c r="H394" s="1"/>
      <c r="I394" s="1"/>
    </row>
    <row r="395" spans="1:9" ht="13">
      <c r="A395" s="1"/>
      <c r="B395" s="1"/>
      <c r="C395" s="1"/>
      <c r="D395" s="1"/>
      <c r="E395" s="1"/>
      <c r="F395" s="1"/>
      <c r="G395" s="1"/>
      <c r="H395" s="1"/>
      <c r="I395" s="1"/>
    </row>
    <row r="396" spans="1:9" ht="13">
      <c r="A396" s="1"/>
      <c r="B396" s="1"/>
      <c r="C396" s="1"/>
      <c r="D396" s="1"/>
      <c r="E396" s="1"/>
      <c r="F396" s="1"/>
      <c r="G396" s="1"/>
      <c r="H396" s="1"/>
      <c r="I396" s="1"/>
    </row>
    <row r="397" spans="1:9" ht="13">
      <c r="A397" s="1"/>
      <c r="B397" s="1"/>
      <c r="C397" s="1"/>
      <c r="D397" s="1"/>
      <c r="E397" s="1"/>
      <c r="F397" s="1"/>
      <c r="G397" s="1"/>
      <c r="H397" s="1"/>
      <c r="I397" s="1"/>
    </row>
    <row r="398" spans="1:9" ht="13">
      <c r="A398" s="1"/>
      <c r="B398" s="1"/>
      <c r="C398" s="1"/>
      <c r="D398" s="1"/>
      <c r="E398" s="1"/>
      <c r="F398" s="1"/>
      <c r="G398" s="1"/>
      <c r="H398" s="1"/>
      <c r="I398" s="1"/>
    </row>
    <row r="399" spans="1:9" ht="13">
      <c r="A399" s="1"/>
      <c r="B399" s="1"/>
      <c r="C399" s="1"/>
      <c r="D399" s="1"/>
      <c r="E399" s="1"/>
      <c r="F399" s="1"/>
      <c r="G399" s="1"/>
      <c r="H399" s="1"/>
      <c r="I399" s="1"/>
    </row>
    <row r="400" spans="1:9" ht="13">
      <c r="A400" s="1"/>
      <c r="B400" s="1"/>
      <c r="C400" s="1"/>
      <c r="D400" s="1"/>
      <c r="E400" s="1"/>
      <c r="F400" s="1"/>
      <c r="G400" s="1"/>
      <c r="H400" s="1"/>
      <c r="I400" s="1"/>
    </row>
    <row r="401" spans="1:9" ht="13">
      <c r="A401" s="1"/>
      <c r="B401" s="1"/>
      <c r="C401" s="1"/>
      <c r="D401" s="1"/>
      <c r="E401" s="1"/>
      <c r="F401" s="1"/>
      <c r="G401" s="1"/>
      <c r="H401" s="1"/>
      <c r="I401" s="1"/>
    </row>
    <row r="402" spans="1:9" ht="13">
      <c r="A402" s="1"/>
      <c r="B402" s="1"/>
      <c r="C402" s="1"/>
      <c r="D402" s="1"/>
      <c r="E402" s="1"/>
      <c r="F402" s="1"/>
      <c r="G402" s="1"/>
      <c r="H402" s="1"/>
      <c r="I402" s="1"/>
    </row>
    <row r="403" spans="1:9" ht="13">
      <c r="A403" s="1"/>
      <c r="B403" s="1"/>
      <c r="C403" s="1"/>
      <c r="D403" s="1"/>
      <c r="E403" s="1"/>
      <c r="F403" s="1"/>
      <c r="G403" s="1"/>
      <c r="H403" s="1"/>
      <c r="I403" s="1"/>
    </row>
    <row r="404" spans="1:9" ht="13">
      <c r="A404" s="1"/>
      <c r="B404" s="1"/>
      <c r="C404" s="1"/>
      <c r="D404" s="1"/>
      <c r="E404" s="1"/>
      <c r="F404" s="1"/>
      <c r="G404" s="1"/>
      <c r="H404" s="1"/>
      <c r="I404" s="1"/>
    </row>
    <row r="405" spans="1:9" ht="13">
      <c r="A405" s="1"/>
      <c r="B405" s="1"/>
      <c r="C405" s="1"/>
      <c r="D405" s="1"/>
      <c r="E405" s="1"/>
      <c r="F405" s="1"/>
      <c r="G405" s="1"/>
      <c r="H405" s="1"/>
      <c r="I405" s="1"/>
    </row>
    <row r="406" spans="1:9" ht="13">
      <c r="A406" s="1"/>
      <c r="B406" s="1"/>
      <c r="C406" s="1"/>
      <c r="D406" s="1"/>
      <c r="E406" s="1"/>
      <c r="F406" s="1"/>
      <c r="G406" s="1"/>
      <c r="H406" s="1"/>
      <c r="I406" s="1"/>
    </row>
    <row r="407" spans="1:9" ht="13">
      <c r="A407" s="1"/>
      <c r="B407" s="1"/>
      <c r="C407" s="1"/>
      <c r="D407" s="1"/>
      <c r="E407" s="1"/>
      <c r="F407" s="1"/>
      <c r="G407" s="1"/>
      <c r="H407" s="1"/>
      <c r="I407" s="1"/>
    </row>
    <row r="408" spans="1:9" ht="13">
      <c r="A408" s="1"/>
      <c r="B408" s="1"/>
      <c r="C408" s="1"/>
      <c r="D408" s="1"/>
      <c r="E408" s="1"/>
      <c r="F408" s="1"/>
      <c r="G408" s="1"/>
      <c r="H408" s="1"/>
      <c r="I408" s="1"/>
    </row>
    <row r="409" spans="1:9" ht="13">
      <c r="A409" s="1"/>
      <c r="B409" s="1"/>
      <c r="C409" s="1"/>
      <c r="D409" s="1"/>
      <c r="E409" s="1"/>
      <c r="F409" s="1"/>
      <c r="G409" s="1"/>
      <c r="H409" s="1"/>
      <c r="I409" s="1"/>
    </row>
    <row r="410" spans="1:9" ht="13">
      <c r="A410" s="1"/>
      <c r="B410" s="1"/>
      <c r="C410" s="1"/>
      <c r="D410" s="1"/>
      <c r="E410" s="1"/>
      <c r="F410" s="1"/>
      <c r="G410" s="1"/>
      <c r="H410" s="1"/>
      <c r="I410" s="1"/>
    </row>
    <row r="411" spans="1:9" ht="13">
      <c r="A411" s="1"/>
      <c r="B411" s="1"/>
      <c r="C411" s="1"/>
      <c r="D411" s="1"/>
      <c r="E411" s="1"/>
      <c r="F411" s="1"/>
      <c r="G411" s="1"/>
      <c r="H411" s="1"/>
      <c r="I411" s="1"/>
    </row>
    <row r="412" spans="1:9" ht="13">
      <c r="A412" s="1"/>
      <c r="B412" s="1"/>
      <c r="C412" s="1"/>
      <c r="D412" s="1"/>
      <c r="E412" s="1"/>
      <c r="F412" s="1"/>
      <c r="G412" s="1"/>
      <c r="H412" s="1"/>
      <c r="I412" s="1"/>
    </row>
    <row r="413" spans="1:9" ht="13">
      <c r="A413" s="1"/>
      <c r="B413" s="1"/>
      <c r="C413" s="1"/>
      <c r="D413" s="1"/>
      <c r="E413" s="1"/>
      <c r="F413" s="1"/>
      <c r="G413" s="1"/>
      <c r="H413" s="1"/>
      <c r="I413" s="1"/>
    </row>
    <row r="414" spans="1:9" ht="13">
      <c r="A414" s="1"/>
      <c r="B414" s="1"/>
      <c r="C414" s="1"/>
      <c r="D414" s="1"/>
      <c r="E414" s="1"/>
      <c r="F414" s="1"/>
      <c r="G414" s="1"/>
      <c r="H414" s="1"/>
      <c r="I414" s="1"/>
    </row>
    <row r="415" spans="1:9" ht="13">
      <c r="A415" s="1"/>
      <c r="B415" s="1"/>
      <c r="C415" s="1"/>
      <c r="D415" s="1"/>
      <c r="E415" s="1"/>
      <c r="F415" s="1"/>
      <c r="G415" s="1"/>
      <c r="H415" s="1"/>
      <c r="I415" s="1"/>
    </row>
    <row r="416" spans="1:9" ht="13">
      <c r="A416" s="1"/>
      <c r="B416" s="1"/>
      <c r="C416" s="1"/>
      <c r="D416" s="1"/>
      <c r="E416" s="1"/>
      <c r="F416" s="1"/>
      <c r="G416" s="1"/>
      <c r="H416" s="1"/>
      <c r="I416" s="1"/>
    </row>
    <row r="417" spans="1:9" ht="13">
      <c r="A417" s="1"/>
      <c r="B417" s="1"/>
      <c r="C417" s="1"/>
      <c r="D417" s="1"/>
      <c r="E417" s="1"/>
      <c r="F417" s="1"/>
      <c r="G417" s="1"/>
      <c r="H417" s="1"/>
      <c r="I417" s="1"/>
    </row>
    <row r="418" spans="1:9" ht="13">
      <c r="A418" s="1"/>
      <c r="B418" s="1"/>
      <c r="C418" s="1"/>
      <c r="D418" s="1"/>
      <c r="E418" s="1"/>
      <c r="F418" s="1"/>
      <c r="G418" s="1"/>
      <c r="H418" s="1"/>
      <c r="I418" s="1"/>
    </row>
    <row r="419" spans="1:9" ht="13">
      <c r="A419" s="1"/>
      <c r="B419" s="1"/>
      <c r="C419" s="1"/>
      <c r="D419" s="1"/>
      <c r="E419" s="1"/>
      <c r="F419" s="1"/>
      <c r="G419" s="1"/>
      <c r="H419" s="1"/>
      <c r="I419" s="1"/>
    </row>
    <row r="420" spans="1:9" ht="13">
      <c r="A420" s="1"/>
      <c r="B420" s="1"/>
      <c r="C420" s="1"/>
      <c r="D420" s="1"/>
      <c r="E420" s="1"/>
      <c r="F420" s="1"/>
      <c r="G420" s="1"/>
      <c r="H420" s="1"/>
      <c r="I420" s="1"/>
    </row>
    <row r="421" spans="1:9" ht="13">
      <c r="A421" s="1"/>
      <c r="B421" s="1"/>
      <c r="C421" s="1"/>
      <c r="D421" s="1"/>
      <c r="E421" s="1"/>
      <c r="F421" s="1"/>
      <c r="G421" s="1"/>
      <c r="H421" s="1"/>
      <c r="I421" s="1"/>
    </row>
    <row r="422" spans="1:9" ht="13">
      <c r="A422" s="1"/>
      <c r="B422" s="1"/>
      <c r="C422" s="1"/>
      <c r="D422" s="1"/>
      <c r="E422" s="1"/>
      <c r="F422" s="1"/>
      <c r="G422" s="1"/>
      <c r="H422" s="1"/>
      <c r="I422" s="1"/>
    </row>
    <row r="423" spans="1:9" ht="13">
      <c r="A423" s="1"/>
      <c r="B423" s="1"/>
      <c r="C423" s="1"/>
      <c r="D423" s="1"/>
      <c r="E423" s="1"/>
      <c r="F423" s="1"/>
      <c r="G423" s="1"/>
      <c r="H423" s="1"/>
      <c r="I423" s="1"/>
    </row>
    <row r="424" spans="1:9" ht="13">
      <c r="A424" s="1"/>
      <c r="B424" s="1"/>
      <c r="C424" s="1"/>
      <c r="D424" s="1"/>
      <c r="E424" s="1"/>
      <c r="F424" s="1"/>
      <c r="G424" s="1"/>
      <c r="H424" s="1"/>
      <c r="I424" s="1"/>
    </row>
    <row r="425" spans="1:9" ht="13">
      <c r="A425" s="1"/>
      <c r="B425" s="1"/>
      <c r="C425" s="1"/>
      <c r="D425" s="1"/>
      <c r="E425" s="1"/>
      <c r="F425" s="1"/>
      <c r="G425" s="1"/>
      <c r="H425" s="1"/>
      <c r="I425" s="1"/>
    </row>
    <row r="426" spans="1:9" ht="13">
      <c r="A426" s="1"/>
      <c r="B426" s="1"/>
      <c r="C426" s="1"/>
      <c r="D426" s="1"/>
      <c r="E426" s="1"/>
      <c r="F426" s="1"/>
      <c r="G426" s="1"/>
      <c r="H426" s="1"/>
      <c r="I426" s="1"/>
    </row>
    <row r="427" spans="1:9" ht="13">
      <c r="A427" s="1"/>
      <c r="B427" s="1"/>
      <c r="C427" s="1"/>
      <c r="D427" s="1"/>
      <c r="E427" s="1"/>
      <c r="F427" s="1"/>
      <c r="G427" s="1"/>
      <c r="H427" s="1"/>
      <c r="I427" s="1"/>
    </row>
    <row r="428" spans="1:9" ht="13">
      <c r="A428" s="1"/>
      <c r="B428" s="1"/>
      <c r="C428" s="1"/>
      <c r="D428" s="1"/>
      <c r="E428" s="1"/>
      <c r="F428" s="1"/>
      <c r="G428" s="1"/>
      <c r="H428" s="1"/>
      <c r="I428" s="1"/>
    </row>
    <row r="429" spans="1:9" ht="13">
      <c r="A429" s="1"/>
      <c r="B429" s="1"/>
      <c r="C429" s="1"/>
      <c r="D429" s="1"/>
      <c r="E429" s="1"/>
      <c r="F429" s="1"/>
      <c r="G429" s="1"/>
      <c r="H429" s="1"/>
      <c r="I429" s="1"/>
    </row>
    <row r="430" spans="1:9" ht="13">
      <c r="A430" s="1"/>
      <c r="B430" s="1"/>
      <c r="C430" s="1"/>
      <c r="D430" s="1"/>
      <c r="E430" s="1"/>
      <c r="F430" s="1"/>
      <c r="G430" s="1"/>
      <c r="H430" s="1"/>
      <c r="I430" s="1"/>
    </row>
    <row r="431" spans="1:9" ht="13">
      <c r="A431" s="1"/>
      <c r="B431" s="1"/>
      <c r="C431" s="1"/>
      <c r="D431" s="1"/>
      <c r="E431" s="1"/>
      <c r="F431" s="1"/>
      <c r="G431" s="1"/>
      <c r="H431" s="1"/>
      <c r="I431" s="1"/>
    </row>
    <row r="432" spans="1:9" ht="13">
      <c r="A432" s="1"/>
      <c r="B432" s="1"/>
      <c r="C432" s="1"/>
      <c r="D432" s="1"/>
      <c r="E432" s="1"/>
      <c r="F432" s="1"/>
      <c r="G432" s="1"/>
      <c r="H432" s="1"/>
      <c r="I432" s="1"/>
    </row>
    <row r="433" spans="1:9" ht="13">
      <c r="A433" s="1"/>
      <c r="B433" s="1"/>
      <c r="C433" s="1"/>
      <c r="D433" s="1"/>
      <c r="E433" s="1"/>
      <c r="F433" s="1"/>
      <c r="G433" s="1"/>
      <c r="H433" s="1"/>
      <c r="I433" s="1"/>
    </row>
    <row r="434" spans="1:9" ht="13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3">
      <c r="A435" s="1"/>
      <c r="B435" s="1"/>
      <c r="C435" s="1"/>
      <c r="D435" s="1"/>
      <c r="E435" s="1"/>
      <c r="F435" s="1"/>
      <c r="G435" s="1"/>
      <c r="H435" s="1"/>
      <c r="I435" s="1"/>
    </row>
    <row r="436" spans="1:9" ht="13">
      <c r="A436" s="1"/>
      <c r="B436" s="1"/>
      <c r="C436" s="1"/>
      <c r="D436" s="1"/>
      <c r="E436" s="1"/>
      <c r="F436" s="1"/>
      <c r="G436" s="1"/>
      <c r="H436" s="1"/>
      <c r="I436" s="1"/>
    </row>
    <row r="437" spans="1:9" ht="13">
      <c r="A437" s="1"/>
      <c r="B437" s="1"/>
      <c r="C437" s="1"/>
      <c r="D437" s="1"/>
      <c r="E437" s="1"/>
      <c r="F437" s="1"/>
      <c r="G437" s="1"/>
      <c r="H437" s="1"/>
      <c r="I437" s="1"/>
    </row>
    <row r="438" spans="1:9" ht="13">
      <c r="A438" s="1"/>
      <c r="B438" s="1"/>
      <c r="C438" s="1"/>
      <c r="D438" s="1"/>
      <c r="E438" s="1"/>
      <c r="F438" s="1"/>
      <c r="G438" s="1"/>
      <c r="H438" s="1"/>
      <c r="I438" s="1"/>
    </row>
    <row r="439" spans="1:9" ht="13">
      <c r="A439" s="1"/>
      <c r="B439" s="1"/>
      <c r="C439" s="1"/>
      <c r="D439" s="1"/>
      <c r="E439" s="1"/>
      <c r="F439" s="1"/>
      <c r="G439" s="1"/>
      <c r="H439" s="1"/>
      <c r="I439" s="1"/>
    </row>
    <row r="440" spans="1:9" ht="13">
      <c r="A440" s="1"/>
      <c r="B440" s="1"/>
      <c r="C440" s="1"/>
      <c r="D440" s="1"/>
      <c r="E440" s="1"/>
      <c r="F440" s="1"/>
      <c r="G440" s="1"/>
      <c r="H440" s="1"/>
      <c r="I440" s="1"/>
    </row>
    <row r="441" spans="1:9" ht="13">
      <c r="A441" s="1"/>
      <c r="B441" s="1"/>
      <c r="C441" s="1"/>
      <c r="D441" s="1"/>
      <c r="E441" s="1"/>
      <c r="F441" s="1"/>
      <c r="G441" s="1"/>
      <c r="H441" s="1"/>
      <c r="I441" s="1"/>
    </row>
    <row r="442" spans="1:9" ht="13">
      <c r="A442" s="1"/>
      <c r="B442" s="1"/>
      <c r="C442" s="1"/>
      <c r="D442" s="1"/>
      <c r="E442" s="1"/>
      <c r="F442" s="1"/>
      <c r="G442" s="1"/>
      <c r="H442" s="1"/>
      <c r="I442" s="1"/>
    </row>
    <row r="443" spans="1:9" ht="13">
      <c r="A443" s="1"/>
      <c r="B443" s="1"/>
      <c r="C443" s="1"/>
      <c r="D443" s="1"/>
      <c r="E443" s="1"/>
      <c r="F443" s="1"/>
      <c r="G443" s="1"/>
      <c r="H443" s="1"/>
      <c r="I443" s="1"/>
    </row>
    <row r="444" spans="1:9" ht="13">
      <c r="A444" s="1"/>
      <c r="B444" s="1"/>
      <c r="C444" s="1"/>
      <c r="D444" s="1"/>
      <c r="E444" s="1"/>
      <c r="F444" s="1"/>
      <c r="G444" s="1"/>
      <c r="H444" s="1"/>
      <c r="I444" s="1"/>
    </row>
    <row r="445" spans="1:9" ht="13">
      <c r="A445" s="1"/>
      <c r="B445" s="1"/>
      <c r="C445" s="1"/>
      <c r="D445" s="1"/>
      <c r="E445" s="1"/>
      <c r="F445" s="1"/>
      <c r="G445" s="1"/>
      <c r="H445" s="1"/>
      <c r="I445" s="1"/>
    </row>
    <row r="446" spans="1:9" ht="13">
      <c r="A446" s="1"/>
      <c r="B446" s="1"/>
      <c r="C446" s="1"/>
      <c r="D446" s="1"/>
      <c r="E446" s="1"/>
      <c r="F446" s="1"/>
      <c r="G446" s="1"/>
      <c r="H446" s="1"/>
      <c r="I446" s="1"/>
    </row>
    <row r="447" spans="1:9" ht="13">
      <c r="A447" s="1"/>
      <c r="B447" s="1"/>
      <c r="C447" s="1"/>
      <c r="D447" s="1"/>
      <c r="E447" s="1"/>
      <c r="F447" s="1"/>
      <c r="G447" s="1"/>
      <c r="H447" s="1"/>
      <c r="I447" s="1"/>
    </row>
    <row r="448" spans="1:9" ht="13">
      <c r="A448" s="1"/>
      <c r="B448" s="1"/>
      <c r="C448" s="1"/>
      <c r="D448" s="1"/>
      <c r="E448" s="1"/>
      <c r="F448" s="1"/>
      <c r="G448" s="1"/>
      <c r="H448" s="1"/>
      <c r="I448" s="1"/>
    </row>
    <row r="449" spans="1:9" ht="13">
      <c r="A449" s="1"/>
      <c r="B449" s="1"/>
      <c r="C449" s="1"/>
      <c r="D449" s="1"/>
      <c r="E449" s="1"/>
      <c r="F449" s="1"/>
      <c r="G449" s="1"/>
      <c r="H449" s="1"/>
      <c r="I449" s="1"/>
    </row>
    <row r="450" spans="1:9" ht="13">
      <c r="A450" s="1"/>
      <c r="B450" s="1"/>
      <c r="C450" s="1"/>
      <c r="D450" s="1"/>
      <c r="E450" s="1"/>
      <c r="F450" s="1"/>
      <c r="G450" s="1"/>
      <c r="H450" s="1"/>
      <c r="I450" s="1"/>
    </row>
    <row r="451" spans="1:9" ht="13">
      <c r="A451" s="1"/>
      <c r="B451" s="1"/>
      <c r="C451" s="1"/>
      <c r="D451" s="1"/>
      <c r="E451" s="1"/>
      <c r="F451" s="1"/>
      <c r="G451" s="1"/>
      <c r="H451" s="1"/>
      <c r="I451" s="1"/>
    </row>
    <row r="452" spans="1:9" ht="13">
      <c r="A452" s="1"/>
      <c r="B452" s="1"/>
      <c r="C452" s="1"/>
      <c r="D452" s="1"/>
      <c r="E452" s="1"/>
      <c r="F452" s="1"/>
      <c r="G452" s="1"/>
      <c r="H452" s="1"/>
      <c r="I452" s="1"/>
    </row>
    <row r="453" spans="1:9" ht="13">
      <c r="A453" s="1"/>
      <c r="B453" s="1"/>
      <c r="C453" s="1"/>
      <c r="D453" s="1"/>
      <c r="E453" s="1"/>
      <c r="F453" s="1"/>
      <c r="G453" s="1"/>
      <c r="H453" s="1"/>
      <c r="I453" s="1"/>
    </row>
    <row r="454" spans="1:9" ht="13">
      <c r="A454" s="1"/>
      <c r="B454" s="1"/>
      <c r="C454" s="1"/>
      <c r="D454" s="1"/>
      <c r="E454" s="1"/>
      <c r="F454" s="1"/>
      <c r="G454" s="1"/>
      <c r="H454" s="1"/>
      <c r="I454" s="1"/>
    </row>
    <row r="455" spans="1:9" ht="13">
      <c r="A455" s="1"/>
      <c r="B455" s="1"/>
      <c r="C455" s="1"/>
      <c r="D455" s="1"/>
      <c r="E455" s="1"/>
      <c r="F455" s="1"/>
      <c r="G455" s="1"/>
      <c r="H455" s="1"/>
      <c r="I455" s="1"/>
    </row>
    <row r="456" spans="1:9" ht="13">
      <c r="A456" s="1"/>
      <c r="B456" s="1"/>
      <c r="C456" s="1"/>
      <c r="D456" s="1"/>
      <c r="E456" s="1"/>
      <c r="F456" s="1"/>
      <c r="G456" s="1"/>
      <c r="H456" s="1"/>
      <c r="I456" s="1"/>
    </row>
    <row r="457" spans="1:9" ht="13">
      <c r="A457" s="1"/>
      <c r="B457" s="1"/>
      <c r="C457" s="1"/>
      <c r="D457" s="1"/>
      <c r="E457" s="1"/>
      <c r="F457" s="1"/>
      <c r="G457" s="1"/>
      <c r="H457" s="1"/>
      <c r="I457" s="1"/>
    </row>
    <row r="458" spans="1:9" ht="13">
      <c r="A458" s="1"/>
      <c r="B458" s="1"/>
      <c r="C458" s="1"/>
      <c r="D458" s="1"/>
      <c r="E458" s="1"/>
      <c r="F458" s="1"/>
      <c r="G458" s="1"/>
      <c r="H458" s="1"/>
      <c r="I458" s="1"/>
    </row>
    <row r="459" spans="1:9" ht="13">
      <c r="A459" s="1"/>
      <c r="B459" s="1"/>
      <c r="C459" s="1"/>
      <c r="D459" s="1"/>
      <c r="E459" s="1"/>
      <c r="F459" s="1"/>
      <c r="G459" s="1"/>
      <c r="H459" s="1"/>
      <c r="I459" s="1"/>
    </row>
    <row r="460" spans="1:9" ht="13">
      <c r="A460" s="1"/>
      <c r="B460" s="1"/>
      <c r="C460" s="1"/>
      <c r="D460" s="1"/>
      <c r="E460" s="1"/>
      <c r="F460" s="1"/>
      <c r="G460" s="1"/>
      <c r="H460" s="1"/>
      <c r="I460" s="1"/>
    </row>
    <row r="461" spans="1:9" ht="13">
      <c r="A461" s="1"/>
      <c r="B461" s="1"/>
      <c r="C461" s="1"/>
      <c r="D461" s="1"/>
      <c r="E461" s="1"/>
      <c r="F461" s="1"/>
      <c r="G461" s="1"/>
      <c r="H461" s="1"/>
      <c r="I461" s="1"/>
    </row>
    <row r="462" spans="1:9" ht="13">
      <c r="A462" s="1"/>
      <c r="B462" s="1"/>
      <c r="C462" s="1"/>
      <c r="D462" s="1"/>
      <c r="E462" s="1"/>
      <c r="F462" s="1"/>
      <c r="G462" s="1"/>
      <c r="H462" s="1"/>
      <c r="I462" s="1"/>
    </row>
    <row r="463" spans="1:9" ht="13">
      <c r="A463" s="1"/>
      <c r="B463" s="1"/>
      <c r="C463" s="1"/>
      <c r="D463" s="1"/>
      <c r="E463" s="1"/>
      <c r="F463" s="1"/>
      <c r="G463" s="1"/>
      <c r="H463" s="1"/>
      <c r="I463" s="1"/>
    </row>
    <row r="464" spans="1:9" ht="13">
      <c r="A464" s="1"/>
      <c r="B464" s="1"/>
      <c r="C464" s="1"/>
      <c r="D464" s="1"/>
      <c r="E464" s="1"/>
      <c r="F464" s="1"/>
      <c r="G464" s="1"/>
      <c r="H464" s="1"/>
      <c r="I464" s="1"/>
    </row>
    <row r="465" spans="1:9" ht="13">
      <c r="A465" s="1"/>
      <c r="B465" s="1"/>
      <c r="C465" s="1"/>
      <c r="D465" s="1"/>
      <c r="E465" s="1"/>
      <c r="F465" s="1"/>
      <c r="G465" s="1"/>
      <c r="H465" s="1"/>
      <c r="I465" s="1"/>
    </row>
    <row r="466" spans="1:9" ht="13">
      <c r="A466" s="1"/>
      <c r="B466" s="1"/>
      <c r="C466" s="1"/>
      <c r="D466" s="1"/>
      <c r="E466" s="1"/>
      <c r="F466" s="1"/>
      <c r="G466" s="1"/>
      <c r="H466" s="1"/>
      <c r="I466" s="1"/>
    </row>
    <row r="467" spans="1:9" ht="13">
      <c r="A467" s="1"/>
      <c r="B467" s="1"/>
      <c r="C467" s="1"/>
      <c r="D467" s="1"/>
      <c r="E467" s="1"/>
      <c r="F467" s="1"/>
      <c r="G467" s="1"/>
      <c r="H467" s="1"/>
      <c r="I467" s="1"/>
    </row>
    <row r="468" spans="1:9" ht="13">
      <c r="A468" s="1"/>
      <c r="B468" s="1"/>
      <c r="C468" s="1"/>
      <c r="D468" s="1"/>
      <c r="E468" s="1"/>
      <c r="F468" s="1"/>
      <c r="G468" s="1"/>
      <c r="H468" s="1"/>
      <c r="I468" s="1"/>
    </row>
    <row r="469" spans="1:9" ht="13">
      <c r="A469" s="1"/>
      <c r="B469" s="1"/>
      <c r="C469" s="1"/>
      <c r="D469" s="1"/>
      <c r="E469" s="1"/>
      <c r="F469" s="1"/>
      <c r="G469" s="1"/>
      <c r="H469" s="1"/>
      <c r="I469" s="1"/>
    </row>
    <row r="470" spans="1:9" ht="13">
      <c r="A470" s="1"/>
      <c r="B470" s="1"/>
      <c r="C470" s="1"/>
      <c r="D470" s="1"/>
      <c r="E470" s="1"/>
      <c r="F470" s="1"/>
      <c r="G470" s="1"/>
      <c r="H470" s="1"/>
      <c r="I470" s="1"/>
    </row>
    <row r="471" spans="1:9" ht="13">
      <c r="A471" s="1"/>
      <c r="B471" s="1"/>
      <c r="C471" s="1"/>
      <c r="D471" s="1"/>
      <c r="E471" s="1"/>
      <c r="F471" s="1"/>
      <c r="G471" s="1"/>
      <c r="H471" s="1"/>
      <c r="I471" s="1"/>
    </row>
    <row r="472" spans="1:9" ht="13">
      <c r="A472" s="1"/>
      <c r="B472" s="1"/>
      <c r="C472" s="1"/>
      <c r="D472" s="1"/>
      <c r="E472" s="1"/>
      <c r="F472" s="1"/>
      <c r="G472" s="1"/>
      <c r="H472" s="1"/>
      <c r="I472" s="1"/>
    </row>
    <row r="473" spans="1:9" ht="13">
      <c r="A473" s="1"/>
      <c r="B473" s="1"/>
      <c r="C473" s="1"/>
      <c r="D473" s="1"/>
      <c r="E473" s="1"/>
      <c r="F473" s="1"/>
      <c r="G473" s="1"/>
      <c r="H473" s="1"/>
      <c r="I473" s="1"/>
    </row>
    <row r="474" spans="1:9" ht="13">
      <c r="A474" s="1"/>
      <c r="B474" s="1"/>
      <c r="C474" s="1"/>
      <c r="D474" s="1"/>
      <c r="E474" s="1"/>
      <c r="F474" s="1"/>
      <c r="G474" s="1"/>
      <c r="H474" s="1"/>
      <c r="I474" s="1"/>
    </row>
    <row r="475" spans="1:9" ht="13">
      <c r="A475" s="1"/>
      <c r="B475" s="1"/>
      <c r="C475" s="1"/>
      <c r="D475" s="1"/>
      <c r="E475" s="1"/>
      <c r="F475" s="1"/>
      <c r="G475" s="1"/>
      <c r="H475" s="1"/>
      <c r="I475" s="1"/>
    </row>
    <row r="476" spans="1:9" ht="13">
      <c r="A476" s="1"/>
      <c r="B476" s="1"/>
      <c r="C476" s="1"/>
      <c r="D476" s="1"/>
      <c r="E476" s="1"/>
      <c r="F476" s="1"/>
      <c r="G476" s="1"/>
      <c r="H476" s="1"/>
      <c r="I476" s="1"/>
    </row>
    <row r="477" spans="1:9" ht="13">
      <c r="A477" s="1"/>
      <c r="B477" s="1"/>
      <c r="C477" s="1"/>
      <c r="D477" s="1"/>
      <c r="E477" s="1"/>
      <c r="F477" s="1"/>
      <c r="G477" s="1"/>
      <c r="H477" s="1"/>
      <c r="I477" s="1"/>
    </row>
    <row r="478" spans="1:9" ht="13">
      <c r="A478" s="1"/>
      <c r="B478" s="1"/>
      <c r="C478" s="1"/>
      <c r="D478" s="1"/>
      <c r="E478" s="1"/>
      <c r="F478" s="1"/>
      <c r="G478" s="1"/>
      <c r="H478" s="1"/>
      <c r="I478" s="1"/>
    </row>
    <row r="479" spans="1:9" ht="13">
      <c r="A479" s="1"/>
      <c r="B479" s="1"/>
      <c r="C479" s="1"/>
      <c r="D479" s="1"/>
      <c r="E479" s="1"/>
      <c r="F479" s="1"/>
      <c r="G479" s="1"/>
      <c r="H479" s="1"/>
      <c r="I479" s="1"/>
    </row>
    <row r="480" spans="1:9" ht="13">
      <c r="A480" s="1"/>
      <c r="B480" s="1"/>
      <c r="C480" s="1"/>
      <c r="D480" s="1"/>
      <c r="E480" s="1"/>
      <c r="F480" s="1"/>
      <c r="G480" s="1"/>
      <c r="H480" s="1"/>
      <c r="I480" s="1"/>
    </row>
    <row r="481" spans="1:9" ht="13">
      <c r="A481" s="1"/>
      <c r="B481" s="1"/>
      <c r="C481" s="1"/>
      <c r="D481" s="1"/>
      <c r="E481" s="1"/>
      <c r="F481" s="1"/>
      <c r="G481" s="1"/>
      <c r="H481" s="1"/>
      <c r="I481" s="1"/>
    </row>
    <row r="482" spans="1:9" ht="13">
      <c r="A482" s="1"/>
      <c r="B482" s="1"/>
      <c r="C482" s="1"/>
      <c r="D482" s="1"/>
      <c r="E482" s="1"/>
      <c r="F482" s="1"/>
      <c r="G482" s="1"/>
      <c r="H482" s="1"/>
      <c r="I482" s="1"/>
    </row>
    <row r="483" spans="1:9" ht="13">
      <c r="A483" s="1"/>
      <c r="B483" s="1"/>
      <c r="C483" s="1"/>
      <c r="D483" s="1"/>
      <c r="E483" s="1"/>
      <c r="F483" s="1"/>
      <c r="G483" s="1"/>
      <c r="H483" s="1"/>
      <c r="I483" s="1"/>
    </row>
    <row r="484" spans="1:9" ht="13">
      <c r="A484" s="1"/>
      <c r="B484" s="1"/>
      <c r="C484" s="1"/>
      <c r="D484" s="1"/>
      <c r="E484" s="1"/>
      <c r="F484" s="1"/>
      <c r="G484" s="1"/>
      <c r="H484" s="1"/>
      <c r="I484" s="1"/>
    </row>
    <row r="485" spans="1:9" ht="13">
      <c r="A485" s="1"/>
      <c r="B485" s="1"/>
      <c r="C485" s="1"/>
      <c r="D485" s="1"/>
      <c r="E485" s="1"/>
      <c r="F485" s="1"/>
      <c r="G485" s="1"/>
      <c r="H485" s="1"/>
      <c r="I485" s="1"/>
    </row>
    <row r="486" spans="1:9" ht="13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3">
      <c r="A487" s="1"/>
      <c r="B487" s="1"/>
      <c r="C487" s="1"/>
      <c r="D487" s="1"/>
      <c r="E487" s="1"/>
      <c r="F487" s="1"/>
      <c r="G487" s="1"/>
      <c r="H487" s="1"/>
      <c r="I487" s="1"/>
    </row>
    <row r="488" spans="1:9" ht="13">
      <c r="A488" s="1"/>
      <c r="B488" s="1"/>
      <c r="C488" s="1"/>
      <c r="D488" s="1"/>
      <c r="E488" s="1"/>
      <c r="F488" s="1"/>
      <c r="G488" s="1"/>
      <c r="H488" s="1"/>
      <c r="I488" s="1"/>
    </row>
    <row r="489" spans="1:9" ht="13">
      <c r="A489" s="1"/>
      <c r="B489" s="1"/>
      <c r="C489" s="1"/>
      <c r="D489" s="1"/>
      <c r="E489" s="1"/>
      <c r="F489" s="1"/>
      <c r="G489" s="1"/>
      <c r="H489" s="1"/>
      <c r="I489" s="1"/>
    </row>
    <row r="490" spans="1:9" ht="13">
      <c r="A490" s="1"/>
      <c r="B490" s="1"/>
      <c r="C490" s="1"/>
      <c r="D490" s="1"/>
      <c r="E490" s="1"/>
      <c r="F490" s="1"/>
      <c r="G490" s="1"/>
      <c r="H490" s="1"/>
      <c r="I490" s="1"/>
    </row>
    <row r="491" spans="1:9" ht="13">
      <c r="A491" s="1"/>
      <c r="B491" s="1"/>
      <c r="C491" s="1"/>
      <c r="D491" s="1"/>
      <c r="E491" s="1"/>
      <c r="F491" s="1"/>
      <c r="G491" s="1"/>
      <c r="H491" s="1"/>
      <c r="I491" s="1"/>
    </row>
    <row r="492" spans="1:9" ht="13">
      <c r="A492" s="1"/>
      <c r="B492" s="1"/>
      <c r="C492" s="1"/>
      <c r="D492" s="1"/>
      <c r="E492" s="1"/>
      <c r="F492" s="1"/>
      <c r="G492" s="1"/>
      <c r="H492" s="1"/>
      <c r="I492" s="1"/>
    </row>
    <row r="493" spans="1:9" ht="13">
      <c r="A493" s="1"/>
      <c r="B493" s="1"/>
      <c r="C493" s="1"/>
      <c r="D493" s="1"/>
      <c r="E493" s="1"/>
      <c r="F493" s="1"/>
      <c r="G493" s="1"/>
      <c r="H493" s="1"/>
      <c r="I493" s="1"/>
    </row>
    <row r="494" spans="1:9" ht="13">
      <c r="A494" s="1"/>
      <c r="B494" s="1"/>
      <c r="C494" s="1"/>
      <c r="D494" s="1"/>
      <c r="E494" s="1"/>
      <c r="F494" s="1"/>
      <c r="G494" s="1"/>
      <c r="H494" s="1"/>
      <c r="I494" s="1"/>
    </row>
    <row r="495" spans="1:9" ht="13">
      <c r="A495" s="1"/>
      <c r="B495" s="1"/>
      <c r="C495" s="1"/>
      <c r="D495" s="1"/>
      <c r="E495" s="1"/>
      <c r="F495" s="1"/>
      <c r="G495" s="1"/>
      <c r="H495" s="1"/>
      <c r="I495" s="1"/>
    </row>
    <row r="496" spans="1:9" ht="13">
      <c r="A496" s="1"/>
      <c r="B496" s="1"/>
      <c r="C496" s="1"/>
      <c r="D496" s="1"/>
      <c r="E496" s="1"/>
      <c r="F496" s="1"/>
      <c r="G496" s="1"/>
      <c r="H496" s="1"/>
      <c r="I496" s="1"/>
    </row>
    <row r="497" spans="1:9" ht="13">
      <c r="A497" s="1"/>
      <c r="B497" s="1"/>
      <c r="C497" s="1"/>
      <c r="D497" s="1"/>
      <c r="E497" s="1"/>
      <c r="F497" s="1"/>
      <c r="G497" s="1"/>
      <c r="H497" s="1"/>
      <c r="I497" s="1"/>
    </row>
    <row r="498" spans="1:9" ht="13">
      <c r="A498" s="1"/>
      <c r="B498" s="1"/>
      <c r="C498" s="1"/>
      <c r="D498" s="1"/>
      <c r="E498" s="1"/>
      <c r="F498" s="1"/>
      <c r="G498" s="1"/>
      <c r="H498" s="1"/>
      <c r="I498" s="1"/>
    </row>
    <row r="499" spans="1:9" ht="13">
      <c r="A499" s="1"/>
      <c r="B499" s="1"/>
      <c r="C499" s="1"/>
      <c r="D499" s="1"/>
      <c r="E499" s="1"/>
      <c r="F499" s="1"/>
      <c r="G499" s="1"/>
      <c r="H499" s="1"/>
      <c r="I499" s="1"/>
    </row>
    <row r="500" spans="1:9" ht="13">
      <c r="A500" s="1"/>
      <c r="B500" s="1"/>
      <c r="C500" s="1"/>
      <c r="D500" s="1"/>
      <c r="E500" s="1"/>
      <c r="F500" s="1"/>
      <c r="G500" s="1"/>
      <c r="H500" s="1"/>
      <c r="I500" s="1"/>
    </row>
    <row r="501" spans="1:9" ht="13">
      <c r="A501" s="1"/>
      <c r="B501" s="1"/>
      <c r="C501" s="1"/>
      <c r="D501" s="1"/>
      <c r="E501" s="1"/>
      <c r="F501" s="1"/>
      <c r="G501" s="1"/>
      <c r="H501" s="1"/>
      <c r="I501" s="1"/>
    </row>
    <row r="502" spans="1:9" ht="13">
      <c r="A502" s="1"/>
      <c r="B502" s="1"/>
      <c r="C502" s="1"/>
      <c r="D502" s="1"/>
      <c r="E502" s="1"/>
      <c r="F502" s="1"/>
      <c r="G502" s="1"/>
      <c r="H502" s="1"/>
      <c r="I502" s="1"/>
    </row>
    <row r="503" spans="1:9" ht="13">
      <c r="A503" s="1"/>
      <c r="B503" s="1"/>
      <c r="C503" s="1"/>
      <c r="D503" s="1"/>
      <c r="E503" s="1"/>
      <c r="F503" s="1"/>
      <c r="G503" s="1"/>
      <c r="H503" s="1"/>
      <c r="I503" s="1"/>
    </row>
    <row r="504" spans="1:9" ht="13">
      <c r="A504" s="1"/>
      <c r="B504" s="1"/>
      <c r="C504" s="1"/>
      <c r="D504" s="1"/>
      <c r="E504" s="1"/>
      <c r="F504" s="1"/>
      <c r="G504" s="1"/>
      <c r="H504" s="1"/>
      <c r="I504" s="1"/>
    </row>
    <row r="505" spans="1:9" ht="13">
      <c r="A505" s="1"/>
      <c r="B505" s="1"/>
      <c r="C505" s="1"/>
      <c r="D505" s="1"/>
      <c r="E505" s="1"/>
      <c r="F505" s="1"/>
      <c r="G505" s="1"/>
      <c r="H505" s="1"/>
      <c r="I505" s="1"/>
    </row>
    <row r="506" spans="1:9" ht="13">
      <c r="A506" s="1"/>
      <c r="B506" s="1"/>
      <c r="C506" s="1"/>
      <c r="D506" s="1"/>
      <c r="E506" s="1"/>
      <c r="F506" s="1"/>
      <c r="G506" s="1"/>
      <c r="H506" s="1"/>
      <c r="I506" s="1"/>
    </row>
    <row r="507" spans="1:9" ht="13">
      <c r="A507" s="1"/>
      <c r="B507" s="1"/>
      <c r="C507" s="1"/>
      <c r="D507" s="1"/>
      <c r="E507" s="1"/>
      <c r="F507" s="1"/>
      <c r="G507" s="1"/>
      <c r="H507" s="1"/>
      <c r="I507" s="1"/>
    </row>
    <row r="508" spans="1:9" ht="13">
      <c r="A508" s="1"/>
      <c r="B508" s="1"/>
      <c r="C508" s="1"/>
      <c r="D508" s="1"/>
      <c r="E508" s="1"/>
      <c r="F508" s="1"/>
      <c r="G508" s="1"/>
      <c r="H508" s="1"/>
      <c r="I508" s="1"/>
    </row>
    <row r="509" spans="1:9" ht="13">
      <c r="A509" s="1"/>
      <c r="B509" s="1"/>
      <c r="C509" s="1"/>
      <c r="D509" s="1"/>
      <c r="E509" s="1"/>
      <c r="F509" s="1"/>
      <c r="G509" s="1"/>
      <c r="H509" s="1"/>
      <c r="I509" s="1"/>
    </row>
    <row r="510" spans="1:9" ht="13">
      <c r="A510" s="1"/>
      <c r="B510" s="1"/>
      <c r="C510" s="1"/>
      <c r="D510" s="1"/>
      <c r="E510" s="1"/>
      <c r="F510" s="1"/>
      <c r="G510" s="1"/>
      <c r="H510" s="1"/>
      <c r="I510" s="1"/>
    </row>
    <row r="511" spans="1:9" ht="13">
      <c r="A511" s="1"/>
      <c r="B511" s="1"/>
      <c r="C511" s="1"/>
      <c r="D511" s="1"/>
      <c r="E511" s="1"/>
      <c r="F511" s="1"/>
      <c r="G511" s="1"/>
      <c r="H511" s="1"/>
      <c r="I511" s="1"/>
    </row>
    <row r="512" spans="1:9" ht="13">
      <c r="A512" s="1"/>
      <c r="B512" s="1"/>
      <c r="C512" s="1"/>
      <c r="D512" s="1"/>
      <c r="E512" s="1"/>
      <c r="F512" s="1"/>
      <c r="G512" s="1"/>
      <c r="H512" s="1"/>
      <c r="I512" s="1"/>
    </row>
    <row r="513" spans="1:9" ht="13">
      <c r="A513" s="1"/>
      <c r="B513" s="1"/>
      <c r="C513" s="1"/>
      <c r="D513" s="1"/>
      <c r="E513" s="1"/>
      <c r="F513" s="1"/>
      <c r="G513" s="1"/>
      <c r="H513" s="1"/>
      <c r="I513" s="1"/>
    </row>
    <row r="514" spans="1:9" ht="13">
      <c r="A514" s="1"/>
      <c r="B514" s="1"/>
      <c r="C514" s="1"/>
      <c r="D514" s="1"/>
      <c r="E514" s="1"/>
      <c r="F514" s="1"/>
      <c r="G514" s="1"/>
      <c r="H514" s="1"/>
      <c r="I514" s="1"/>
    </row>
    <row r="515" spans="1:9" ht="13">
      <c r="A515" s="1"/>
      <c r="B515" s="1"/>
      <c r="C515" s="1"/>
      <c r="D515" s="1"/>
      <c r="E515" s="1"/>
      <c r="F515" s="1"/>
      <c r="G515" s="1"/>
      <c r="H515" s="1"/>
      <c r="I515" s="1"/>
    </row>
    <row r="516" spans="1:9" ht="13">
      <c r="A516" s="1"/>
      <c r="B516" s="1"/>
      <c r="C516" s="1"/>
      <c r="D516" s="1"/>
      <c r="E516" s="1"/>
      <c r="F516" s="1"/>
      <c r="G516" s="1"/>
      <c r="H516" s="1"/>
      <c r="I516" s="1"/>
    </row>
    <row r="517" spans="1:9" ht="13">
      <c r="A517" s="1"/>
      <c r="B517" s="1"/>
      <c r="C517" s="1"/>
      <c r="D517" s="1"/>
      <c r="E517" s="1"/>
      <c r="F517" s="1"/>
      <c r="G517" s="1"/>
      <c r="H517" s="1"/>
      <c r="I517" s="1"/>
    </row>
    <row r="518" spans="1:9" ht="13">
      <c r="A518" s="1"/>
      <c r="B518" s="1"/>
      <c r="C518" s="1"/>
      <c r="D518" s="1"/>
      <c r="E518" s="1"/>
      <c r="F518" s="1"/>
      <c r="G518" s="1"/>
      <c r="H518" s="1"/>
      <c r="I518" s="1"/>
    </row>
    <row r="519" spans="1:9" ht="13">
      <c r="A519" s="1"/>
      <c r="B519" s="1"/>
      <c r="C519" s="1"/>
      <c r="D519" s="1"/>
      <c r="E519" s="1"/>
      <c r="F519" s="1"/>
      <c r="G519" s="1"/>
      <c r="H519" s="1"/>
      <c r="I519" s="1"/>
    </row>
    <row r="520" spans="1:9" ht="13">
      <c r="A520" s="1"/>
      <c r="B520" s="1"/>
      <c r="C520" s="1"/>
      <c r="D520" s="1"/>
      <c r="E520" s="1"/>
      <c r="F520" s="1"/>
      <c r="G520" s="1"/>
      <c r="H520" s="1"/>
      <c r="I520" s="1"/>
    </row>
    <row r="521" spans="1:9" ht="13">
      <c r="A521" s="1"/>
      <c r="B521" s="1"/>
      <c r="C521" s="1"/>
      <c r="D521" s="1"/>
      <c r="E521" s="1"/>
      <c r="F521" s="1"/>
      <c r="G521" s="1"/>
      <c r="H521" s="1"/>
      <c r="I521" s="1"/>
    </row>
    <row r="522" spans="1:9" ht="13">
      <c r="A522" s="1"/>
      <c r="B522" s="1"/>
      <c r="C522" s="1"/>
      <c r="D522" s="1"/>
      <c r="E522" s="1"/>
      <c r="F522" s="1"/>
      <c r="G522" s="1"/>
      <c r="H522" s="1"/>
      <c r="I522" s="1"/>
    </row>
    <row r="523" spans="1:9" ht="13">
      <c r="A523" s="1"/>
      <c r="B523" s="1"/>
      <c r="C523" s="1"/>
      <c r="D523" s="1"/>
      <c r="E523" s="1"/>
      <c r="F523" s="1"/>
      <c r="G523" s="1"/>
      <c r="H523" s="1"/>
      <c r="I523" s="1"/>
    </row>
    <row r="524" spans="1:9" ht="13">
      <c r="A524" s="1"/>
      <c r="B524" s="1"/>
      <c r="C524" s="1"/>
      <c r="D524" s="1"/>
      <c r="E524" s="1"/>
      <c r="F524" s="1"/>
      <c r="G524" s="1"/>
      <c r="H524" s="1"/>
      <c r="I524" s="1"/>
    </row>
    <row r="525" spans="1:9" ht="13">
      <c r="A525" s="1"/>
      <c r="B525" s="1"/>
      <c r="C525" s="1"/>
      <c r="D525" s="1"/>
      <c r="E525" s="1"/>
      <c r="F525" s="1"/>
      <c r="G525" s="1"/>
      <c r="H525" s="1"/>
      <c r="I525" s="1"/>
    </row>
    <row r="526" spans="1:9" ht="13">
      <c r="A526" s="1"/>
      <c r="B526" s="1"/>
      <c r="C526" s="1"/>
      <c r="D526" s="1"/>
      <c r="E526" s="1"/>
      <c r="F526" s="1"/>
      <c r="G526" s="1"/>
      <c r="H526" s="1"/>
      <c r="I526" s="1"/>
    </row>
    <row r="527" spans="1:9" ht="13">
      <c r="A527" s="1"/>
      <c r="B527" s="1"/>
      <c r="C527" s="1"/>
      <c r="D527" s="1"/>
      <c r="E527" s="1"/>
      <c r="F527" s="1"/>
      <c r="G527" s="1"/>
      <c r="H527" s="1"/>
      <c r="I527" s="1"/>
    </row>
    <row r="528" spans="1:9" ht="13">
      <c r="A528" s="1"/>
      <c r="B528" s="1"/>
      <c r="C528" s="1"/>
      <c r="D528" s="1"/>
      <c r="E528" s="1"/>
      <c r="F528" s="1"/>
      <c r="G528" s="1"/>
      <c r="H528" s="1"/>
      <c r="I528" s="1"/>
    </row>
    <row r="529" spans="1:9" ht="13">
      <c r="A529" s="1"/>
      <c r="B529" s="1"/>
      <c r="C529" s="1"/>
      <c r="D529" s="1"/>
      <c r="E529" s="1"/>
      <c r="F529" s="1"/>
      <c r="G529" s="1"/>
      <c r="H529" s="1"/>
      <c r="I529" s="1"/>
    </row>
    <row r="530" spans="1:9" ht="13">
      <c r="A530" s="1"/>
      <c r="B530" s="1"/>
      <c r="C530" s="1"/>
      <c r="D530" s="1"/>
      <c r="E530" s="1"/>
      <c r="F530" s="1"/>
      <c r="G530" s="1"/>
      <c r="H530" s="1"/>
      <c r="I530" s="1"/>
    </row>
    <row r="531" spans="1:9" ht="13">
      <c r="A531" s="1"/>
      <c r="B531" s="1"/>
      <c r="C531" s="1"/>
      <c r="D531" s="1"/>
      <c r="E531" s="1"/>
      <c r="F531" s="1"/>
      <c r="G531" s="1"/>
      <c r="H531" s="1"/>
      <c r="I531" s="1"/>
    </row>
    <row r="532" spans="1:9" ht="13">
      <c r="A532" s="1"/>
      <c r="B532" s="1"/>
      <c r="C532" s="1"/>
      <c r="D532" s="1"/>
      <c r="E532" s="1"/>
      <c r="F532" s="1"/>
      <c r="G532" s="1"/>
      <c r="H532" s="1"/>
      <c r="I532" s="1"/>
    </row>
    <row r="533" spans="1:9" ht="13">
      <c r="A533" s="1"/>
      <c r="B533" s="1"/>
      <c r="C533" s="1"/>
      <c r="D533" s="1"/>
      <c r="E533" s="1"/>
      <c r="F533" s="1"/>
      <c r="G533" s="1"/>
      <c r="H533" s="1"/>
      <c r="I533" s="1"/>
    </row>
    <row r="534" spans="1:9" ht="13">
      <c r="A534" s="1"/>
      <c r="B534" s="1"/>
      <c r="C534" s="1"/>
      <c r="D534" s="1"/>
      <c r="E534" s="1"/>
      <c r="F534" s="1"/>
      <c r="G534" s="1"/>
      <c r="H534" s="1"/>
      <c r="I534" s="1"/>
    </row>
    <row r="535" spans="1:9" ht="13">
      <c r="A535" s="1"/>
      <c r="B535" s="1"/>
      <c r="C535" s="1"/>
      <c r="D535" s="1"/>
      <c r="E535" s="1"/>
      <c r="F535" s="1"/>
      <c r="G535" s="1"/>
      <c r="H535" s="1"/>
      <c r="I535" s="1"/>
    </row>
    <row r="536" spans="1:9" ht="13">
      <c r="A536" s="1"/>
      <c r="B536" s="1"/>
      <c r="C536" s="1"/>
      <c r="D536" s="1"/>
      <c r="E536" s="1"/>
      <c r="F536" s="1"/>
      <c r="G536" s="1"/>
      <c r="H536" s="1"/>
      <c r="I536" s="1"/>
    </row>
    <row r="537" spans="1:9" ht="13">
      <c r="A537" s="1"/>
      <c r="B537" s="1"/>
      <c r="C537" s="1"/>
      <c r="D537" s="1"/>
      <c r="E537" s="1"/>
      <c r="F537" s="1"/>
      <c r="G537" s="1"/>
      <c r="H537" s="1"/>
      <c r="I537" s="1"/>
    </row>
    <row r="538" spans="1:9" ht="13">
      <c r="A538" s="1"/>
      <c r="B538" s="1"/>
      <c r="C538" s="1"/>
      <c r="D538" s="1"/>
      <c r="E538" s="1"/>
      <c r="F538" s="1"/>
      <c r="G538" s="1"/>
      <c r="H538" s="1"/>
      <c r="I538" s="1"/>
    </row>
    <row r="539" spans="1:9" ht="13">
      <c r="A539" s="1"/>
      <c r="B539" s="1"/>
      <c r="C539" s="1"/>
      <c r="D539" s="1"/>
      <c r="E539" s="1"/>
      <c r="F539" s="1"/>
      <c r="G539" s="1"/>
      <c r="H539" s="1"/>
      <c r="I539" s="1"/>
    </row>
    <row r="540" spans="1:9" ht="13">
      <c r="A540" s="1"/>
      <c r="B540" s="1"/>
      <c r="C540" s="1"/>
      <c r="D540" s="1"/>
      <c r="E540" s="1"/>
      <c r="F540" s="1"/>
      <c r="G540" s="1"/>
      <c r="H540" s="1"/>
      <c r="I540" s="1"/>
    </row>
    <row r="541" spans="1:9" ht="13">
      <c r="A541" s="1"/>
      <c r="B541" s="1"/>
      <c r="C541" s="1"/>
      <c r="D541" s="1"/>
      <c r="E541" s="1"/>
      <c r="F541" s="1"/>
      <c r="G541" s="1"/>
      <c r="H541" s="1"/>
      <c r="I541" s="1"/>
    </row>
    <row r="542" spans="1:9" ht="13">
      <c r="A542" s="1"/>
      <c r="B542" s="1"/>
      <c r="C542" s="1"/>
      <c r="D542" s="1"/>
      <c r="E542" s="1"/>
      <c r="F542" s="1"/>
      <c r="G542" s="1"/>
      <c r="H542" s="1"/>
      <c r="I542" s="1"/>
    </row>
    <row r="543" spans="1:9" ht="13">
      <c r="A543" s="1"/>
      <c r="B543" s="1"/>
      <c r="C543" s="1"/>
      <c r="D543" s="1"/>
      <c r="E543" s="1"/>
      <c r="F543" s="1"/>
      <c r="G543" s="1"/>
      <c r="H543" s="1"/>
      <c r="I543" s="1"/>
    </row>
    <row r="544" spans="1:9" ht="13">
      <c r="A544" s="1"/>
      <c r="B544" s="1"/>
      <c r="C544" s="1"/>
      <c r="D544" s="1"/>
      <c r="E544" s="1"/>
      <c r="F544" s="1"/>
      <c r="G544" s="1"/>
      <c r="H544" s="1"/>
      <c r="I544" s="1"/>
    </row>
    <row r="545" spans="1:9" ht="13">
      <c r="A545" s="1"/>
      <c r="B545" s="1"/>
      <c r="C545" s="1"/>
      <c r="D545" s="1"/>
      <c r="E545" s="1"/>
      <c r="F545" s="1"/>
      <c r="G545" s="1"/>
      <c r="H545" s="1"/>
      <c r="I545" s="1"/>
    </row>
    <row r="546" spans="1:9" ht="13">
      <c r="A546" s="1"/>
      <c r="B546" s="1"/>
      <c r="C546" s="1"/>
      <c r="D546" s="1"/>
      <c r="E546" s="1"/>
      <c r="F546" s="1"/>
      <c r="G546" s="1"/>
      <c r="H546" s="1"/>
      <c r="I546" s="1"/>
    </row>
    <row r="547" spans="1:9" ht="13">
      <c r="A547" s="1"/>
      <c r="B547" s="1"/>
      <c r="C547" s="1"/>
      <c r="D547" s="1"/>
      <c r="E547" s="1"/>
      <c r="F547" s="1"/>
      <c r="G547" s="1"/>
      <c r="H547" s="1"/>
      <c r="I547" s="1"/>
    </row>
    <row r="548" spans="1:9" ht="13">
      <c r="A548" s="1"/>
      <c r="B548" s="1"/>
      <c r="C548" s="1"/>
      <c r="D548" s="1"/>
      <c r="E548" s="1"/>
      <c r="F548" s="1"/>
      <c r="G548" s="1"/>
      <c r="H548" s="1"/>
      <c r="I548" s="1"/>
    </row>
    <row r="549" spans="1:9" ht="13">
      <c r="A549" s="1"/>
      <c r="B549" s="1"/>
      <c r="C549" s="1"/>
      <c r="D549" s="1"/>
      <c r="E549" s="1"/>
      <c r="F549" s="1"/>
      <c r="G549" s="1"/>
      <c r="H549" s="1"/>
      <c r="I549" s="1"/>
    </row>
    <row r="550" spans="1:9" ht="13">
      <c r="A550" s="1"/>
      <c r="B550" s="1"/>
      <c r="C550" s="1"/>
      <c r="D550" s="1"/>
      <c r="E550" s="1"/>
      <c r="F550" s="1"/>
      <c r="G550" s="1"/>
      <c r="H550" s="1"/>
      <c r="I550" s="1"/>
    </row>
    <row r="551" spans="1:9" ht="13">
      <c r="A551" s="1"/>
      <c r="B551" s="1"/>
      <c r="C551" s="1"/>
      <c r="D551" s="1"/>
      <c r="E551" s="1"/>
      <c r="F551" s="1"/>
      <c r="G551" s="1"/>
      <c r="H551" s="1"/>
      <c r="I551" s="1"/>
    </row>
    <row r="552" spans="1:9" ht="13">
      <c r="A552" s="1"/>
      <c r="B552" s="1"/>
      <c r="C552" s="1"/>
      <c r="D552" s="1"/>
      <c r="E552" s="1"/>
      <c r="F552" s="1"/>
      <c r="G552" s="1"/>
      <c r="H552" s="1"/>
      <c r="I552" s="1"/>
    </row>
    <row r="553" spans="1:9" ht="13">
      <c r="A553" s="1"/>
      <c r="B553" s="1"/>
      <c r="C553" s="1"/>
      <c r="D553" s="1"/>
      <c r="E553" s="1"/>
      <c r="F553" s="1"/>
      <c r="G553" s="1"/>
      <c r="H553" s="1"/>
      <c r="I553" s="1"/>
    </row>
    <row r="554" spans="1:9" ht="13">
      <c r="A554" s="1"/>
      <c r="B554" s="1"/>
      <c r="C554" s="1"/>
      <c r="D554" s="1"/>
      <c r="E554" s="1"/>
      <c r="F554" s="1"/>
      <c r="G554" s="1"/>
      <c r="H554" s="1"/>
      <c r="I554" s="1"/>
    </row>
    <row r="555" spans="1:9" ht="13">
      <c r="A555" s="1"/>
      <c r="B555" s="1"/>
      <c r="C555" s="1"/>
      <c r="D555" s="1"/>
      <c r="E555" s="1"/>
      <c r="F555" s="1"/>
      <c r="G555" s="1"/>
      <c r="H555" s="1"/>
      <c r="I555" s="1"/>
    </row>
    <row r="556" spans="1:9" ht="13">
      <c r="A556" s="1"/>
      <c r="B556" s="1"/>
      <c r="C556" s="1"/>
      <c r="D556" s="1"/>
      <c r="E556" s="1"/>
      <c r="F556" s="1"/>
      <c r="G556" s="1"/>
      <c r="H556" s="1"/>
      <c r="I556" s="1"/>
    </row>
    <row r="557" spans="1:9" ht="13">
      <c r="A557" s="1"/>
      <c r="B557" s="1"/>
      <c r="C557" s="1"/>
      <c r="D557" s="1"/>
      <c r="E557" s="1"/>
      <c r="F557" s="1"/>
      <c r="G557" s="1"/>
      <c r="H557" s="1"/>
      <c r="I557" s="1"/>
    </row>
    <row r="558" spans="1:9" ht="13">
      <c r="A558" s="1"/>
      <c r="B558" s="1"/>
      <c r="C558" s="1"/>
      <c r="D558" s="1"/>
      <c r="E558" s="1"/>
      <c r="F558" s="1"/>
      <c r="G558" s="1"/>
      <c r="H558" s="1"/>
      <c r="I558" s="1"/>
    </row>
    <row r="559" spans="1:9" ht="13">
      <c r="A559" s="1"/>
      <c r="B559" s="1"/>
      <c r="C559" s="1"/>
      <c r="D559" s="1"/>
      <c r="E559" s="1"/>
      <c r="F559" s="1"/>
      <c r="G559" s="1"/>
      <c r="H559" s="1"/>
      <c r="I559" s="1"/>
    </row>
    <row r="560" spans="1:9" ht="13">
      <c r="A560" s="1"/>
      <c r="B560" s="1"/>
      <c r="C560" s="1"/>
      <c r="D560" s="1"/>
      <c r="E560" s="1"/>
      <c r="F560" s="1"/>
      <c r="G560" s="1"/>
      <c r="H560" s="1"/>
      <c r="I560" s="1"/>
    </row>
    <row r="561" spans="1:9" ht="13">
      <c r="A561" s="1"/>
      <c r="B561" s="1"/>
      <c r="C561" s="1"/>
      <c r="D561" s="1"/>
      <c r="E561" s="1"/>
      <c r="F561" s="1"/>
      <c r="G561" s="1"/>
      <c r="H561" s="1"/>
      <c r="I561" s="1"/>
    </row>
    <row r="562" spans="1:9" ht="13">
      <c r="A562" s="1"/>
      <c r="B562" s="1"/>
      <c r="C562" s="1"/>
      <c r="D562" s="1"/>
      <c r="E562" s="1"/>
      <c r="F562" s="1"/>
      <c r="G562" s="1"/>
      <c r="H562" s="1"/>
      <c r="I562" s="1"/>
    </row>
    <row r="563" spans="1:9" ht="13">
      <c r="A563" s="1"/>
      <c r="B563" s="1"/>
      <c r="C563" s="1"/>
      <c r="D563" s="1"/>
      <c r="E563" s="1"/>
      <c r="F563" s="1"/>
      <c r="G563" s="1"/>
      <c r="H563" s="1"/>
      <c r="I563" s="1"/>
    </row>
    <row r="564" spans="1:9" ht="13">
      <c r="A564" s="1"/>
      <c r="B564" s="1"/>
      <c r="C564" s="1"/>
      <c r="D564" s="1"/>
      <c r="E564" s="1"/>
      <c r="F564" s="1"/>
      <c r="G564" s="1"/>
      <c r="H564" s="1"/>
      <c r="I564" s="1"/>
    </row>
    <row r="565" spans="1:9" ht="13">
      <c r="A565" s="1"/>
      <c r="B565" s="1"/>
      <c r="C565" s="1"/>
      <c r="D565" s="1"/>
      <c r="E565" s="1"/>
      <c r="F565" s="1"/>
      <c r="G565" s="1"/>
      <c r="H565" s="1"/>
      <c r="I565" s="1"/>
    </row>
    <row r="566" spans="1:9" ht="13">
      <c r="A566" s="1"/>
      <c r="B566" s="1"/>
      <c r="C566" s="1"/>
      <c r="D566" s="1"/>
      <c r="E566" s="1"/>
      <c r="F566" s="1"/>
      <c r="G566" s="1"/>
      <c r="H566" s="1"/>
      <c r="I566" s="1"/>
    </row>
    <row r="567" spans="1:9" ht="13">
      <c r="A567" s="1"/>
      <c r="B567" s="1"/>
      <c r="C567" s="1"/>
      <c r="D567" s="1"/>
      <c r="E567" s="1"/>
      <c r="F567" s="1"/>
      <c r="G567" s="1"/>
      <c r="H567" s="1"/>
      <c r="I567" s="1"/>
    </row>
    <row r="568" spans="1:9" ht="13">
      <c r="A568" s="1"/>
      <c r="B568" s="1"/>
      <c r="C568" s="1"/>
      <c r="D568" s="1"/>
      <c r="E568" s="1"/>
      <c r="F568" s="1"/>
      <c r="G568" s="1"/>
      <c r="H568" s="1"/>
      <c r="I568" s="1"/>
    </row>
    <row r="569" spans="1:9" ht="13">
      <c r="A569" s="1"/>
      <c r="B569" s="1"/>
      <c r="C569" s="1"/>
      <c r="D569" s="1"/>
      <c r="E569" s="1"/>
      <c r="F569" s="1"/>
      <c r="G569" s="1"/>
      <c r="H569" s="1"/>
      <c r="I569" s="1"/>
    </row>
    <row r="570" spans="1:9" ht="13">
      <c r="A570" s="1"/>
      <c r="B570" s="1"/>
      <c r="C570" s="1"/>
      <c r="D570" s="1"/>
      <c r="E570" s="1"/>
      <c r="F570" s="1"/>
      <c r="G570" s="1"/>
      <c r="H570" s="1"/>
      <c r="I570" s="1"/>
    </row>
    <row r="571" spans="1:9" ht="13">
      <c r="A571" s="1"/>
      <c r="B571" s="1"/>
      <c r="C571" s="1"/>
      <c r="D571" s="1"/>
      <c r="E571" s="1"/>
      <c r="F571" s="1"/>
      <c r="G571" s="1"/>
      <c r="H571" s="1"/>
      <c r="I571" s="1"/>
    </row>
    <row r="572" spans="1:9" ht="13">
      <c r="A572" s="1"/>
      <c r="B572" s="1"/>
      <c r="C572" s="1"/>
      <c r="D572" s="1"/>
      <c r="E572" s="1"/>
      <c r="F572" s="1"/>
      <c r="G572" s="1"/>
      <c r="H572" s="1"/>
      <c r="I572" s="1"/>
    </row>
    <row r="573" spans="1:9" ht="13">
      <c r="A573" s="1"/>
      <c r="B573" s="1"/>
      <c r="C573" s="1"/>
      <c r="D573" s="1"/>
      <c r="E573" s="1"/>
      <c r="F573" s="1"/>
      <c r="G573" s="1"/>
      <c r="H573" s="1"/>
      <c r="I573" s="1"/>
    </row>
    <row r="574" spans="1:9" ht="13">
      <c r="A574" s="1"/>
      <c r="B574" s="1"/>
      <c r="C574" s="1"/>
      <c r="D574" s="1"/>
      <c r="E574" s="1"/>
      <c r="F574" s="1"/>
      <c r="G574" s="1"/>
      <c r="H574" s="1"/>
      <c r="I574" s="1"/>
    </row>
    <row r="575" spans="1:9" ht="13">
      <c r="A575" s="1"/>
      <c r="B575" s="1"/>
      <c r="C575" s="1"/>
      <c r="D575" s="1"/>
      <c r="E575" s="1"/>
      <c r="F575" s="1"/>
      <c r="G575" s="1"/>
      <c r="H575" s="1"/>
      <c r="I575" s="1"/>
    </row>
    <row r="576" spans="1:9" ht="13">
      <c r="A576" s="1"/>
      <c r="B576" s="1"/>
      <c r="C576" s="1"/>
      <c r="D576" s="1"/>
      <c r="E576" s="1"/>
      <c r="F576" s="1"/>
      <c r="G576" s="1"/>
      <c r="H576" s="1"/>
      <c r="I576" s="1"/>
    </row>
    <row r="577" spans="1:9" ht="13">
      <c r="A577" s="1"/>
      <c r="B577" s="1"/>
      <c r="C577" s="1"/>
      <c r="D577" s="1"/>
      <c r="E577" s="1"/>
      <c r="F577" s="1"/>
      <c r="G577" s="1"/>
      <c r="H577" s="1"/>
      <c r="I577" s="1"/>
    </row>
    <row r="578" spans="1:9" ht="13">
      <c r="A578" s="1"/>
      <c r="B578" s="1"/>
      <c r="C578" s="1"/>
      <c r="D578" s="1"/>
      <c r="E578" s="1"/>
      <c r="F578" s="1"/>
      <c r="G578" s="1"/>
      <c r="H578" s="1"/>
      <c r="I578" s="1"/>
    </row>
    <row r="579" spans="1:9" ht="13">
      <c r="A579" s="1"/>
      <c r="B579" s="1"/>
      <c r="C579" s="1"/>
      <c r="D579" s="1"/>
      <c r="E579" s="1"/>
      <c r="F579" s="1"/>
      <c r="G579" s="1"/>
      <c r="H579" s="1"/>
      <c r="I579" s="1"/>
    </row>
    <row r="580" spans="1:9" ht="13">
      <c r="A580" s="1"/>
      <c r="B580" s="1"/>
      <c r="C580" s="1"/>
      <c r="D580" s="1"/>
      <c r="E580" s="1"/>
      <c r="F580" s="1"/>
      <c r="G580" s="1"/>
      <c r="H580" s="1"/>
      <c r="I580" s="1"/>
    </row>
    <row r="581" spans="1:9" ht="13">
      <c r="A581" s="1"/>
      <c r="B581" s="1"/>
      <c r="C581" s="1"/>
      <c r="D581" s="1"/>
      <c r="E581" s="1"/>
      <c r="F581" s="1"/>
      <c r="G581" s="1"/>
      <c r="H581" s="1"/>
      <c r="I581" s="1"/>
    </row>
    <row r="582" spans="1:9" ht="13">
      <c r="A582" s="1"/>
      <c r="B582" s="1"/>
      <c r="C582" s="1"/>
      <c r="D582" s="1"/>
      <c r="E582" s="1"/>
      <c r="F582" s="1"/>
      <c r="G582" s="1"/>
      <c r="H582" s="1"/>
      <c r="I582" s="1"/>
    </row>
    <row r="583" spans="1:9" ht="13">
      <c r="A583" s="1"/>
      <c r="B583" s="1"/>
      <c r="C583" s="1"/>
      <c r="D583" s="1"/>
      <c r="E583" s="1"/>
      <c r="F583" s="1"/>
      <c r="G583" s="1"/>
      <c r="H583" s="1"/>
      <c r="I583" s="1"/>
    </row>
    <row r="584" spans="1:9" ht="13">
      <c r="A584" s="1"/>
      <c r="B584" s="1"/>
      <c r="C584" s="1"/>
      <c r="D584" s="1"/>
      <c r="E584" s="1"/>
      <c r="F584" s="1"/>
      <c r="G584" s="1"/>
      <c r="H584" s="1"/>
      <c r="I584" s="1"/>
    </row>
    <row r="585" spans="1:9" ht="13">
      <c r="A585" s="1"/>
      <c r="B585" s="1"/>
      <c r="C585" s="1"/>
      <c r="D585" s="1"/>
      <c r="E585" s="1"/>
      <c r="F585" s="1"/>
      <c r="G585" s="1"/>
      <c r="H585" s="1"/>
      <c r="I585" s="1"/>
    </row>
    <row r="586" spans="1:9" ht="13">
      <c r="A586" s="1"/>
      <c r="B586" s="1"/>
      <c r="C586" s="1"/>
      <c r="D586" s="1"/>
      <c r="E586" s="1"/>
      <c r="F586" s="1"/>
      <c r="G586" s="1"/>
      <c r="H586" s="1"/>
      <c r="I586" s="1"/>
    </row>
    <row r="587" spans="1:9" ht="13">
      <c r="A587" s="1"/>
      <c r="B587" s="1"/>
      <c r="C587" s="1"/>
      <c r="D587" s="1"/>
      <c r="E587" s="1"/>
      <c r="F587" s="1"/>
      <c r="G587" s="1"/>
      <c r="H587" s="1"/>
      <c r="I587" s="1"/>
    </row>
    <row r="588" spans="1:9" ht="13">
      <c r="A588" s="1"/>
      <c r="B588" s="1"/>
      <c r="C588" s="1"/>
      <c r="D588" s="1"/>
      <c r="E588" s="1"/>
      <c r="F588" s="1"/>
      <c r="G588" s="1"/>
      <c r="H588" s="1"/>
      <c r="I588" s="1"/>
    </row>
    <row r="589" spans="1:9" ht="13">
      <c r="A589" s="1"/>
      <c r="B589" s="1"/>
      <c r="C589" s="1"/>
      <c r="D589" s="1"/>
      <c r="E589" s="1"/>
      <c r="F589" s="1"/>
      <c r="G589" s="1"/>
      <c r="H589" s="1"/>
      <c r="I589" s="1"/>
    </row>
    <row r="590" spans="1:9" ht="13">
      <c r="A590" s="1"/>
      <c r="B590" s="1"/>
      <c r="C590" s="1"/>
      <c r="D590" s="1"/>
      <c r="E590" s="1"/>
      <c r="F590" s="1"/>
      <c r="G590" s="1"/>
      <c r="H590" s="1"/>
      <c r="I590" s="1"/>
    </row>
    <row r="591" spans="1:9" ht="13">
      <c r="A591" s="1"/>
      <c r="B591" s="1"/>
      <c r="C591" s="1"/>
      <c r="D591" s="1"/>
      <c r="E591" s="1"/>
      <c r="F591" s="1"/>
      <c r="G591" s="1"/>
      <c r="H591" s="1"/>
      <c r="I591" s="1"/>
    </row>
    <row r="592" spans="1:9" ht="13">
      <c r="A592" s="1"/>
      <c r="B592" s="1"/>
      <c r="C592" s="1"/>
      <c r="D592" s="1"/>
      <c r="E592" s="1"/>
      <c r="F592" s="1"/>
      <c r="G592" s="1"/>
      <c r="H592" s="1"/>
      <c r="I592" s="1"/>
    </row>
    <row r="593" spans="1:9" ht="13">
      <c r="A593" s="1"/>
      <c r="B593" s="1"/>
      <c r="C593" s="1"/>
      <c r="D593" s="1"/>
      <c r="E593" s="1"/>
      <c r="F593" s="1"/>
      <c r="G593" s="1"/>
      <c r="H593" s="1"/>
      <c r="I593" s="1"/>
    </row>
    <row r="594" spans="1:9" ht="13">
      <c r="A594" s="1"/>
      <c r="B594" s="1"/>
      <c r="C594" s="1"/>
      <c r="D594" s="1"/>
      <c r="E594" s="1"/>
      <c r="F594" s="1"/>
      <c r="G594" s="1"/>
      <c r="H594" s="1"/>
      <c r="I594" s="1"/>
    </row>
    <row r="595" spans="1:9" ht="13">
      <c r="A595" s="1"/>
      <c r="B595" s="1"/>
      <c r="C595" s="1"/>
      <c r="D595" s="1"/>
      <c r="E595" s="1"/>
      <c r="F595" s="1"/>
      <c r="G595" s="1"/>
      <c r="H595" s="1"/>
      <c r="I595" s="1"/>
    </row>
    <row r="596" spans="1:9" ht="13">
      <c r="A596" s="1"/>
      <c r="B596" s="1"/>
      <c r="C596" s="1"/>
      <c r="D596" s="1"/>
      <c r="E596" s="1"/>
      <c r="F596" s="1"/>
      <c r="G596" s="1"/>
      <c r="H596" s="1"/>
      <c r="I596" s="1"/>
    </row>
    <row r="597" spans="1:9" ht="13">
      <c r="A597" s="1"/>
      <c r="B597" s="1"/>
      <c r="C597" s="1"/>
      <c r="D597" s="1"/>
      <c r="E597" s="1"/>
      <c r="F597" s="1"/>
      <c r="G597" s="1"/>
      <c r="H597" s="1"/>
      <c r="I597" s="1"/>
    </row>
    <row r="598" spans="1:9" ht="13">
      <c r="A598" s="1"/>
      <c r="B598" s="1"/>
      <c r="C598" s="1"/>
      <c r="D598" s="1"/>
      <c r="E598" s="1"/>
      <c r="F598" s="1"/>
      <c r="G598" s="1"/>
      <c r="H598" s="1"/>
      <c r="I598" s="1"/>
    </row>
    <row r="599" spans="1:9" ht="13">
      <c r="A599" s="1"/>
      <c r="B599" s="1"/>
      <c r="C599" s="1"/>
      <c r="D599" s="1"/>
      <c r="E599" s="1"/>
      <c r="F599" s="1"/>
      <c r="G599" s="1"/>
      <c r="H599" s="1"/>
      <c r="I599" s="1"/>
    </row>
    <row r="600" spans="1:9" ht="13">
      <c r="A600" s="1"/>
      <c r="B600" s="1"/>
      <c r="C600" s="1"/>
      <c r="D600" s="1"/>
      <c r="E600" s="1"/>
      <c r="F600" s="1"/>
      <c r="G600" s="1"/>
      <c r="H600" s="1"/>
      <c r="I600" s="1"/>
    </row>
    <row r="601" spans="1:9" ht="13">
      <c r="A601" s="1"/>
      <c r="B601" s="1"/>
      <c r="C601" s="1"/>
      <c r="D601" s="1"/>
      <c r="E601" s="1"/>
      <c r="F601" s="1"/>
      <c r="G601" s="1"/>
      <c r="H601" s="1"/>
      <c r="I601" s="1"/>
    </row>
    <row r="602" spans="1:9" ht="13">
      <c r="A602" s="1"/>
      <c r="B602" s="1"/>
      <c r="C602" s="1"/>
      <c r="D602" s="1"/>
      <c r="E602" s="1"/>
      <c r="F602" s="1"/>
      <c r="G602" s="1"/>
      <c r="H602" s="1"/>
      <c r="I602" s="1"/>
    </row>
    <row r="603" spans="1:9" ht="13">
      <c r="A603" s="1"/>
      <c r="B603" s="1"/>
      <c r="C603" s="1"/>
      <c r="D603" s="1"/>
      <c r="E603" s="1"/>
      <c r="F603" s="1"/>
      <c r="G603" s="1"/>
      <c r="H603" s="1"/>
      <c r="I603" s="1"/>
    </row>
    <row r="604" spans="1:9" ht="13">
      <c r="A604" s="1"/>
      <c r="B604" s="1"/>
      <c r="C604" s="1"/>
      <c r="D604" s="1"/>
      <c r="E604" s="1"/>
      <c r="F604" s="1"/>
      <c r="G604" s="1"/>
      <c r="H604" s="1"/>
      <c r="I604" s="1"/>
    </row>
    <row r="605" spans="1:9" ht="13">
      <c r="A605" s="1"/>
      <c r="B605" s="1"/>
      <c r="C605" s="1"/>
      <c r="D605" s="1"/>
      <c r="E605" s="1"/>
      <c r="F605" s="1"/>
      <c r="G605" s="1"/>
      <c r="H605" s="1"/>
      <c r="I605" s="1"/>
    </row>
    <row r="606" spans="1:9" ht="13">
      <c r="A606" s="1"/>
      <c r="B606" s="1"/>
      <c r="C606" s="1"/>
      <c r="D606" s="1"/>
      <c r="E606" s="1"/>
      <c r="F606" s="1"/>
      <c r="G606" s="1"/>
      <c r="H606" s="1"/>
      <c r="I606" s="1"/>
    </row>
    <row r="607" spans="1:9" ht="13">
      <c r="A607" s="1"/>
      <c r="B607" s="1"/>
      <c r="C607" s="1"/>
      <c r="D607" s="1"/>
      <c r="E607" s="1"/>
      <c r="F607" s="1"/>
      <c r="G607" s="1"/>
      <c r="H607" s="1"/>
      <c r="I607" s="1"/>
    </row>
    <row r="608" spans="1:9" ht="13">
      <c r="A608" s="1"/>
      <c r="B608" s="1"/>
      <c r="C608" s="1"/>
      <c r="D608" s="1"/>
      <c r="E608" s="1"/>
      <c r="F608" s="1"/>
      <c r="G608" s="1"/>
      <c r="H608" s="1"/>
      <c r="I608" s="1"/>
    </row>
    <row r="609" spans="1:9" ht="13">
      <c r="A609" s="1"/>
      <c r="B609" s="1"/>
      <c r="C609" s="1"/>
      <c r="D609" s="1"/>
      <c r="E609" s="1"/>
      <c r="F609" s="1"/>
      <c r="G609" s="1"/>
      <c r="H609" s="1"/>
      <c r="I609" s="1"/>
    </row>
    <row r="610" spans="1:9" ht="13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3">
      <c r="A611" s="1"/>
      <c r="B611" s="1"/>
      <c r="C611" s="1"/>
      <c r="D611" s="1"/>
      <c r="E611" s="1"/>
      <c r="F611" s="1"/>
      <c r="G611" s="1"/>
      <c r="H611" s="1"/>
      <c r="I611" s="1"/>
    </row>
    <row r="612" spans="1:9" ht="13">
      <c r="A612" s="1"/>
      <c r="B612" s="1"/>
      <c r="C612" s="1"/>
      <c r="D612" s="1"/>
      <c r="E612" s="1"/>
      <c r="F612" s="1"/>
      <c r="G612" s="1"/>
      <c r="H612" s="1"/>
      <c r="I612" s="1"/>
    </row>
    <row r="613" spans="1:9" ht="13">
      <c r="A613" s="1"/>
      <c r="B613" s="1"/>
      <c r="C613" s="1"/>
      <c r="D613" s="1"/>
      <c r="E613" s="1"/>
      <c r="F613" s="1"/>
      <c r="G613" s="1"/>
      <c r="H613" s="1"/>
      <c r="I613" s="1"/>
    </row>
    <row r="614" spans="1:9" ht="13">
      <c r="A614" s="1"/>
      <c r="B614" s="1"/>
      <c r="C614" s="1"/>
      <c r="D614" s="1"/>
      <c r="E614" s="1"/>
      <c r="F614" s="1"/>
      <c r="G614" s="1"/>
      <c r="H614" s="1"/>
      <c r="I614" s="1"/>
    </row>
    <row r="615" spans="1:9" ht="13">
      <c r="A615" s="1"/>
      <c r="B615" s="1"/>
      <c r="C615" s="1"/>
      <c r="D615" s="1"/>
      <c r="E615" s="1"/>
      <c r="F615" s="1"/>
      <c r="G615" s="1"/>
      <c r="H615" s="1"/>
      <c r="I615" s="1"/>
    </row>
    <row r="616" spans="1:9" ht="13">
      <c r="A616" s="1"/>
      <c r="B616" s="1"/>
      <c r="C616" s="1"/>
      <c r="D616" s="1"/>
      <c r="E616" s="1"/>
      <c r="F616" s="1"/>
      <c r="G616" s="1"/>
      <c r="H616" s="1"/>
      <c r="I616" s="1"/>
    </row>
    <row r="617" spans="1:9" ht="13">
      <c r="A617" s="1"/>
      <c r="B617" s="1"/>
      <c r="C617" s="1"/>
      <c r="D617" s="1"/>
      <c r="E617" s="1"/>
      <c r="F617" s="1"/>
      <c r="G617" s="1"/>
      <c r="H617" s="1"/>
      <c r="I617" s="1"/>
    </row>
    <row r="618" spans="1:9" ht="13">
      <c r="A618" s="1"/>
      <c r="B618" s="1"/>
      <c r="C618" s="1"/>
      <c r="D618" s="1"/>
      <c r="E618" s="1"/>
      <c r="F618" s="1"/>
      <c r="G618" s="1"/>
      <c r="H618" s="1"/>
      <c r="I618" s="1"/>
    </row>
    <row r="619" spans="1:9" ht="13">
      <c r="A619" s="1"/>
      <c r="B619" s="1"/>
      <c r="C619" s="1"/>
      <c r="D619" s="1"/>
      <c r="E619" s="1"/>
      <c r="F619" s="1"/>
      <c r="G619" s="1"/>
      <c r="H619" s="1"/>
      <c r="I619" s="1"/>
    </row>
    <row r="620" spans="1:9" ht="13">
      <c r="A620" s="1"/>
      <c r="B620" s="1"/>
      <c r="C620" s="1"/>
      <c r="D620" s="1"/>
      <c r="E620" s="1"/>
      <c r="F620" s="1"/>
      <c r="G620" s="1"/>
      <c r="H620" s="1"/>
      <c r="I620" s="1"/>
    </row>
    <row r="621" spans="1:9" ht="13">
      <c r="A621" s="1"/>
      <c r="B621" s="1"/>
      <c r="C621" s="1"/>
      <c r="D621" s="1"/>
      <c r="E621" s="1"/>
      <c r="F621" s="1"/>
      <c r="G621" s="1"/>
      <c r="H621" s="1"/>
      <c r="I621" s="1"/>
    </row>
    <row r="622" spans="1:9" ht="13">
      <c r="A622" s="1"/>
      <c r="B622" s="1"/>
      <c r="C622" s="1"/>
      <c r="D622" s="1"/>
      <c r="E622" s="1"/>
      <c r="F622" s="1"/>
      <c r="G622" s="1"/>
      <c r="H622" s="1"/>
      <c r="I622" s="1"/>
    </row>
    <row r="623" spans="1:9" ht="13">
      <c r="A623" s="1"/>
      <c r="B623" s="1"/>
      <c r="C623" s="1"/>
      <c r="D623" s="1"/>
      <c r="E623" s="1"/>
      <c r="F623" s="1"/>
      <c r="G623" s="1"/>
      <c r="H623" s="1"/>
      <c r="I623" s="1"/>
    </row>
    <row r="624" spans="1:9" ht="13">
      <c r="A624" s="1"/>
      <c r="B624" s="1"/>
      <c r="C624" s="1"/>
      <c r="D624" s="1"/>
      <c r="E624" s="1"/>
      <c r="F624" s="1"/>
      <c r="G624" s="1"/>
      <c r="H624" s="1"/>
      <c r="I624" s="1"/>
    </row>
    <row r="625" spans="1:9" ht="13">
      <c r="A625" s="1"/>
      <c r="B625" s="1"/>
      <c r="C625" s="1"/>
      <c r="D625" s="1"/>
      <c r="E625" s="1"/>
      <c r="F625" s="1"/>
      <c r="G625" s="1"/>
      <c r="H625" s="1"/>
      <c r="I625" s="1"/>
    </row>
    <row r="626" spans="1:9" ht="13">
      <c r="A626" s="1"/>
      <c r="B626" s="1"/>
      <c r="C626" s="1"/>
      <c r="D626" s="1"/>
      <c r="E626" s="1"/>
      <c r="F626" s="1"/>
      <c r="G626" s="1"/>
      <c r="H626" s="1"/>
      <c r="I626" s="1"/>
    </row>
    <row r="627" spans="1:9" ht="13">
      <c r="A627" s="1"/>
      <c r="B627" s="1"/>
      <c r="C627" s="1"/>
      <c r="D627" s="1"/>
      <c r="E627" s="1"/>
      <c r="F627" s="1"/>
      <c r="G627" s="1"/>
      <c r="H627" s="1"/>
      <c r="I627" s="1"/>
    </row>
    <row r="628" spans="1:9" ht="13">
      <c r="A628" s="1"/>
      <c r="B628" s="1"/>
      <c r="C628" s="1"/>
      <c r="D628" s="1"/>
      <c r="E628" s="1"/>
      <c r="F628" s="1"/>
      <c r="G628" s="1"/>
      <c r="H628" s="1"/>
      <c r="I628" s="1"/>
    </row>
    <row r="629" spans="1:9" ht="13">
      <c r="A629" s="1"/>
      <c r="B629" s="1"/>
      <c r="C629" s="1"/>
      <c r="D629" s="1"/>
      <c r="E629" s="1"/>
      <c r="F629" s="1"/>
      <c r="G629" s="1"/>
      <c r="H629" s="1"/>
      <c r="I629" s="1"/>
    </row>
    <row r="630" spans="1:9" ht="13">
      <c r="A630" s="1"/>
      <c r="B630" s="1"/>
      <c r="C630" s="1"/>
      <c r="D630" s="1"/>
      <c r="E630" s="1"/>
      <c r="F630" s="1"/>
      <c r="G630" s="1"/>
      <c r="H630" s="1"/>
      <c r="I630" s="1"/>
    </row>
    <row r="631" spans="1:9" ht="13">
      <c r="A631" s="1"/>
      <c r="B631" s="1"/>
      <c r="C631" s="1"/>
      <c r="D631" s="1"/>
      <c r="E631" s="1"/>
      <c r="F631" s="1"/>
      <c r="G631" s="1"/>
      <c r="H631" s="1"/>
      <c r="I631" s="1"/>
    </row>
    <row r="632" spans="1:9" ht="13">
      <c r="A632" s="1"/>
      <c r="B632" s="1"/>
      <c r="C632" s="1"/>
      <c r="D632" s="1"/>
      <c r="E632" s="1"/>
      <c r="F632" s="1"/>
      <c r="G632" s="1"/>
      <c r="H632" s="1"/>
      <c r="I632" s="1"/>
    </row>
    <row r="633" spans="1:9" ht="13">
      <c r="A633" s="1"/>
      <c r="B633" s="1"/>
      <c r="C633" s="1"/>
      <c r="D633" s="1"/>
      <c r="E633" s="1"/>
      <c r="F633" s="1"/>
      <c r="G633" s="1"/>
      <c r="H633" s="1"/>
      <c r="I633" s="1"/>
    </row>
    <row r="634" spans="1:9" ht="13">
      <c r="A634" s="1"/>
      <c r="B634" s="1"/>
      <c r="C634" s="1"/>
      <c r="D634" s="1"/>
      <c r="E634" s="1"/>
      <c r="F634" s="1"/>
      <c r="G634" s="1"/>
      <c r="H634" s="1"/>
      <c r="I634" s="1"/>
    </row>
    <row r="635" spans="1:9" ht="13">
      <c r="A635" s="1"/>
      <c r="B635" s="1"/>
      <c r="C635" s="1"/>
      <c r="D635" s="1"/>
      <c r="E635" s="1"/>
      <c r="F635" s="1"/>
      <c r="G635" s="1"/>
      <c r="H635" s="1"/>
      <c r="I635" s="1"/>
    </row>
    <row r="636" spans="1:9" ht="13">
      <c r="A636" s="1"/>
      <c r="B636" s="1"/>
      <c r="C636" s="1"/>
      <c r="D636" s="1"/>
      <c r="E636" s="1"/>
      <c r="F636" s="1"/>
      <c r="G636" s="1"/>
      <c r="H636" s="1"/>
      <c r="I636" s="1"/>
    </row>
    <row r="637" spans="1:9" ht="13">
      <c r="A637" s="1"/>
      <c r="B637" s="1"/>
      <c r="C637" s="1"/>
      <c r="D637" s="1"/>
      <c r="E637" s="1"/>
      <c r="F637" s="1"/>
      <c r="G637" s="1"/>
      <c r="H637" s="1"/>
      <c r="I637" s="1"/>
    </row>
    <row r="638" spans="1:9" ht="13">
      <c r="A638" s="1"/>
      <c r="B638" s="1"/>
      <c r="C638" s="1"/>
      <c r="D638" s="1"/>
      <c r="E638" s="1"/>
      <c r="F638" s="1"/>
      <c r="G638" s="1"/>
      <c r="H638" s="1"/>
      <c r="I638" s="1"/>
    </row>
    <row r="639" spans="1:9" ht="13">
      <c r="A639" s="1"/>
      <c r="B639" s="1"/>
      <c r="C639" s="1"/>
      <c r="D639" s="1"/>
      <c r="E639" s="1"/>
      <c r="F639" s="1"/>
      <c r="G639" s="1"/>
      <c r="H639" s="1"/>
      <c r="I639" s="1"/>
    </row>
    <row r="640" spans="1:9" ht="13">
      <c r="A640" s="1"/>
      <c r="B640" s="1"/>
      <c r="C640" s="1"/>
      <c r="D640" s="1"/>
      <c r="E640" s="1"/>
      <c r="F640" s="1"/>
      <c r="G640" s="1"/>
      <c r="H640" s="1"/>
      <c r="I640" s="1"/>
    </row>
    <row r="641" spans="1:9" ht="13">
      <c r="A641" s="1"/>
      <c r="B641" s="1"/>
      <c r="C641" s="1"/>
      <c r="D641" s="1"/>
      <c r="E641" s="1"/>
      <c r="F641" s="1"/>
      <c r="G641" s="1"/>
      <c r="H641" s="1"/>
      <c r="I641" s="1"/>
    </row>
    <row r="642" spans="1:9" ht="13">
      <c r="A642" s="1"/>
      <c r="B642" s="1"/>
      <c r="C642" s="1"/>
      <c r="D642" s="1"/>
      <c r="E642" s="1"/>
      <c r="F642" s="1"/>
      <c r="G642" s="1"/>
      <c r="H642" s="1"/>
      <c r="I642" s="1"/>
    </row>
    <row r="643" spans="1:9" ht="13">
      <c r="A643" s="1"/>
      <c r="B643" s="1"/>
      <c r="C643" s="1"/>
      <c r="D643" s="1"/>
      <c r="E643" s="1"/>
      <c r="F643" s="1"/>
      <c r="G643" s="1"/>
      <c r="H643" s="1"/>
      <c r="I643" s="1"/>
    </row>
    <row r="644" spans="1:9" ht="13">
      <c r="A644" s="1"/>
      <c r="B644" s="1"/>
      <c r="C644" s="1"/>
      <c r="D644" s="1"/>
      <c r="E644" s="1"/>
      <c r="F644" s="1"/>
      <c r="G644" s="1"/>
      <c r="H644" s="1"/>
      <c r="I644" s="1"/>
    </row>
    <row r="645" spans="1:9" ht="13">
      <c r="A645" s="1"/>
      <c r="B645" s="1"/>
      <c r="C645" s="1"/>
      <c r="D645" s="1"/>
      <c r="E645" s="1"/>
      <c r="F645" s="1"/>
      <c r="G645" s="1"/>
      <c r="H645" s="1"/>
      <c r="I645" s="1"/>
    </row>
    <row r="646" spans="1:9" ht="13">
      <c r="A646" s="1"/>
      <c r="B646" s="1"/>
      <c r="C646" s="1"/>
      <c r="D646" s="1"/>
      <c r="E646" s="1"/>
      <c r="F646" s="1"/>
      <c r="G646" s="1"/>
      <c r="H646" s="1"/>
      <c r="I646" s="1"/>
    </row>
    <row r="647" spans="1:9" ht="13">
      <c r="A647" s="1"/>
      <c r="B647" s="1"/>
      <c r="C647" s="1"/>
      <c r="D647" s="1"/>
      <c r="E647" s="1"/>
      <c r="F647" s="1"/>
      <c r="G647" s="1"/>
      <c r="H647" s="1"/>
      <c r="I647" s="1"/>
    </row>
    <row r="648" spans="1:9" ht="13">
      <c r="A648" s="1"/>
      <c r="B648" s="1"/>
      <c r="C648" s="1"/>
      <c r="D648" s="1"/>
      <c r="E648" s="1"/>
      <c r="F648" s="1"/>
      <c r="G648" s="1"/>
      <c r="H648" s="1"/>
      <c r="I648" s="1"/>
    </row>
    <row r="649" spans="1:9" ht="13">
      <c r="A649" s="1"/>
      <c r="B649" s="1"/>
      <c r="C649" s="1"/>
      <c r="D649" s="1"/>
      <c r="E649" s="1"/>
      <c r="F649" s="1"/>
      <c r="G649" s="1"/>
      <c r="H649" s="1"/>
      <c r="I649" s="1"/>
    </row>
    <row r="650" spans="1:9" ht="13">
      <c r="A650" s="1"/>
      <c r="B650" s="1"/>
      <c r="C650" s="1"/>
      <c r="D650" s="1"/>
      <c r="E650" s="1"/>
      <c r="F650" s="1"/>
      <c r="G650" s="1"/>
      <c r="H650" s="1"/>
      <c r="I650" s="1"/>
    </row>
    <row r="651" spans="1:9" ht="13">
      <c r="A651" s="1"/>
      <c r="B651" s="1"/>
      <c r="C651" s="1"/>
      <c r="D651" s="1"/>
      <c r="E651" s="1"/>
      <c r="F651" s="1"/>
      <c r="G651" s="1"/>
      <c r="H651" s="1"/>
      <c r="I651" s="1"/>
    </row>
    <row r="652" spans="1:9" ht="13">
      <c r="A652" s="1"/>
      <c r="B652" s="1"/>
      <c r="C652" s="1"/>
      <c r="D652" s="1"/>
      <c r="E652" s="1"/>
      <c r="F652" s="1"/>
      <c r="G652" s="1"/>
      <c r="H652" s="1"/>
      <c r="I652" s="1"/>
    </row>
    <row r="653" spans="1:9" ht="13">
      <c r="A653" s="1"/>
      <c r="B653" s="1"/>
      <c r="C653" s="1"/>
      <c r="D653" s="1"/>
      <c r="E653" s="1"/>
      <c r="F653" s="1"/>
      <c r="G653" s="1"/>
      <c r="H653" s="1"/>
      <c r="I653" s="1"/>
    </row>
    <row r="654" spans="1:9" ht="13">
      <c r="A654" s="1"/>
      <c r="B654" s="1"/>
      <c r="C654" s="1"/>
      <c r="D654" s="1"/>
      <c r="E654" s="1"/>
      <c r="F654" s="1"/>
      <c r="G654" s="1"/>
      <c r="H654" s="1"/>
      <c r="I654" s="1"/>
    </row>
    <row r="655" spans="1:9" ht="13">
      <c r="A655" s="1"/>
      <c r="B655" s="1"/>
      <c r="C655" s="1"/>
      <c r="D655" s="1"/>
      <c r="E655" s="1"/>
      <c r="F655" s="1"/>
      <c r="G655" s="1"/>
      <c r="H655" s="1"/>
      <c r="I655" s="1"/>
    </row>
    <row r="656" spans="1:9" ht="13">
      <c r="A656" s="1"/>
      <c r="B656" s="1"/>
      <c r="C656" s="1"/>
      <c r="D656" s="1"/>
      <c r="E656" s="1"/>
      <c r="F656" s="1"/>
      <c r="G656" s="1"/>
      <c r="H656" s="1"/>
      <c r="I656" s="1"/>
    </row>
    <row r="657" spans="1:9" ht="13">
      <c r="A657" s="1"/>
      <c r="B657" s="1"/>
      <c r="C657" s="1"/>
      <c r="D657" s="1"/>
      <c r="E657" s="1"/>
      <c r="F657" s="1"/>
      <c r="G657" s="1"/>
      <c r="H657" s="1"/>
      <c r="I657" s="1"/>
    </row>
    <row r="658" spans="1:9" ht="13">
      <c r="A658" s="1"/>
      <c r="B658" s="1"/>
      <c r="C658" s="1"/>
      <c r="D658" s="1"/>
      <c r="E658" s="1"/>
      <c r="F658" s="1"/>
      <c r="G658" s="1"/>
      <c r="H658" s="1"/>
      <c r="I658" s="1"/>
    </row>
    <row r="659" spans="1:9" ht="13">
      <c r="A659" s="1"/>
      <c r="B659" s="1"/>
      <c r="C659" s="1"/>
      <c r="D659" s="1"/>
      <c r="E659" s="1"/>
      <c r="F659" s="1"/>
      <c r="G659" s="1"/>
      <c r="H659" s="1"/>
      <c r="I659" s="1"/>
    </row>
    <row r="660" spans="1:9" ht="13">
      <c r="A660" s="1"/>
      <c r="B660" s="1"/>
      <c r="C660" s="1"/>
      <c r="D660" s="1"/>
      <c r="E660" s="1"/>
      <c r="F660" s="1"/>
      <c r="G660" s="1"/>
      <c r="H660" s="1"/>
      <c r="I660" s="1"/>
    </row>
    <row r="661" spans="1:9" ht="13">
      <c r="A661" s="1"/>
      <c r="B661" s="1"/>
      <c r="C661" s="1"/>
      <c r="D661" s="1"/>
      <c r="E661" s="1"/>
      <c r="F661" s="1"/>
      <c r="G661" s="1"/>
      <c r="H661" s="1"/>
      <c r="I661" s="1"/>
    </row>
    <row r="662" spans="1:9" ht="13">
      <c r="A662" s="1"/>
      <c r="B662" s="1"/>
      <c r="C662" s="1"/>
      <c r="D662" s="1"/>
      <c r="E662" s="1"/>
      <c r="F662" s="1"/>
      <c r="G662" s="1"/>
      <c r="H662" s="1"/>
      <c r="I662" s="1"/>
    </row>
    <row r="663" spans="1:9" ht="13">
      <c r="A663" s="1"/>
      <c r="B663" s="1"/>
      <c r="C663" s="1"/>
      <c r="D663" s="1"/>
      <c r="E663" s="1"/>
      <c r="F663" s="1"/>
      <c r="G663" s="1"/>
      <c r="H663" s="1"/>
      <c r="I663" s="1"/>
    </row>
    <row r="664" spans="1:9" ht="13">
      <c r="A664" s="1"/>
      <c r="B664" s="1"/>
      <c r="C664" s="1"/>
      <c r="D664" s="1"/>
      <c r="E664" s="1"/>
      <c r="F664" s="1"/>
      <c r="G664" s="1"/>
      <c r="H664" s="1"/>
      <c r="I664" s="1"/>
    </row>
    <row r="665" spans="1:9" ht="13">
      <c r="A665" s="1"/>
      <c r="B665" s="1"/>
      <c r="C665" s="1"/>
      <c r="D665" s="1"/>
      <c r="E665" s="1"/>
      <c r="F665" s="1"/>
      <c r="G665" s="1"/>
      <c r="H665" s="1"/>
      <c r="I665" s="1"/>
    </row>
    <row r="666" spans="1:9" ht="13">
      <c r="A666" s="1"/>
      <c r="B666" s="1"/>
      <c r="C666" s="1"/>
      <c r="D666" s="1"/>
      <c r="E666" s="1"/>
      <c r="F666" s="1"/>
      <c r="G666" s="1"/>
      <c r="H666" s="1"/>
      <c r="I666" s="1"/>
    </row>
    <row r="667" spans="1:9" ht="13">
      <c r="A667" s="1"/>
      <c r="B667" s="1"/>
      <c r="C667" s="1"/>
      <c r="D667" s="1"/>
      <c r="E667" s="1"/>
      <c r="F667" s="1"/>
      <c r="G667" s="1"/>
      <c r="H667" s="1"/>
      <c r="I667" s="1"/>
    </row>
    <row r="668" spans="1:9" ht="13">
      <c r="A668" s="1"/>
      <c r="B668" s="1"/>
      <c r="C668" s="1"/>
      <c r="D668" s="1"/>
      <c r="E668" s="1"/>
      <c r="F668" s="1"/>
      <c r="G668" s="1"/>
      <c r="H668" s="1"/>
      <c r="I668" s="1"/>
    </row>
    <row r="669" spans="1:9" ht="13">
      <c r="A669" s="1"/>
      <c r="B669" s="1"/>
      <c r="C669" s="1"/>
      <c r="D669" s="1"/>
      <c r="E669" s="1"/>
      <c r="F669" s="1"/>
      <c r="G669" s="1"/>
      <c r="H669" s="1"/>
      <c r="I669" s="1"/>
    </row>
    <row r="670" spans="1:9" ht="13">
      <c r="A670" s="1"/>
      <c r="B670" s="1"/>
      <c r="C670" s="1"/>
      <c r="D670" s="1"/>
      <c r="E670" s="1"/>
      <c r="F670" s="1"/>
      <c r="G670" s="1"/>
      <c r="H670" s="1"/>
      <c r="I670" s="1"/>
    </row>
    <row r="671" spans="1:9" ht="13">
      <c r="A671" s="1"/>
      <c r="B671" s="1"/>
      <c r="C671" s="1"/>
      <c r="D671" s="1"/>
      <c r="E671" s="1"/>
      <c r="F671" s="1"/>
      <c r="G671" s="1"/>
      <c r="H671" s="1"/>
      <c r="I671" s="1"/>
    </row>
    <row r="672" spans="1:9" ht="13">
      <c r="A672" s="1"/>
      <c r="B672" s="1"/>
      <c r="C672" s="1"/>
      <c r="D672" s="1"/>
      <c r="E672" s="1"/>
      <c r="F672" s="1"/>
      <c r="G672" s="1"/>
      <c r="H672" s="1"/>
      <c r="I672" s="1"/>
    </row>
    <row r="673" spans="1:9" ht="13">
      <c r="A673" s="1"/>
      <c r="B673" s="1"/>
      <c r="C673" s="1"/>
      <c r="D673" s="1"/>
      <c r="E673" s="1"/>
      <c r="F673" s="1"/>
      <c r="G673" s="1"/>
      <c r="H673" s="1"/>
      <c r="I673" s="1"/>
    </row>
    <row r="674" spans="1:9" ht="13">
      <c r="A674" s="1"/>
      <c r="B674" s="1"/>
      <c r="C674" s="1"/>
      <c r="D674" s="1"/>
      <c r="E674" s="1"/>
      <c r="F674" s="1"/>
      <c r="G674" s="1"/>
      <c r="H674" s="1"/>
      <c r="I674" s="1"/>
    </row>
    <row r="675" spans="1:9" ht="13">
      <c r="A675" s="1"/>
      <c r="B675" s="1"/>
      <c r="C675" s="1"/>
      <c r="D675" s="1"/>
      <c r="E675" s="1"/>
      <c r="F675" s="1"/>
      <c r="G675" s="1"/>
      <c r="H675" s="1"/>
      <c r="I675" s="1"/>
    </row>
    <row r="676" spans="1:9" ht="13">
      <c r="A676" s="1"/>
      <c r="B676" s="1"/>
      <c r="C676" s="1"/>
      <c r="D676" s="1"/>
      <c r="E676" s="1"/>
      <c r="F676" s="1"/>
      <c r="G676" s="1"/>
      <c r="H676" s="1"/>
      <c r="I676" s="1"/>
    </row>
    <row r="677" spans="1:9" ht="13">
      <c r="A677" s="1"/>
      <c r="B677" s="1"/>
      <c r="C677" s="1"/>
      <c r="D677" s="1"/>
      <c r="E677" s="1"/>
      <c r="F677" s="1"/>
      <c r="G677" s="1"/>
      <c r="H677" s="1"/>
      <c r="I677" s="1"/>
    </row>
    <row r="678" spans="1:9" ht="13">
      <c r="A678" s="1"/>
      <c r="B678" s="1"/>
      <c r="C678" s="1"/>
      <c r="D678" s="1"/>
      <c r="E678" s="1"/>
      <c r="F678" s="1"/>
      <c r="G678" s="1"/>
      <c r="H678" s="1"/>
      <c r="I678" s="1"/>
    </row>
    <row r="679" spans="1:9" ht="13">
      <c r="A679" s="1"/>
      <c r="B679" s="1"/>
      <c r="C679" s="1"/>
      <c r="D679" s="1"/>
      <c r="E679" s="1"/>
      <c r="F679" s="1"/>
      <c r="G679" s="1"/>
      <c r="H679" s="1"/>
      <c r="I679" s="1"/>
    </row>
    <row r="680" spans="1:9" ht="13">
      <c r="A680" s="1"/>
      <c r="B680" s="1"/>
      <c r="C680" s="1"/>
      <c r="D680" s="1"/>
      <c r="E680" s="1"/>
      <c r="F680" s="1"/>
      <c r="G680" s="1"/>
      <c r="H680" s="1"/>
      <c r="I680" s="1"/>
    </row>
    <row r="681" spans="1:9" ht="13">
      <c r="A681" s="1"/>
      <c r="B681" s="1"/>
      <c r="C681" s="1"/>
      <c r="D681" s="1"/>
      <c r="E681" s="1"/>
      <c r="F681" s="1"/>
      <c r="G681" s="1"/>
      <c r="H681" s="1"/>
      <c r="I681" s="1"/>
    </row>
    <row r="682" spans="1:9" ht="13">
      <c r="A682" s="1"/>
      <c r="B682" s="1"/>
      <c r="C682" s="1"/>
      <c r="D682" s="1"/>
      <c r="E682" s="1"/>
      <c r="F682" s="1"/>
      <c r="G682" s="1"/>
      <c r="H682" s="1"/>
      <c r="I682" s="1"/>
    </row>
    <row r="683" spans="1:9" ht="13">
      <c r="A683" s="1"/>
      <c r="B683" s="1"/>
      <c r="C683" s="1"/>
      <c r="D683" s="1"/>
      <c r="E683" s="1"/>
      <c r="F683" s="1"/>
      <c r="G683" s="1"/>
      <c r="H683" s="1"/>
      <c r="I683" s="1"/>
    </row>
    <row r="684" spans="1:9" ht="13">
      <c r="A684" s="1"/>
      <c r="B684" s="1"/>
      <c r="C684" s="1"/>
      <c r="D684" s="1"/>
      <c r="E684" s="1"/>
      <c r="F684" s="1"/>
      <c r="G684" s="1"/>
      <c r="H684" s="1"/>
      <c r="I684" s="1"/>
    </row>
    <row r="685" spans="1:9" ht="13">
      <c r="A685" s="1"/>
      <c r="B685" s="1"/>
      <c r="C685" s="1"/>
      <c r="D685" s="1"/>
      <c r="E685" s="1"/>
      <c r="F685" s="1"/>
      <c r="G685" s="1"/>
      <c r="H685" s="1"/>
      <c r="I685" s="1"/>
    </row>
    <row r="686" spans="1:9" ht="13">
      <c r="A686" s="1"/>
      <c r="B686" s="1"/>
      <c r="C686" s="1"/>
      <c r="D686" s="1"/>
      <c r="E686" s="1"/>
      <c r="F686" s="1"/>
      <c r="G686" s="1"/>
      <c r="H686" s="1"/>
      <c r="I686" s="1"/>
    </row>
    <row r="687" spans="1:9" ht="13">
      <c r="A687" s="1"/>
      <c r="B687" s="1"/>
      <c r="C687" s="1"/>
      <c r="D687" s="1"/>
      <c r="E687" s="1"/>
      <c r="F687" s="1"/>
      <c r="G687" s="1"/>
      <c r="H687" s="1"/>
      <c r="I687" s="1"/>
    </row>
    <row r="688" spans="1:9" ht="13">
      <c r="A688" s="1"/>
      <c r="B688" s="1"/>
      <c r="C688" s="1"/>
      <c r="D688" s="1"/>
      <c r="E688" s="1"/>
      <c r="F688" s="1"/>
      <c r="G688" s="1"/>
      <c r="H688" s="1"/>
      <c r="I688" s="1"/>
    </row>
    <row r="689" spans="1:9" ht="13">
      <c r="A689" s="1"/>
      <c r="B689" s="1"/>
      <c r="C689" s="1"/>
      <c r="D689" s="1"/>
      <c r="E689" s="1"/>
      <c r="F689" s="1"/>
      <c r="G689" s="1"/>
      <c r="H689" s="1"/>
      <c r="I689" s="1"/>
    </row>
    <row r="690" spans="1:9" ht="13">
      <c r="A690" s="1"/>
      <c r="B690" s="1"/>
      <c r="C690" s="1"/>
      <c r="D690" s="1"/>
      <c r="E690" s="1"/>
      <c r="F690" s="1"/>
      <c r="G690" s="1"/>
      <c r="H690" s="1"/>
      <c r="I690" s="1"/>
    </row>
    <row r="691" spans="1:9" ht="13">
      <c r="A691" s="1"/>
      <c r="B691" s="1"/>
      <c r="C691" s="1"/>
      <c r="D691" s="1"/>
      <c r="E691" s="1"/>
      <c r="F691" s="1"/>
      <c r="G691" s="1"/>
      <c r="H691" s="1"/>
      <c r="I691" s="1"/>
    </row>
    <row r="692" spans="1:9" ht="13">
      <c r="A692" s="1"/>
      <c r="B692" s="1"/>
      <c r="C692" s="1"/>
      <c r="D692" s="1"/>
      <c r="E692" s="1"/>
      <c r="F692" s="1"/>
      <c r="G692" s="1"/>
      <c r="H692" s="1"/>
      <c r="I692" s="1"/>
    </row>
    <row r="693" spans="1:9" ht="13">
      <c r="A693" s="1"/>
      <c r="B693" s="1"/>
      <c r="C693" s="1"/>
      <c r="D693" s="1"/>
      <c r="E693" s="1"/>
      <c r="F693" s="1"/>
      <c r="G693" s="1"/>
      <c r="H693" s="1"/>
      <c r="I693" s="1"/>
    </row>
    <row r="694" spans="1:9" ht="13">
      <c r="A694" s="1"/>
      <c r="B694" s="1"/>
      <c r="C694" s="1"/>
      <c r="D694" s="1"/>
      <c r="E694" s="1"/>
      <c r="F694" s="1"/>
      <c r="G694" s="1"/>
      <c r="H694" s="1"/>
      <c r="I694" s="1"/>
    </row>
    <row r="695" spans="1:9" ht="13">
      <c r="A695" s="1"/>
      <c r="B695" s="1"/>
      <c r="C695" s="1"/>
      <c r="D695" s="1"/>
      <c r="E695" s="1"/>
      <c r="F695" s="1"/>
      <c r="G695" s="1"/>
      <c r="H695" s="1"/>
      <c r="I695" s="1"/>
    </row>
    <row r="696" spans="1:9" ht="13">
      <c r="A696" s="1"/>
      <c r="B696" s="1"/>
      <c r="C696" s="1"/>
      <c r="D696" s="1"/>
      <c r="E696" s="1"/>
      <c r="F696" s="1"/>
      <c r="G696" s="1"/>
      <c r="H696" s="1"/>
      <c r="I696" s="1"/>
    </row>
    <row r="697" spans="1:9" ht="13">
      <c r="A697" s="1"/>
      <c r="B697" s="1"/>
      <c r="C697" s="1"/>
      <c r="D697" s="1"/>
      <c r="E697" s="1"/>
      <c r="F697" s="1"/>
      <c r="G697" s="1"/>
      <c r="H697" s="1"/>
      <c r="I697" s="1"/>
    </row>
    <row r="698" spans="1:9" ht="13">
      <c r="A698" s="1"/>
      <c r="B698" s="1"/>
      <c r="C698" s="1"/>
      <c r="D698" s="1"/>
      <c r="E698" s="1"/>
      <c r="F698" s="1"/>
      <c r="G698" s="1"/>
      <c r="H698" s="1"/>
      <c r="I698" s="1"/>
    </row>
    <row r="699" spans="1:9" ht="13">
      <c r="A699" s="1"/>
      <c r="B699" s="1"/>
      <c r="C699" s="1"/>
      <c r="D699" s="1"/>
      <c r="E699" s="1"/>
      <c r="F699" s="1"/>
      <c r="G699" s="1"/>
      <c r="H699" s="1"/>
      <c r="I699" s="1"/>
    </row>
    <row r="700" spans="1:9" ht="13">
      <c r="A700" s="1"/>
      <c r="B700" s="1"/>
      <c r="C700" s="1"/>
      <c r="D700" s="1"/>
      <c r="E700" s="1"/>
      <c r="F700" s="1"/>
      <c r="G700" s="1"/>
      <c r="H700" s="1"/>
      <c r="I700" s="1"/>
    </row>
    <row r="701" spans="1:9" ht="13">
      <c r="A701" s="1"/>
      <c r="B701" s="1"/>
      <c r="C701" s="1"/>
      <c r="D701" s="1"/>
      <c r="E701" s="1"/>
      <c r="F701" s="1"/>
      <c r="G701" s="1"/>
      <c r="H701" s="1"/>
      <c r="I701" s="1"/>
    </row>
    <row r="702" spans="1:9" ht="13">
      <c r="A702" s="1"/>
      <c r="B702" s="1"/>
      <c r="C702" s="1"/>
      <c r="D702" s="1"/>
      <c r="E702" s="1"/>
      <c r="F702" s="1"/>
      <c r="G702" s="1"/>
      <c r="H702" s="1"/>
      <c r="I702" s="1"/>
    </row>
    <row r="703" spans="1:9" ht="13">
      <c r="A703" s="1"/>
      <c r="B703" s="1"/>
      <c r="C703" s="1"/>
      <c r="D703" s="1"/>
      <c r="E703" s="1"/>
      <c r="F703" s="1"/>
      <c r="G703" s="1"/>
      <c r="H703" s="1"/>
      <c r="I703" s="1"/>
    </row>
    <row r="704" spans="1:9" ht="13">
      <c r="A704" s="1"/>
      <c r="B704" s="1"/>
      <c r="C704" s="1"/>
      <c r="D704" s="1"/>
      <c r="E704" s="1"/>
      <c r="F704" s="1"/>
      <c r="G704" s="1"/>
      <c r="H704" s="1"/>
      <c r="I704" s="1"/>
    </row>
    <row r="705" spans="1:9" ht="13">
      <c r="A705" s="1"/>
      <c r="B705" s="1"/>
      <c r="C705" s="1"/>
      <c r="D705" s="1"/>
      <c r="E705" s="1"/>
      <c r="F705" s="1"/>
      <c r="G705" s="1"/>
      <c r="H705" s="1"/>
      <c r="I705" s="1"/>
    </row>
    <row r="706" spans="1:9" ht="13">
      <c r="A706" s="1"/>
      <c r="B706" s="1"/>
      <c r="C706" s="1"/>
      <c r="D706" s="1"/>
      <c r="E706" s="1"/>
      <c r="F706" s="1"/>
      <c r="G706" s="1"/>
      <c r="H706" s="1"/>
      <c r="I706" s="1"/>
    </row>
    <row r="707" spans="1:9" ht="13">
      <c r="A707" s="1"/>
      <c r="B707" s="1"/>
      <c r="C707" s="1"/>
      <c r="D707" s="1"/>
      <c r="E707" s="1"/>
      <c r="F707" s="1"/>
      <c r="G707" s="1"/>
      <c r="H707" s="1"/>
      <c r="I707" s="1"/>
    </row>
    <row r="708" spans="1:9" ht="13">
      <c r="A708" s="1"/>
      <c r="B708" s="1"/>
      <c r="C708" s="1"/>
      <c r="D708" s="1"/>
      <c r="E708" s="1"/>
      <c r="F708" s="1"/>
      <c r="G708" s="1"/>
      <c r="H708" s="1"/>
      <c r="I708" s="1"/>
    </row>
    <row r="709" spans="1:9" ht="13">
      <c r="A709" s="1"/>
      <c r="B709" s="1"/>
      <c r="C709" s="1"/>
      <c r="D709" s="1"/>
      <c r="E709" s="1"/>
      <c r="F709" s="1"/>
      <c r="G709" s="1"/>
      <c r="H709" s="1"/>
      <c r="I709" s="1"/>
    </row>
    <row r="710" spans="1:9" ht="13">
      <c r="A710" s="1"/>
      <c r="B710" s="1"/>
      <c r="C710" s="1"/>
      <c r="D710" s="1"/>
      <c r="E710" s="1"/>
      <c r="F710" s="1"/>
      <c r="G710" s="1"/>
      <c r="H710" s="1"/>
      <c r="I710" s="1"/>
    </row>
    <row r="711" spans="1:9" ht="13">
      <c r="A711" s="1"/>
      <c r="B711" s="1"/>
      <c r="C711" s="1"/>
      <c r="D711" s="1"/>
      <c r="E711" s="1"/>
      <c r="F711" s="1"/>
      <c r="G711" s="1"/>
      <c r="H711" s="1"/>
      <c r="I711" s="1"/>
    </row>
    <row r="712" spans="1:9" ht="13">
      <c r="A712" s="1"/>
      <c r="B712" s="1"/>
      <c r="C712" s="1"/>
      <c r="D712" s="1"/>
      <c r="E712" s="1"/>
      <c r="F712" s="1"/>
      <c r="G712" s="1"/>
      <c r="H712" s="1"/>
      <c r="I712" s="1"/>
    </row>
    <row r="713" spans="1:9" ht="13">
      <c r="A713" s="1"/>
      <c r="B713" s="1"/>
      <c r="C713" s="1"/>
      <c r="D713" s="1"/>
      <c r="E713" s="1"/>
      <c r="F713" s="1"/>
      <c r="G713" s="1"/>
      <c r="H713" s="1"/>
      <c r="I713" s="1"/>
    </row>
    <row r="714" spans="1:9" ht="13">
      <c r="A714" s="1"/>
      <c r="B714" s="1"/>
      <c r="C714" s="1"/>
      <c r="D714" s="1"/>
      <c r="E714" s="1"/>
      <c r="F714" s="1"/>
      <c r="G714" s="1"/>
      <c r="H714" s="1"/>
      <c r="I714" s="1"/>
    </row>
    <row r="715" spans="1:9" ht="13">
      <c r="A715" s="1"/>
      <c r="B715" s="1"/>
      <c r="C715" s="1"/>
      <c r="D715" s="1"/>
      <c r="E715" s="1"/>
      <c r="F715" s="1"/>
      <c r="G715" s="1"/>
      <c r="H715" s="1"/>
      <c r="I715" s="1"/>
    </row>
    <row r="716" spans="1:9" ht="13">
      <c r="A716" s="1"/>
      <c r="B716" s="1"/>
      <c r="C716" s="1"/>
      <c r="D716" s="1"/>
      <c r="E716" s="1"/>
      <c r="F716" s="1"/>
      <c r="G716" s="1"/>
      <c r="H716" s="1"/>
      <c r="I716" s="1"/>
    </row>
    <row r="717" spans="1:9" ht="13">
      <c r="A717" s="1"/>
      <c r="B717" s="1"/>
      <c r="C717" s="1"/>
      <c r="D717" s="1"/>
      <c r="E717" s="1"/>
      <c r="F717" s="1"/>
      <c r="G717" s="1"/>
      <c r="H717" s="1"/>
      <c r="I717" s="1"/>
    </row>
    <row r="718" spans="1:9" ht="13">
      <c r="A718" s="1"/>
      <c r="B718" s="1"/>
      <c r="C718" s="1"/>
      <c r="D718" s="1"/>
      <c r="E718" s="1"/>
      <c r="F718" s="1"/>
      <c r="G718" s="1"/>
      <c r="H718" s="1"/>
      <c r="I718" s="1"/>
    </row>
    <row r="719" spans="1:9" ht="13">
      <c r="A719" s="1"/>
      <c r="B719" s="1"/>
      <c r="C719" s="1"/>
      <c r="D719" s="1"/>
      <c r="E719" s="1"/>
      <c r="F719" s="1"/>
      <c r="G719" s="1"/>
      <c r="H719" s="1"/>
      <c r="I719" s="1"/>
    </row>
    <row r="720" spans="1:9" ht="13">
      <c r="A720" s="1"/>
      <c r="B720" s="1"/>
      <c r="C720" s="1"/>
      <c r="D720" s="1"/>
      <c r="E720" s="1"/>
      <c r="F720" s="1"/>
      <c r="G720" s="1"/>
      <c r="H720" s="1"/>
      <c r="I720" s="1"/>
    </row>
    <row r="721" spans="1:9" ht="13">
      <c r="A721" s="1"/>
      <c r="B721" s="1"/>
      <c r="C721" s="1"/>
      <c r="D721" s="1"/>
      <c r="E721" s="1"/>
      <c r="F721" s="1"/>
      <c r="G721" s="1"/>
      <c r="H721" s="1"/>
      <c r="I721" s="1"/>
    </row>
    <row r="722" spans="1:9" ht="13">
      <c r="A722" s="1"/>
      <c r="B722" s="1"/>
      <c r="C722" s="1"/>
      <c r="D722" s="1"/>
      <c r="E722" s="1"/>
      <c r="F722" s="1"/>
      <c r="G722" s="1"/>
      <c r="H722" s="1"/>
      <c r="I722" s="1"/>
    </row>
    <row r="723" spans="1:9" ht="13">
      <c r="A723" s="1"/>
      <c r="B723" s="1"/>
      <c r="C723" s="1"/>
      <c r="D723" s="1"/>
      <c r="E723" s="1"/>
      <c r="F723" s="1"/>
      <c r="G723" s="1"/>
      <c r="H723" s="1"/>
      <c r="I723" s="1"/>
    </row>
    <row r="724" spans="1:9" ht="13">
      <c r="A724" s="1"/>
      <c r="B724" s="1"/>
      <c r="C724" s="1"/>
      <c r="D724" s="1"/>
      <c r="E724" s="1"/>
      <c r="F724" s="1"/>
      <c r="G724" s="1"/>
      <c r="H724" s="1"/>
      <c r="I724" s="1"/>
    </row>
    <row r="725" spans="1:9" ht="13">
      <c r="A725" s="1"/>
      <c r="B725" s="1"/>
      <c r="C725" s="1"/>
      <c r="D725" s="1"/>
      <c r="E725" s="1"/>
      <c r="F725" s="1"/>
      <c r="G725" s="1"/>
      <c r="H725" s="1"/>
      <c r="I725" s="1"/>
    </row>
    <row r="726" spans="1:9" ht="13">
      <c r="A726" s="1"/>
      <c r="B726" s="1"/>
      <c r="C726" s="1"/>
      <c r="D726" s="1"/>
      <c r="E726" s="1"/>
      <c r="F726" s="1"/>
      <c r="G726" s="1"/>
      <c r="H726" s="1"/>
      <c r="I726" s="1"/>
    </row>
    <row r="727" spans="1:9" ht="13">
      <c r="A727" s="1"/>
      <c r="B727" s="1"/>
      <c r="C727" s="1"/>
      <c r="D727" s="1"/>
      <c r="E727" s="1"/>
      <c r="F727" s="1"/>
      <c r="G727" s="1"/>
      <c r="H727" s="1"/>
      <c r="I727" s="1"/>
    </row>
    <row r="728" spans="1:9" ht="13">
      <c r="A728" s="1"/>
      <c r="B728" s="1"/>
      <c r="C728" s="1"/>
      <c r="D728" s="1"/>
      <c r="E728" s="1"/>
      <c r="F728" s="1"/>
      <c r="G728" s="1"/>
      <c r="H728" s="1"/>
      <c r="I728" s="1"/>
    </row>
    <row r="729" spans="1:9" ht="13">
      <c r="A729" s="1"/>
      <c r="B729" s="1"/>
      <c r="C729" s="1"/>
      <c r="D729" s="1"/>
      <c r="E729" s="1"/>
      <c r="F729" s="1"/>
      <c r="G729" s="1"/>
      <c r="H729" s="1"/>
      <c r="I729" s="1"/>
    </row>
    <row r="730" spans="1:9" ht="13">
      <c r="A730" s="1"/>
      <c r="B730" s="1"/>
      <c r="C730" s="1"/>
      <c r="D730" s="1"/>
      <c r="E730" s="1"/>
      <c r="F730" s="1"/>
      <c r="G730" s="1"/>
      <c r="H730" s="1"/>
      <c r="I730" s="1"/>
    </row>
    <row r="731" spans="1:9" ht="13">
      <c r="A731" s="1"/>
      <c r="B731" s="1"/>
      <c r="C731" s="1"/>
      <c r="D731" s="1"/>
      <c r="E731" s="1"/>
      <c r="F731" s="1"/>
      <c r="G731" s="1"/>
      <c r="H731" s="1"/>
      <c r="I731" s="1"/>
    </row>
    <row r="732" spans="1:9" ht="13">
      <c r="A732" s="1"/>
      <c r="B732" s="1"/>
      <c r="C732" s="1"/>
      <c r="D732" s="1"/>
      <c r="E732" s="1"/>
      <c r="F732" s="1"/>
      <c r="G732" s="1"/>
      <c r="H732" s="1"/>
      <c r="I732" s="1"/>
    </row>
    <row r="733" spans="1:9" ht="13">
      <c r="A733" s="1"/>
      <c r="B733" s="1"/>
      <c r="C733" s="1"/>
      <c r="D733" s="1"/>
      <c r="E733" s="1"/>
      <c r="F733" s="1"/>
      <c r="G733" s="1"/>
      <c r="H733" s="1"/>
      <c r="I733" s="1"/>
    </row>
    <row r="734" spans="1:9" ht="13">
      <c r="A734" s="1"/>
      <c r="B734" s="1"/>
      <c r="C734" s="1"/>
      <c r="D734" s="1"/>
      <c r="E734" s="1"/>
      <c r="F734" s="1"/>
      <c r="G734" s="1"/>
      <c r="H734" s="1"/>
      <c r="I734" s="1"/>
    </row>
    <row r="735" spans="1:9" ht="13">
      <c r="A735" s="1"/>
      <c r="B735" s="1"/>
      <c r="C735" s="1"/>
      <c r="D735" s="1"/>
      <c r="E735" s="1"/>
      <c r="F735" s="1"/>
      <c r="G735" s="1"/>
      <c r="H735" s="1"/>
      <c r="I735" s="1"/>
    </row>
    <row r="736" spans="1:9" ht="13">
      <c r="A736" s="1"/>
      <c r="B736" s="1"/>
      <c r="C736" s="1"/>
      <c r="D736" s="1"/>
      <c r="E736" s="1"/>
      <c r="F736" s="1"/>
      <c r="G736" s="1"/>
      <c r="H736" s="1"/>
      <c r="I736" s="1"/>
    </row>
    <row r="737" spans="1:9" ht="13">
      <c r="A737" s="1"/>
      <c r="B737" s="1"/>
      <c r="C737" s="1"/>
      <c r="D737" s="1"/>
      <c r="E737" s="1"/>
      <c r="F737" s="1"/>
      <c r="G737" s="1"/>
      <c r="H737" s="1"/>
      <c r="I737" s="1"/>
    </row>
    <row r="738" spans="1:9" ht="13">
      <c r="A738" s="1"/>
      <c r="B738" s="1"/>
      <c r="C738" s="1"/>
      <c r="D738" s="1"/>
      <c r="E738" s="1"/>
      <c r="F738" s="1"/>
      <c r="G738" s="1"/>
      <c r="H738" s="1"/>
      <c r="I738" s="1"/>
    </row>
    <row r="739" spans="1:9" ht="13">
      <c r="A739" s="1"/>
      <c r="B739" s="1"/>
      <c r="C739" s="1"/>
      <c r="D739" s="1"/>
      <c r="E739" s="1"/>
      <c r="F739" s="1"/>
      <c r="G739" s="1"/>
      <c r="H739" s="1"/>
      <c r="I739" s="1"/>
    </row>
    <row r="740" spans="1:9" ht="13">
      <c r="A740" s="1"/>
      <c r="B740" s="1"/>
      <c r="C740" s="1"/>
      <c r="D740" s="1"/>
      <c r="E740" s="1"/>
      <c r="F740" s="1"/>
      <c r="G740" s="1"/>
      <c r="H740" s="1"/>
      <c r="I740" s="1"/>
    </row>
    <row r="741" spans="1:9" ht="13">
      <c r="A741" s="1"/>
      <c r="B741" s="1"/>
      <c r="C741" s="1"/>
      <c r="D741" s="1"/>
      <c r="E741" s="1"/>
      <c r="F741" s="1"/>
      <c r="G741" s="1"/>
      <c r="H741" s="1"/>
      <c r="I741" s="1"/>
    </row>
    <row r="742" spans="1:9" ht="13">
      <c r="A742" s="1"/>
      <c r="B742" s="1"/>
      <c r="C742" s="1"/>
      <c r="D742" s="1"/>
      <c r="E742" s="1"/>
      <c r="F742" s="1"/>
      <c r="G742" s="1"/>
      <c r="H742" s="1"/>
      <c r="I742" s="1"/>
    </row>
    <row r="743" spans="1:9" ht="13">
      <c r="A743" s="1"/>
      <c r="B743" s="1"/>
      <c r="C743" s="1"/>
      <c r="D743" s="1"/>
      <c r="E743" s="1"/>
      <c r="F743" s="1"/>
      <c r="G743" s="1"/>
      <c r="H743" s="1"/>
      <c r="I743" s="1"/>
    </row>
    <row r="744" spans="1:9" ht="13">
      <c r="A744" s="1"/>
      <c r="B744" s="1"/>
      <c r="C744" s="1"/>
      <c r="D744" s="1"/>
      <c r="E744" s="1"/>
      <c r="F744" s="1"/>
      <c r="G744" s="1"/>
      <c r="H744" s="1"/>
      <c r="I744" s="1"/>
    </row>
    <row r="745" spans="1:9" ht="13">
      <c r="A745" s="1"/>
      <c r="B745" s="1"/>
      <c r="C745" s="1"/>
      <c r="D745" s="1"/>
      <c r="E745" s="1"/>
      <c r="F745" s="1"/>
      <c r="G745" s="1"/>
      <c r="H745" s="1"/>
      <c r="I745" s="1"/>
    </row>
    <row r="746" spans="1:9" ht="13">
      <c r="A746" s="1"/>
      <c r="B746" s="1"/>
      <c r="C746" s="1"/>
      <c r="D746" s="1"/>
      <c r="E746" s="1"/>
      <c r="F746" s="1"/>
      <c r="G746" s="1"/>
      <c r="H746" s="1"/>
      <c r="I746" s="1"/>
    </row>
    <row r="747" spans="1:9" ht="13">
      <c r="A747" s="1"/>
      <c r="B747" s="1"/>
      <c r="C747" s="1"/>
      <c r="D747" s="1"/>
      <c r="E747" s="1"/>
      <c r="F747" s="1"/>
      <c r="G747" s="1"/>
      <c r="H747" s="1"/>
      <c r="I747" s="1"/>
    </row>
    <row r="748" spans="1:9" ht="13">
      <c r="A748" s="1"/>
      <c r="B748" s="1"/>
      <c r="C748" s="1"/>
      <c r="D748" s="1"/>
      <c r="E748" s="1"/>
      <c r="F748" s="1"/>
      <c r="G748" s="1"/>
      <c r="H748" s="1"/>
      <c r="I748" s="1"/>
    </row>
    <row r="749" spans="1:9" ht="13">
      <c r="A749" s="1"/>
      <c r="B749" s="1"/>
      <c r="C749" s="1"/>
      <c r="D749" s="1"/>
      <c r="E749" s="1"/>
      <c r="F749" s="1"/>
      <c r="G749" s="1"/>
      <c r="H749" s="1"/>
      <c r="I749" s="1"/>
    </row>
    <row r="750" spans="1:9" ht="13">
      <c r="A750" s="1"/>
      <c r="B750" s="1"/>
      <c r="C750" s="1"/>
      <c r="D750" s="1"/>
      <c r="E750" s="1"/>
      <c r="F750" s="1"/>
      <c r="G750" s="1"/>
      <c r="H750" s="1"/>
      <c r="I750" s="1"/>
    </row>
    <row r="751" spans="1:9" ht="13">
      <c r="A751" s="1"/>
      <c r="B751" s="1"/>
      <c r="C751" s="1"/>
      <c r="D751" s="1"/>
      <c r="E751" s="1"/>
      <c r="F751" s="1"/>
      <c r="G751" s="1"/>
      <c r="H751" s="1"/>
      <c r="I751" s="1"/>
    </row>
    <row r="752" spans="1:9" ht="13">
      <c r="A752" s="1"/>
      <c r="B752" s="1"/>
      <c r="C752" s="1"/>
      <c r="D752" s="1"/>
      <c r="E752" s="1"/>
      <c r="F752" s="1"/>
      <c r="G752" s="1"/>
      <c r="H752" s="1"/>
      <c r="I752" s="1"/>
    </row>
    <row r="753" spans="1:9" ht="13">
      <c r="A753" s="1"/>
      <c r="B753" s="1"/>
      <c r="C753" s="1"/>
      <c r="D753" s="1"/>
      <c r="E753" s="1"/>
      <c r="F753" s="1"/>
      <c r="G753" s="1"/>
      <c r="H753" s="1"/>
      <c r="I753" s="1"/>
    </row>
    <row r="754" spans="1:9" ht="13">
      <c r="A754" s="1"/>
      <c r="B754" s="1"/>
      <c r="C754" s="1"/>
      <c r="D754" s="1"/>
      <c r="E754" s="1"/>
      <c r="F754" s="1"/>
      <c r="G754" s="1"/>
      <c r="H754" s="1"/>
      <c r="I754" s="1"/>
    </row>
    <row r="755" spans="1:9" ht="13">
      <c r="A755" s="1"/>
      <c r="B755" s="1"/>
      <c r="C755" s="1"/>
      <c r="D755" s="1"/>
      <c r="E755" s="1"/>
      <c r="F755" s="1"/>
      <c r="G755" s="1"/>
      <c r="H755" s="1"/>
      <c r="I755" s="1"/>
    </row>
    <row r="756" spans="1:9" ht="13">
      <c r="A756" s="1"/>
      <c r="B756" s="1"/>
      <c r="C756" s="1"/>
      <c r="D756" s="1"/>
      <c r="E756" s="1"/>
      <c r="F756" s="1"/>
      <c r="G756" s="1"/>
      <c r="H756" s="1"/>
      <c r="I756" s="1"/>
    </row>
    <row r="757" spans="1:9" ht="13">
      <c r="A757" s="1"/>
      <c r="B757" s="1"/>
      <c r="C757" s="1"/>
      <c r="D757" s="1"/>
      <c r="E757" s="1"/>
      <c r="F757" s="1"/>
      <c r="G757" s="1"/>
      <c r="H757" s="1"/>
      <c r="I757" s="1"/>
    </row>
    <row r="758" spans="1:9" ht="13">
      <c r="A758" s="1"/>
      <c r="B758" s="1"/>
      <c r="C758" s="1"/>
      <c r="D758" s="1"/>
      <c r="E758" s="1"/>
      <c r="F758" s="1"/>
      <c r="G758" s="1"/>
      <c r="H758" s="1"/>
      <c r="I758" s="1"/>
    </row>
    <row r="759" spans="1:9" ht="13">
      <c r="A759" s="1"/>
      <c r="B759" s="1"/>
      <c r="C759" s="1"/>
      <c r="D759" s="1"/>
      <c r="E759" s="1"/>
      <c r="F759" s="1"/>
      <c r="G759" s="1"/>
      <c r="H759" s="1"/>
      <c r="I759" s="1"/>
    </row>
    <row r="760" spans="1:9" ht="13">
      <c r="A760" s="1"/>
      <c r="B760" s="1"/>
      <c r="C760" s="1"/>
      <c r="D760" s="1"/>
      <c r="E760" s="1"/>
      <c r="F760" s="1"/>
      <c r="G760" s="1"/>
      <c r="H760" s="1"/>
      <c r="I760" s="1"/>
    </row>
    <row r="761" spans="1:9" ht="13">
      <c r="A761" s="1"/>
      <c r="B761" s="1"/>
      <c r="C761" s="1"/>
      <c r="D761" s="1"/>
      <c r="E761" s="1"/>
      <c r="F761" s="1"/>
      <c r="G761" s="1"/>
      <c r="H761" s="1"/>
      <c r="I761" s="1"/>
    </row>
    <row r="762" spans="1:9" ht="13">
      <c r="A762" s="1"/>
      <c r="B762" s="1"/>
      <c r="C762" s="1"/>
      <c r="D762" s="1"/>
      <c r="E762" s="1"/>
      <c r="F762" s="1"/>
      <c r="G762" s="1"/>
      <c r="H762" s="1"/>
      <c r="I762" s="1"/>
    </row>
    <row r="763" spans="1:9" ht="13">
      <c r="A763" s="1"/>
      <c r="B763" s="1"/>
      <c r="C763" s="1"/>
      <c r="D763" s="1"/>
      <c r="E763" s="1"/>
      <c r="F763" s="1"/>
      <c r="G763" s="1"/>
      <c r="H763" s="1"/>
      <c r="I763" s="1"/>
    </row>
    <row r="764" spans="1:9" ht="13">
      <c r="A764" s="1"/>
      <c r="B764" s="1"/>
      <c r="C764" s="1"/>
      <c r="D764" s="1"/>
      <c r="E764" s="1"/>
      <c r="F764" s="1"/>
      <c r="G764" s="1"/>
      <c r="H764" s="1"/>
      <c r="I764" s="1"/>
    </row>
    <row r="765" spans="1:9" ht="13">
      <c r="A765" s="1"/>
      <c r="B765" s="1"/>
      <c r="C765" s="1"/>
      <c r="D765" s="1"/>
      <c r="E765" s="1"/>
      <c r="F765" s="1"/>
      <c r="G765" s="1"/>
      <c r="H765" s="1"/>
      <c r="I765" s="1"/>
    </row>
    <row r="766" spans="1:9" ht="13">
      <c r="A766" s="1"/>
      <c r="B766" s="1"/>
      <c r="C766" s="1"/>
      <c r="D766" s="1"/>
      <c r="E766" s="1"/>
      <c r="F766" s="1"/>
      <c r="G766" s="1"/>
      <c r="H766" s="1"/>
      <c r="I766" s="1"/>
    </row>
    <row r="767" spans="1:9" ht="13">
      <c r="A767" s="1"/>
      <c r="B767" s="1"/>
      <c r="C767" s="1"/>
      <c r="D767" s="1"/>
      <c r="E767" s="1"/>
      <c r="F767" s="1"/>
      <c r="G767" s="1"/>
      <c r="H767" s="1"/>
      <c r="I767" s="1"/>
    </row>
    <row r="768" spans="1:9" ht="13">
      <c r="A768" s="1"/>
      <c r="B768" s="1"/>
      <c r="C768" s="1"/>
      <c r="D768" s="1"/>
      <c r="E768" s="1"/>
      <c r="F768" s="1"/>
      <c r="G768" s="1"/>
      <c r="H768" s="1"/>
      <c r="I768" s="1"/>
    </row>
    <row r="769" spans="1:9" ht="13">
      <c r="A769" s="1"/>
      <c r="B769" s="1"/>
      <c r="C769" s="1"/>
      <c r="D769" s="1"/>
      <c r="E769" s="1"/>
      <c r="F769" s="1"/>
      <c r="G769" s="1"/>
      <c r="H769" s="1"/>
      <c r="I769" s="1"/>
    </row>
    <row r="770" spans="1:9" ht="13">
      <c r="A770" s="1"/>
      <c r="B770" s="1"/>
      <c r="C770" s="1"/>
      <c r="D770" s="1"/>
      <c r="E770" s="1"/>
      <c r="F770" s="1"/>
      <c r="G770" s="1"/>
      <c r="H770" s="1"/>
      <c r="I770" s="1"/>
    </row>
    <row r="771" spans="1:9" ht="13">
      <c r="A771" s="1"/>
      <c r="B771" s="1"/>
      <c r="C771" s="1"/>
      <c r="D771" s="1"/>
      <c r="E771" s="1"/>
      <c r="F771" s="1"/>
      <c r="G771" s="1"/>
      <c r="H771" s="1"/>
      <c r="I771" s="1"/>
    </row>
    <row r="772" spans="1:9" ht="13">
      <c r="A772" s="1"/>
      <c r="B772" s="1"/>
      <c r="C772" s="1"/>
      <c r="D772" s="1"/>
      <c r="E772" s="1"/>
      <c r="F772" s="1"/>
      <c r="G772" s="1"/>
      <c r="H772" s="1"/>
      <c r="I772" s="1"/>
    </row>
    <row r="773" spans="1:9" ht="13">
      <c r="A773" s="1"/>
      <c r="B773" s="1"/>
      <c r="C773" s="1"/>
      <c r="D773" s="1"/>
      <c r="E773" s="1"/>
      <c r="F773" s="1"/>
      <c r="G773" s="1"/>
      <c r="H773" s="1"/>
      <c r="I773" s="1"/>
    </row>
    <row r="774" spans="1:9" ht="13">
      <c r="A774" s="1"/>
      <c r="B774" s="1"/>
      <c r="C774" s="1"/>
      <c r="D774" s="1"/>
      <c r="E774" s="1"/>
      <c r="F774" s="1"/>
      <c r="G774" s="1"/>
      <c r="H774" s="1"/>
      <c r="I774" s="1"/>
    </row>
    <row r="775" spans="1:9" ht="13">
      <c r="A775" s="1"/>
      <c r="B775" s="1"/>
      <c r="C775" s="1"/>
      <c r="D775" s="1"/>
      <c r="E775" s="1"/>
      <c r="F775" s="1"/>
      <c r="G775" s="1"/>
      <c r="H775" s="1"/>
      <c r="I775" s="1"/>
    </row>
    <row r="776" spans="1:9" ht="13">
      <c r="A776" s="1"/>
      <c r="B776" s="1"/>
      <c r="C776" s="1"/>
      <c r="D776" s="1"/>
      <c r="E776" s="1"/>
      <c r="F776" s="1"/>
      <c r="G776" s="1"/>
      <c r="H776" s="1"/>
      <c r="I776" s="1"/>
    </row>
    <row r="777" spans="1:9" ht="13">
      <c r="A777" s="1"/>
      <c r="B777" s="1"/>
      <c r="C777" s="1"/>
      <c r="D777" s="1"/>
      <c r="E777" s="1"/>
      <c r="F777" s="1"/>
      <c r="G777" s="1"/>
      <c r="H777" s="1"/>
      <c r="I777" s="1"/>
    </row>
    <row r="778" spans="1:9" ht="13">
      <c r="A778" s="1"/>
      <c r="B778" s="1"/>
      <c r="C778" s="1"/>
      <c r="D778" s="1"/>
      <c r="E778" s="1"/>
      <c r="F778" s="1"/>
      <c r="G778" s="1"/>
      <c r="H778" s="1"/>
      <c r="I778" s="1"/>
    </row>
    <row r="779" spans="1:9" ht="13">
      <c r="A779" s="1"/>
      <c r="B779" s="1"/>
      <c r="C779" s="1"/>
      <c r="D779" s="1"/>
      <c r="E779" s="1"/>
      <c r="F779" s="1"/>
      <c r="G779" s="1"/>
      <c r="H779" s="1"/>
      <c r="I779" s="1"/>
    </row>
    <row r="780" spans="1:9" ht="13">
      <c r="A780" s="1"/>
      <c r="B780" s="1"/>
      <c r="C780" s="1"/>
      <c r="D780" s="1"/>
      <c r="E780" s="1"/>
      <c r="F780" s="1"/>
      <c r="G780" s="1"/>
      <c r="H780" s="1"/>
      <c r="I780" s="1"/>
    </row>
    <row r="781" spans="1:9" ht="13">
      <c r="A781" s="1"/>
      <c r="B781" s="1"/>
      <c r="C781" s="1"/>
      <c r="D781" s="1"/>
      <c r="E781" s="1"/>
      <c r="F781" s="1"/>
      <c r="G781" s="1"/>
      <c r="H781" s="1"/>
      <c r="I781" s="1"/>
    </row>
    <row r="782" spans="1:9" ht="13">
      <c r="A782" s="1"/>
      <c r="B782" s="1"/>
      <c r="C782" s="1"/>
      <c r="D782" s="1"/>
      <c r="E782" s="1"/>
      <c r="F782" s="1"/>
      <c r="G782" s="1"/>
      <c r="H782" s="1"/>
      <c r="I782" s="1"/>
    </row>
    <row r="783" spans="1:9" ht="13">
      <c r="A783" s="1"/>
      <c r="B783" s="1"/>
      <c r="C783" s="1"/>
      <c r="D783" s="1"/>
      <c r="E783" s="1"/>
      <c r="F783" s="1"/>
      <c r="G783" s="1"/>
      <c r="H783" s="1"/>
      <c r="I783" s="1"/>
    </row>
    <row r="784" spans="1:9" ht="13">
      <c r="A784" s="1"/>
      <c r="B784" s="1"/>
      <c r="C784" s="1"/>
      <c r="D784" s="1"/>
      <c r="E784" s="1"/>
      <c r="F784" s="1"/>
      <c r="G784" s="1"/>
      <c r="H784" s="1"/>
      <c r="I784" s="1"/>
    </row>
    <row r="785" spans="1:9" ht="13">
      <c r="A785" s="1"/>
      <c r="B785" s="1"/>
      <c r="C785" s="1"/>
      <c r="D785" s="1"/>
      <c r="E785" s="1"/>
      <c r="F785" s="1"/>
      <c r="G785" s="1"/>
      <c r="H785" s="1"/>
      <c r="I785" s="1"/>
    </row>
    <row r="786" spans="1:9" ht="13">
      <c r="A786" s="1"/>
      <c r="B786" s="1"/>
      <c r="C786" s="1"/>
      <c r="D786" s="1"/>
      <c r="E786" s="1"/>
      <c r="F786" s="1"/>
      <c r="G786" s="1"/>
      <c r="H786" s="1"/>
      <c r="I786" s="1"/>
    </row>
    <row r="787" spans="1:9" ht="13">
      <c r="A787" s="1"/>
      <c r="B787" s="1"/>
      <c r="C787" s="1"/>
      <c r="D787" s="1"/>
      <c r="E787" s="1"/>
      <c r="F787" s="1"/>
      <c r="G787" s="1"/>
      <c r="H787" s="1"/>
      <c r="I787" s="1"/>
    </row>
    <row r="788" spans="1:9" ht="13">
      <c r="A788" s="1"/>
      <c r="B788" s="1"/>
      <c r="C788" s="1"/>
      <c r="D788" s="1"/>
      <c r="E788" s="1"/>
      <c r="F788" s="1"/>
      <c r="G788" s="1"/>
      <c r="H788" s="1"/>
      <c r="I788" s="1"/>
    </row>
    <row r="789" spans="1:9" ht="13">
      <c r="A789" s="1"/>
      <c r="B789" s="1"/>
      <c r="C789" s="1"/>
      <c r="D789" s="1"/>
      <c r="E789" s="1"/>
      <c r="F789" s="1"/>
      <c r="G789" s="1"/>
      <c r="H789" s="1"/>
      <c r="I789" s="1"/>
    </row>
    <row r="790" spans="1:9" ht="13">
      <c r="A790" s="1"/>
      <c r="B790" s="1"/>
      <c r="C790" s="1"/>
      <c r="D790" s="1"/>
      <c r="E790" s="1"/>
      <c r="F790" s="1"/>
      <c r="G790" s="1"/>
      <c r="H790" s="1"/>
      <c r="I790" s="1"/>
    </row>
    <row r="791" spans="1:9" ht="13">
      <c r="A791" s="1"/>
      <c r="B791" s="1"/>
      <c r="C791" s="1"/>
      <c r="D791" s="1"/>
      <c r="E791" s="1"/>
      <c r="F791" s="1"/>
      <c r="G791" s="1"/>
      <c r="H791" s="1"/>
      <c r="I791" s="1"/>
    </row>
    <row r="792" spans="1:9" ht="13">
      <c r="A792" s="1"/>
      <c r="B792" s="1"/>
      <c r="C792" s="1"/>
      <c r="D792" s="1"/>
      <c r="E792" s="1"/>
      <c r="F792" s="1"/>
      <c r="G792" s="1"/>
      <c r="H792" s="1"/>
      <c r="I792" s="1"/>
    </row>
    <row r="793" spans="1:9" ht="13">
      <c r="A793" s="1"/>
      <c r="B793" s="1"/>
      <c r="C793" s="1"/>
      <c r="D793" s="1"/>
      <c r="E793" s="1"/>
      <c r="F793" s="1"/>
      <c r="G793" s="1"/>
      <c r="H793" s="1"/>
      <c r="I793" s="1"/>
    </row>
    <row r="794" spans="1:9" ht="13">
      <c r="A794" s="1"/>
      <c r="B794" s="1"/>
      <c r="C794" s="1"/>
      <c r="D794" s="1"/>
      <c r="E794" s="1"/>
      <c r="F794" s="1"/>
      <c r="G794" s="1"/>
      <c r="H794" s="1"/>
      <c r="I794" s="1"/>
    </row>
    <row r="795" spans="1:9" ht="13">
      <c r="A795" s="1"/>
      <c r="B795" s="1"/>
      <c r="C795" s="1"/>
      <c r="D795" s="1"/>
      <c r="E795" s="1"/>
      <c r="F795" s="1"/>
      <c r="G795" s="1"/>
      <c r="H795" s="1"/>
      <c r="I795" s="1"/>
    </row>
    <row r="796" spans="1:9" ht="13">
      <c r="A796" s="1"/>
      <c r="B796" s="1"/>
      <c r="C796" s="1"/>
      <c r="D796" s="1"/>
      <c r="E796" s="1"/>
      <c r="F796" s="1"/>
      <c r="G796" s="1"/>
      <c r="H796" s="1"/>
      <c r="I796" s="1"/>
    </row>
    <row r="797" spans="1:9" ht="13">
      <c r="A797" s="1"/>
      <c r="B797" s="1"/>
      <c r="C797" s="1"/>
      <c r="D797" s="1"/>
      <c r="E797" s="1"/>
      <c r="F797" s="1"/>
      <c r="G797" s="1"/>
      <c r="H797" s="1"/>
      <c r="I797" s="1"/>
    </row>
    <row r="798" spans="1:9" ht="13">
      <c r="A798" s="1"/>
      <c r="B798" s="1"/>
      <c r="C798" s="1"/>
      <c r="D798" s="1"/>
      <c r="E798" s="1"/>
      <c r="F798" s="1"/>
      <c r="G798" s="1"/>
      <c r="H798" s="1"/>
      <c r="I798" s="1"/>
    </row>
    <row r="799" spans="1:9" ht="13">
      <c r="A799" s="1"/>
      <c r="B799" s="1"/>
      <c r="C799" s="1"/>
      <c r="D799" s="1"/>
      <c r="E799" s="1"/>
      <c r="F799" s="1"/>
      <c r="G799" s="1"/>
      <c r="H799" s="1"/>
      <c r="I799" s="1"/>
    </row>
    <row r="800" spans="1:9" ht="13">
      <c r="A800" s="1"/>
      <c r="B800" s="1"/>
      <c r="C800" s="1"/>
      <c r="D800" s="1"/>
      <c r="E800" s="1"/>
      <c r="F800" s="1"/>
      <c r="G800" s="1"/>
      <c r="H800" s="1"/>
      <c r="I800" s="1"/>
    </row>
    <row r="801" spans="1:9" ht="13">
      <c r="A801" s="1"/>
      <c r="B801" s="1"/>
      <c r="C801" s="1"/>
      <c r="D801" s="1"/>
      <c r="E801" s="1"/>
      <c r="F801" s="1"/>
      <c r="G801" s="1"/>
      <c r="H801" s="1"/>
      <c r="I801" s="1"/>
    </row>
    <row r="802" spans="1:9" ht="13">
      <c r="A802" s="1"/>
      <c r="B802" s="1"/>
      <c r="C802" s="1"/>
      <c r="D802" s="1"/>
      <c r="E802" s="1"/>
      <c r="F802" s="1"/>
      <c r="G802" s="1"/>
      <c r="H802" s="1"/>
      <c r="I802" s="1"/>
    </row>
    <row r="803" spans="1:9" ht="13">
      <c r="A803" s="1"/>
      <c r="B803" s="1"/>
      <c r="C803" s="1"/>
      <c r="D803" s="1"/>
      <c r="E803" s="1"/>
      <c r="F803" s="1"/>
      <c r="G803" s="1"/>
      <c r="H803" s="1"/>
      <c r="I803" s="1"/>
    </row>
    <row r="804" spans="1:9" ht="13">
      <c r="A804" s="1"/>
      <c r="B804" s="1"/>
      <c r="C804" s="1"/>
      <c r="D804" s="1"/>
      <c r="E804" s="1"/>
      <c r="F804" s="1"/>
      <c r="G804" s="1"/>
      <c r="H804" s="1"/>
      <c r="I804" s="1"/>
    </row>
    <row r="805" spans="1:9" ht="13">
      <c r="A805" s="1"/>
      <c r="B805" s="1"/>
      <c r="C805" s="1"/>
      <c r="D805" s="1"/>
      <c r="E805" s="1"/>
      <c r="F805" s="1"/>
      <c r="G805" s="1"/>
      <c r="H805" s="1"/>
      <c r="I805" s="1"/>
    </row>
    <row r="806" spans="1:9" ht="13">
      <c r="A806" s="1"/>
      <c r="B806" s="1"/>
      <c r="C806" s="1"/>
      <c r="D806" s="1"/>
      <c r="E806" s="1"/>
      <c r="F806" s="1"/>
      <c r="G806" s="1"/>
      <c r="H806" s="1"/>
      <c r="I806" s="1"/>
    </row>
    <row r="807" spans="1:9" ht="13">
      <c r="A807" s="1"/>
      <c r="B807" s="1"/>
      <c r="C807" s="1"/>
      <c r="D807" s="1"/>
      <c r="E807" s="1"/>
      <c r="F807" s="1"/>
      <c r="G807" s="1"/>
      <c r="H807" s="1"/>
      <c r="I807" s="1"/>
    </row>
    <row r="808" spans="1:9" ht="13">
      <c r="A808" s="1"/>
      <c r="B808" s="1"/>
      <c r="C808" s="1"/>
      <c r="D808" s="1"/>
      <c r="E808" s="1"/>
      <c r="F808" s="1"/>
      <c r="G808" s="1"/>
      <c r="H808" s="1"/>
      <c r="I808" s="1"/>
    </row>
    <row r="809" spans="1:9" ht="13">
      <c r="A809" s="1"/>
      <c r="B809" s="1"/>
      <c r="C809" s="1"/>
      <c r="D809" s="1"/>
      <c r="E809" s="1"/>
      <c r="F809" s="1"/>
      <c r="G809" s="1"/>
      <c r="H809" s="1"/>
      <c r="I809" s="1"/>
    </row>
    <row r="810" spans="1:9" ht="13">
      <c r="A810" s="1"/>
      <c r="B810" s="1"/>
      <c r="C810" s="1"/>
      <c r="D810" s="1"/>
      <c r="E810" s="1"/>
      <c r="F810" s="1"/>
      <c r="G810" s="1"/>
      <c r="H810" s="1"/>
      <c r="I810" s="1"/>
    </row>
    <row r="811" spans="1:9" ht="13">
      <c r="A811" s="1"/>
      <c r="B811" s="1"/>
      <c r="C811" s="1"/>
      <c r="D811" s="1"/>
      <c r="E811" s="1"/>
      <c r="F811" s="1"/>
      <c r="G811" s="1"/>
      <c r="H811" s="1"/>
      <c r="I811" s="1"/>
    </row>
    <row r="812" spans="1:9" ht="13">
      <c r="A812" s="1"/>
      <c r="B812" s="1"/>
      <c r="C812" s="1"/>
      <c r="D812" s="1"/>
      <c r="E812" s="1"/>
      <c r="F812" s="1"/>
      <c r="G812" s="1"/>
      <c r="H812" s="1"/>
      <c r="I812" s="1"/>
    </row>
    <row r="813" spans="1:9" ht="13">
      <c r="A813" s="1"/>
      <c r="B813" s="1"/>
      <c r="C813" s="1"/>
      <c r="D813" s="1"/>
      <c r="E813" s="1"/>
      <c r="F813" s="1"/>
      <c r="G813" s="1"/>
      <c r="H813" s="1"/>
      <c r="I813" s="1"/>
    </row>
    <row r="814" spans="1:9" ht="13">
      <c r="A814" s="1"/>
      <c r="B814" s="1"/>
      <c r="C814" s="1"/>
      <c r="D814" s="1"/>
      <c r="E814" s="1"/>
      <c r="F814" s="1"/>
      <c r="G814" s="1"/>
      <c r="H814" s="1"/>
      <c r="I814" s="1"/>
    </row>
    <row r="815" spans="1:9" ht="13">
      <c r="A815" s="1"/>
      <c r="B815" s="1"/>
      <c r="C815" s="1"/>
      <c r="D815" s="1"/>
      <c r="E815" s="1"/>
      <c r="F815" s="1"/>
      <c r="G815" s="1"/>
      <c r="H815" s="1"/>
      <c r="I815" s="1"/>
    </row>
    <row r="816" spans="1:9" ht="13">
      <c r="A816" s="1"/>
      <c r="B816" s="1"/>
      <c r="C816" s="1"/>
      <c r="D816" s="1"/>
      <c r="E816" s="1"/>
      <c r="F816" s="1"/>
      <c r="G816" s="1"/>
      <c r="H816" s="1"/>
      <c r="I816" s="1"/>
    </row>
    <row r="817" spans="1:9" ht="13">
      <c r="A817" s="1"/>
      <c r="B817" s="1"/>
      <c r="C817" s="1"/>
      <c r="D817" s="1"/>
      <c r="E817" s="1"/>
      <c r="F817" s="1"/>
      <c r="G817" s="1"/>
      <c r="H817" s="1"/>
      <c r="I817" s="1"/>
    </row>
    <row r="818" spans="1:9" ht="13">
      <c r="A818" s="1"/>
      <c r="B818" s="1"/>
      <c r="C818" s="1"/>
      <c r="D818" s="1"/>
      <c r="E818" s="1"/>
      <c r="F818" s="1"/>
      <c r="G818" s="1"/>
      <c r="H818" s="1"/>
      <c r="I818" s="1"/>
    </row>
    <row r="819" spans="1:9" ht="13">
      <c r="A819" s="1"/>
      <c r="B819" s="1"/>
      <c r="C819" s="1"/>
      <c r="D819" s="1"/>
      <c r="E819" s="1"/>
      <c r="F819" s="1"/>
      <c r="G819" s="1"/>
      <c r="H819" s="1"/>
      <c r="I819" s="1"/>
    </row>
    <row r="820" spans="1:9" ht="13">
      <c r="A820" s="1"/>
      <c r="B820" s="1"/>
      <c r="C820" s="1"/>
      <c r="D820" s="1"/>
      <c r="E820" s="1"/>
      <c r="F820" s="1"/>
      <c r="G820" s="1"/>
      <c r="H820" s="1"/>
      <c r="I820" s="1"/>
    </row>
    <row r="821" spans="1:9" ht="13">
      <c r="A821" s="1"/>
      <c r="B821" s="1"/>
      <c r="C821" s="1"/>
      <c r="D821" s="1"/>
      <c r="E821" s="1"/>
      <c r="F821" s="1"/>
      <c r="G821" s="1"/>
      <c r="H821" s="1"/>
      <c r="I821" s="1"/>
    </row>
    <row r="822" spans="1:9" ht="13">
      <c r="A822" s="1"/>
      <c r="B822" s="1"/>
      <c r="C822" s="1"/>
      <c r="D822" s="1"/>
      <c r="E822" s="1"/>
      <c r="F822" s="1"/>
      <c r="G822" s="1"/>
      <c r="H822" s="1"/>
      <c r="I822" s="1"/>
    </row>
    <row r="823" spans="1:9" ht="13">
      <c r="A823" s="1"/>
      <c r="B823" s="1"/>
      <c r="C823" s="1"/>
      <c r="D823" s="1"/>
      <c r="E823" s="1"/>
      <c r="F823" s="1"/>
      <c r="G823" s="1"/>
      <c r="H823" s="1"/>
      <c r="I823" s="1"/>
    </row>
    <row r="824" spans="1:9" ht="13">
      <c r="A824" s="1"/>
      <c r="B824" s="1"/>
      <c r="C824" s="1"/>
      <c r="D824" s="1"/>
      <c r="E824" s="1"/>
      <c r="F824" s="1"/>
      <c r="G824" s="1"/>
      <c r="H824" s="1"/>
      <c r="I824" s="1"/>
    </row>
    <row r="825" spans="1:9" ht="13">
      <c r="A825" s="1"/>
      <c r="B825" s="1"/>
      <c r="C825" s="1"/>
      <c r="D825" s="1"/>
      <c r="E825" s="1"/>
      <c r="F825" s="1"/>
      <c r="G825" s="1"/>
      <c r="H825" s="1"/>
      <c r="I825" s="1"/>
    </row>
    <row r="826" spans="1:9" ht="13">
      <c r="A826" s="1"/>
      <c r="B826" s="1"/>
      <c r="C826" s="1"/>
      <c r="D826" s="1"/>
      <c r="E826" s="1"/>
      <c r="F826" s="1"/>
      <c r="G826" s="1"/>
      <c r="H826" s="1"/>
      <c r="I826" s="1"/>
    </row>
    <row r="827" spans="1:9" ht="13">
      <c r="A827" s="1"/>
      <c r="B827" s="1"/>
      <c r="C827" s="1"/>
      <c r="D827" s="1"/>
      <c r="E827" s="1"/>
      <c r="F827" s="1"/>
      <c r="G827" s="1"/>
      <c r="H827" s="1"/>
      <c r="I827" s="1"/>
    </row>
    <row r="828" spans="1:9" ht="13">
      <c r="A828" s="1"/>
      <c r="B828" s="1"/>
      <c r="C828" s="1"/>
      <c r="D828" s="1"/>
      <c r="E828" s="1"/>
      <c r="F828" s="1"/>
      <c r="G828" s="1"/>
      <c r="H828" s="1"/>
      <c r="I828" s="1"/>
    </row>
    <row r="829" spans="1:9" ht="13">
      <c r="A829" s="1"/>
      <c r="B829" s="1"/>
      <c r="C829" s="1"/>
      <c r="D829" s="1"/>
      <c r="E829" s="1"/>
      <c r="F829" s="1"/>
      <c r="G829" s="1"/>
      <c r="H829" s="1"/>
      <c r="I829" s="1"/>
    </row>
    <row r="830" spans="1:9" ht="13">
      <c r="A830" s="1"/>
      <c r="B830" s="1"/>
      <c r="C830" s="1"/>
      <c r="D830" s="1"/>
      <c r="E830" s="1"/>
      <c r="F830" s="1"/>
      <c r="G830" s="1"/>
      <c r="H830" s="1"/>
      <c r="I830" s="1"/>
    </row>
    <row r="831" spans="1:9" ht="13">
      <c r="A831" s="1"/>
      <c r="B831" s="1"/>
      <c r="C831" s="1"/>
      <c r="D831" s="1"/>
      <c r="E831" s="1"/>
      <c r="F831" s="1"/>
      <c r="G831" s="1"/>
      <c r="H831" s="1"/>
      <c r="I831" s="1"/>
    </row>
    <row r="832" spans="1:9" ht="13">
      <c r="A832" s="1"/>
      <c r="B832" s="1"/>
      <c r="C832" s="1"/>
      <c r="D832" s="1"/>
      <c r="E832" s="1"/>
      <c r="F832" s="1"/>
      <c r="G832" s="1"/>
      <c r="H832" s="1"/>
      <c r="I832" s="1"/>
    </row>
    <row r="833" spans="1:9" ht="13">
      <c r="A833" s="1"/>
      <c r="B833" s="1"/>
      <c r="C833" s="1"/>
      <c r="D833" s="1"/>
      <c r="E833" s="1"/>
      <c r="F833" s="1"/>
      <c r="G833" s="1"/>
      <c r="H833" s="1"/>
      <c r="I833" s="1"/>
    </row>
    <row r="834" spans="1:9" ht="13">
      <c r="A834" s="1"/>
      <c r="B834" s="1"/>
      <c r="C834" s="1"/>
      <c r="D834" s="1"/>
      <c r="E834" s="1"/>
      <c r="F834" s="1"/>
      <c r="G834" s="1"/>
      <c r="H834" s="1"/>
      <c r="I834" s="1"/>
    </row>
    <row r="835" spans="1:9" ht="13">
      <c r="A835" s="1"/>
      <c r="B835" s="1"/>
      <c r="C835" s="1"/>
      <c r="D835" s="1"/>
      <c r="E835" s="1"/>
      <c r="F835" s="1"/>
      <c r="G835" s="1"/>
      <c r="H835" s="1"/>
      <c r="I835" s="1"/>
    </row>
    <row r="836" spans="1:9" ht="13">
      <c r="A836" s="1"/>
      <c r="B836" s="1"/>
      <c r="C836" s="1"/>
      <c r="D836" s="1"/>
      <c r="E836" s="1"/>
      <c r="F836" s="1"/>
      <c r="G836" s="1"/>
      <c r="H836" s="1"/>
      <c r="I836" s="1"/>
    </row>
    <row r="837" spans="1:9" ht="13">
      <c r="A837" s="1"/>
      <c r="B837" s="1"/>
      <c r="C837" s="1"/>
      <c r="D837" s="1"/>
      <c r="E837" s="1"/>
      <c r="F837" s="1"/>
      <c r="G837" s="1"/>
      <c r="H837" s="1"/>
      <c r="I837" s="1"/>
    </row>
    <row r="838" spans="1:9" ht="13">
      <c r="A838" s="1"/>
      <c r="B838" s="1"/>
      <c r="C838" s="1"/>
      <c r="D838" s="1"/>
      <c r="E838" s="1"/>
      <c r="F838" s="1"/>
      <c r="G838" s="1"/>
      <c r="H838" s="1"/>
      <c r="I838" s="1"/>
    </row>
    <row r="839" spans="1:9" ht="13">
      <c r="A839" s="1"/>
      <c r="B839" s="1"/>
      <c r="C839" s="1"/>
      <c r="D839" s="1"/>
      <c r="E839" s="1"/>
      <c r="F839" s="1"/>
      <c r="G839" s="1"/>
      <c r="H839" s="1"/>
      <c r="I839" s="1"/>
    </row>
    <row r="840" spans="1:9" ht="13">
      <c r="A840" s="1"/>
      <c r="B840" s="1"/>
      <c r="C840" s="1"/>
      <c r="D840" s="1"/>
      <c r="E840" s="1"/>
      <c r="F840" s="1"/>
      <c r="G840" s="1"/>
      <c r="H840" s="1"/>
      <c r="I840" s="1"/>
    </row>
    <row r="841" spans="1:9" ht="13">
      <c r="A841" s="1"/>
      <c r="B841" s="1"/>
      <c r="C841" s="1"/>
      <c r="D841" s="1"/>
      <c r="E841" s="1"/>
      <c r="F841" s="1"/>
      <c r="G841" s="1"/>
      <c r="H841" s="1"/>
      <c r="I841" s="1"/>
    </row>
    <row r="842" spans="1:9" ht="13">
      <c r="A842" s="1"/>
      <c r="B842" s="1"/>
      <c r="C842" s="1"/>
      <c r="D842" s="1"/>
      <c r="E842" s="1"/>
      <c r="F842" s="1"/>
      <c r="G842" s="1"/>
      <c r="H842" s="1"/>
      <c r="I842" s="1"/>
    </row>
    <row r="843" spans="1:9" ht="13">
      <c r="A843" s="1"/>
      <c r="B843" s="1"/>
      <c r="C843" s="1"/>
      <c r="D843" s="1"/>
      <c r="E843" s="1"/>
      <c r="F843" s="1"/>
      <c r="G843" s="1"/>
      <c r="H843" s="1"/>
      <c r="I843" s="1"/>
    </row>
    <row r="844" spans="1:9" ht="13">
      <c r="A844" s="1"/>
      <c r="B844" s="1"/>
      <c r="C844" s="1"/>
      <c r="D844" s="1"/>
      <c r="E844" s="1"/>
      <c r="F844" s="1"/>
      <c r="G844" s="1"/>
      <c r="H844" s="1"/>
      <c r="I844" s="1"/>
    </row>
    <row r="845" spans="1:9" ht="13">
      <c r="A845" s="1"/>
      <c r="B845" s="1"/>
      <c r="C845" s="1"/>
      <c r="D845" s="1"/>
      <c r="E845" s="1"/>
      <c r="F845" s="1"/>
      <c r="G845" s="1"/>
      <c r="H845" s="1"/>
      <c r="I845" s="1"/>
    </row>
    <row r="846" spans="1:9" ht="13">
      <c r="A846" s="1"/>
      <c r="B846" s="1"/>
      <c r="C846" s="1"/>
      <c r="D846" s="1"/>
      <c r="E846" s="1"/>
      <c r="F846" s="1"/>
      <c r="G846" s="1"/>
      <c r="H846" s="1"/>
      <c r="I846" s="1"/>
    </row>
    <row r="847" spans="1:9" ht="13">
      <c r="A847" s="1"/>
      <c r="B847" s="1"/>
      <c r="C847" s="1"/>
      <c r="D847" s="1"/>
      <c r="E847" s="1"/>
      <c r="F847" s="1"/>
      <c r="G847" s="1"/>
      <c r="H847" s="1"/>
      <c r="I847" s="1"/>
    </row>
    <row r="848" spans="1:9" ht="13">
      <c r="A848" s="1"/>
      <c r="B848" s="1"/>
      <c r="C848" s="1"/>
      <c r="D848" s="1"/>
      <c r="E848" s="1"/>
      <c r="F848" s="1"/>
      <c r="G848" s="1"/>
      <c r="H848" s="1"/>
      <c r="I848" s="1"/>
    </row>
    <row r="849" spans="1:9" ht="13">
      <c r="A849" s="1"/>
      <c r="B849" s="1"/>
      <c r="C849" s="1"/>
      <c r="D849" s="1"/>
      <c r="E849" s="1"/>
      <c r="F849" s="1"/>
      <c r="G849" s="1"/>
      <c r="H849" s="1"/>
      <c r="I849" s="1"/>
    </row>
    <row r="850" spans="1:9" ht="13">
      <c r="A850" s="1"/>
      <c r="B850" s="1"/>
      <c r="C850" s="1"/>
      <c r="D850" s="1"/>
      <c r="E850" s="1"/>
      <c r="F850" s="1"/>
      <c r="G850" s="1"/>
      <c r="H850" s="1"/>
      <c r="I850" s="1"/>
    </row>
    <row r="851" spans="1:9" ht="13">
      <c r="A851" s="1"/>
      <c r="B851" s="1"/>
      <c r="C851" s="1"/>
      <c r="D851" s="1"/>
      <c r="E851" s="1"/>
      <c r="F851" s="1"/>
      <c r="G851" s="1"/>
      <c r="H851" s="1"/>
      <c r="I851" s="1"/>
    </row>
    <row r="852" spans="1:9" ht="13">
      <c r="A852" s="1"/>
      <c r="B852" s="1"/>
      <c r="C852" s="1"/>
      <c r="D852" s="1"/>
      <c r="E852" s="1"/>
      <c r="F852" s="1"/>
      <c r="G852" s="1"/>
      <c r="H852" s="1"/>
      <c r="I852" s="1"/>
    </row>
    <row r="853" spans="1:9" ht="13">
      <c r="A853" s="1"/>
      <c r="B853" s="1"/>
      <c r="C853" s="1"/>
      <c r="D853" s="1"/>
      <c r="E853" s="1"/>
      <c r="F853" s="1"/>
      <c r="G853" s="1"/>
      <c r="H853" s="1"/>
      <c r="I853" s="1"/>
    </row>
    <row r="854" spans="1:9" ht="13">
      <c r="A854" s="1"/>
      <c r="B854" s="1"/>
      <c r="C854" s="1"/>
      <c r="D854" s="1"/>
      <c r="E854" s="1"/>
      <c r="F854" s="1"/>
      <c r="G854" s="1"/>
      <c r="H854" s="1"/>
      <c r="I854" s="1"/>
    </row>
    <row r="855" spans="1:9" ht="13">
      <c r="A855" s="1"/>
      <c r="B855" s="1"/>
      <c r="C855" s="1"/>
      <c r="D855" s="1"/>
      <c r="E855" s="1"/>
      <c r="F855" s="1"/>
      <c r="G855" s="1"/>
      <c r="H855" s="1"/>
      <c r="I855" s="1"/>
    </row>
    <row r="856" spans="1:9" ht="13">
      <c r="A856" s="1"/>
      <c r="B856" s="1"/>
      <c r="C856" s="1"/>
      <c r="D856" s="1"/>
      <c r="E856" s="1"/>
      <c r="F856" s="1"/>
      <c r="G856" s="1"/>
      <c r="H856" s="1"/>
      <c r="I856" s="1"/>
    </row>
    <row r="857" spans="1:9" ht="13">
      <c r="A857" s="1"/>
      <c r="B857" s="1"/>
      <c r="C857" s="1"/>
      <c r="D857" s="1"/>
      <c r="E857" s="1"/>
      <c r="F857" s="1"/>
      <c r="G857" s="1"/>
      <c r="H857" s="1"/>
      <c r="I857" s="1"/>
    </row>
    <row r="858" spans="1:9" ht="13">
      <c r="A858" s="1"/>
      <c r="B858" s="1"/>
      <c r="C858" s="1"/>
      <c r="D858" s="1"/>
      <c r="E858" s="1"/>
      <c r="F858" s="1"/>
      <c r="G858" s="1"/>
      <c r="H858" s="1"/>
      <c r="I858" s="1"/>
    </row>
    <row r="859" spans="1:9" ht="13">
      <c r="A859" s="1"/>
      <c r="B859" s="1"/>
      <c r="C859" s="1"/>
      <c r="D859" s="1"/>
      <c r="E859" s="1"/>
      <c r="F859" s="1"/>
      <c r="G859" s="1"/>
      <c r="H859" s="1"/>
      <c r="I859" s="1"/>
    </row>
    <row r="860" spans="1:9" ht="13">
      <c r="A860" s="1"/>
      <c r="B860" s="1"/>
      <c r="C860" s="1"/>
      <c r="D860" s="1"/>
      <c r="E860" s="1"/>
      <c r="F860" s="1"/>
      <c r="G860" s="1"/>
      <c r="H860" s="1"/>
      <c r="I860" s="1"/>
    </row>
    <row r="861" spans="1:9" ht="13">
      <c r="A861" s="1"/>
      <c r="B861" s="1"/>
      <c r="C861" s="1"/>
      <c r="D861" s="1"/>
      <c r="E861" s="1"/>
      <c r="F861" s="1"/>
      <c r="G861" s="1"/>
      <c r="H861" s="1"/>
      <c r="I861" s="1"/>
    </row>
    <row r="862" spans="1:9" ht="13">
      <c r="A862" s="1"/>
      <c r="B862" s="1"/>
      <c r="C862" s="1"/>
      <c r="D862" s="1"/>
      <c r="E862" s="1"/>
      <c r="F862" s="1"/>
      <c r="G862" s="1"/>
      <c r="H862" s="1"/>
      <c r="I862" s="1"/>
    </row>
    <row r="863" spans="1:9" ht="13">
      <c r="A863" s="1"/>
      <c r="B863" s="1"/>
      <c r="C863" s="1"/>
      <c r="D863" s="1"/>
      <c r="E863" s="1"/>
      <c r="F863" s="1"/>
      <c r="G863" s="1"/>
      <c r="H863" s="1"/>
      <c r="I863" s="1"/>
    </row>
    <row r="864" spans="1:9" ht="13">
      <c r="A864" s="1"/>
      <c r="B864" s="1"/>
      <c r="C864" s="1"/>
      <c r="D864" s="1"/>
      <c r="E864" s="1"/>
      <c r="F864" s="1"/>
      <c r="G864" s="1"/>
      <c r="H864" s="1"/>
      <c r="I864" s="1"/>
    </row>
    <row r="865" spans="1:9" ht="13">
      <c r="A865" s="1"/>
      <c r="B865" s="1"/>
      <c r="C865" s="1"/>
      <c r="D865" s="1"/>
      <c r="E865" s="1"/>
      <c r="F865" s="1"/>
      <c r="G865" s="1"/>
      <c r="H865" s="1"/>
      <c r="I865" s="1"/>
    </row>
    <row r="866" spans="1:9" ht="13">
      <c r="A866" s="1"/>
      <c r="B866" s="1"/>
      <c r="C866" s="1"/>
      <c r="D866" s="1"/>
      <c r="E866" s="1"/>
      <c r="F866" s="1"/>
      <c r="G866" s="1"/>
      <c r="H866" s="1"/>
      <c r="I866" s="1"/>
    </row>
    <row r="867" spans="1:9" ht="13">
      <c r="A867" s="1"/>
      <c r="B867" s="1"/>
      <c r="C867" s="1"/>
      <c r="D867" s="1"/>
      <c r="E867" s="1"/>
      <c r="F867" s="1"/>
      <c r="G867" s="1"/>
      <c r="H867" s="1"/>
      <c r="I867" s="1"/>
    </row>
    <row r="868" spans="1:9" ht="13">
      <c r="A868" s="1"/>
      <c r="B868" s="1"/>
      <c r="C868" s="1"/>
      <c r="D868" s="1"/>
      <c r="E868" s="1"/>
      <c r="F868" s="1"/>
      <c r="G868" s="1"/>
      <c r="H868" s="1"/>
      <c r="I868" s="1"/>
    </row>
    <row r="869" spans="1:9" ht="13">
      <c r="A869" s="1"/>
      <c r="B869" s="1"/>
      <c r="C869" s="1"/>
      <c r="D869" s="1"/>
      <c r="E869" s="1"/>
      <c r="F869" s="1"/>
      <c r="G869" s="1"/>
      <c r="H869" s="1"/>
      <c r="I869" s="1"/>
    </row>
    <row r="870" spans="1:9" ht="13">
      <c r="A870" s="1"/>
      <c r="B870" s="1"/>
      <c r="C870" s="1"/>
      <c r="D870" s="1"/>
      <c r="E870" s="1"/>
      <c r="F870" s="1"/>
      <c r="G870" s="1"/>
      <c r="H870" s="1"/>
      <c r="I870" s="1"/>
    </row>
    <row r="871" spans="1:9" ht="13">
      <c r="A871" s="1"/>
      <c r="B871" s="1"/>
      <c r="C871" s="1"/>
      <c r="D871" s="1"/>
      <c r="E871" s="1"/>
      <c r="F871" s="1"/>
      <c r="G871" s="1"/>
      <c r="H871" s="1"/>
      <c r="I871" s="1"/>
    </row>
    <row r="872" spans="1:9" ht="13">
      <c r="A872" s="1"/>
      <c r="B872" s="1"/>
      <c r="C872" s="1"/>
      <c r="D872" s="1"/>
      <c r="E872" s="1"/>
      <c r="F872" s="1"/>
      <c r="G872" s="1"/>
      <c r="H872" s="1"/>
      <c r="I872" s="1"/>
    </row>
    <row r="873" spans="1:9" ht="13">
      <c r="A873" s="1"/>
      <c r="B873" s="1"/>
      <c r="C873" s="1"/>
      <c r="D873" s="1"/>
      <c r="E873" s="1"/>
      <c r="F873" s="1"/>
      <c r="G873" s="1"/>
      <c r="H873" s="1"/>
      <c r="I873" s="1"/>
    </row>
    <row r="874" spans="1:9" ht="13">
      <c r="A874" s="1"/>
      <c r="B874" s="1"/>
      <c r="C874" s="1"/>
      <c r="D874" s="1"/>
      <c r="E874" s="1"/>
      <c r="F874" s="1"/>
      <c r="G874" s="1"/>
      <c r="H874" s="1"/>
      <c r="I874" s="1"/>
    </row>
    <row r="875" spans="1:9" ht="13">
      <c r="A875" s="1"/>
      <c r="B875" s="1"/>
      <c r="C875" s="1"/>
      <c r="D875" s="1"/>
      <c r="E875" s="1"/>
      <c r="F875" s="1"/>
      <c r="G875" s="1"/>
      <c r="H875" s="1"/>
      <c r="I875" s="1"/>
    </row>
    <row r="876" spans="1:9" ht="13">
      <c r="A876" s="1"/>
      <c r="B876" s="1"/>
      <c r="C876" s="1"/>
      <c r="D876" s="1"/>
      <c r="E876" s="1"/>
      <c r="F876" s="1"/>
      <c r="G876" s="1"/>
      <c r="H876" s="1"/>
      <c r="I876" s="1"/>
    </row>
    <row r="877" spans="1:9" ht="13">
      <c r="A877" s="1"/>
      <c r="B877" s="1"/>
      <c r="C877" s="1"/>
      <c r="D877" s="1"/>
      <c r="E877" s="1"/>
      <c r="F877" s="1"/>
      <c r="G877" s="1"/>
      <c r="H877" s="1"/>
      <c r="I877" s="1"/>
    </row>
    <row r="878" spans="1:9" ht="13">
      <c r="A878" s="1"/>
      <c r="B878" s="1"/>
      <c r="C878" s="1"/>
      <c r="D878" s="1"/>
      <c r="E878" s="1"/>
      <c r="F878" s="1"/>
      <c r="G878" s="1"/>
      <c r="H878" s="1"/>
      <c r="I878" s="1"/>
    </row>
    <row r="879" spans="1:9" ht="13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3">
      <c r="A880" s="1"/>
      <c r="B880" s="1"/>
      <c r="C880" s="1"/>
      <c r="D880" s="1"/>
      <c r="E880" s="1"/>
      <c r="F880" s="1"/>
      <c r="G880" s="1"/>
      <c r="H880" s="1"/>
      <c r="I880" s="1"/>
    </row>
    <row r="881" spans="1:9" ht="13">
      <c r="A881" s="1"/>
      <c r="B881" s="1"/>
      <c r="C881" s="1"/>
      <c r="D881" s="1"/>
      <c r="E881" s="1"/>
      <c r="F881" s="1"/>
      <c r="G881" s="1"/>
      <c r="H881" s="1"/>
      <c r="I881" s="1"/>
    </row>
    <row r="882" spans="1:9" ht="13">
      <c r="A882" s="1"/>
      <c r="B882" s="1"/>
      <c r="C882" s="1"/>
      <c r="D882" s="1"/>
      <c r="E882" s="1"/>
      <c r="F882" s="1"/>
      <c r="G882" s="1"/>
      <c r="H882" s="1"/>
      <c r="I882" s="1"/>
    </row>
    <row r="883" spans="1:9" ht="13">
      <c r="A883" s="1"/>
      <c r="B883" s="1"/>
      <c r="C883" s="1"/>
      <c r="D883" s="1"/>
      <c r="E883" s="1"/>
      <c r="F883" s="1"/>
      <c r="G883" s="1"/>
      <c r="H883" s="1"/>
      <c r="I883" s="1"/>
    </row>
    <row r="884" spans="1:9" ht="13">
      <c r="A884" s="1"/>
      <c r="B884" s="1"/>
      <c r="C884" s="1"/>
      <c r="D884" s="1"/>
      <c r="E884" s="1"/>
      <c r="F884" s="1"/>
      <c r="G884" s="1"/>
      <c r="H884" s="1"/>
      <c r="I884" s="1"/>
    </row>
    <row r="885" spans="1:9" ht="13">
      <c r="A885" s="1"/>
      <c r="B885" s="1"/>
      <c r="C885" s="1"/>
      <c r="D885" s="1"/>
      <c r="E885" s="1"/>
      <c r="F885" s="1"/>
      <c r="G885" s="1"/>
      <c r="H885" s="1"/>
      <c r="I885" s="1"/>
    </row>
    <row r="886" spans="1:9" ht="13">
      <c r="A886" s="1"/>
      <c r="B886" s="1"/>
      <c r="C886" s="1"/>
      <c r="D886" s="1"/>
      <c r="E886" s="1"/>
      <c r="F886" s="1"/>
      <c r="G886" s="1"/>
      <c r="H886" s="1"/>
      <c r="I886" s="1"/>
    </row>
    <row r="887" spans="1:9" ht="13">
      <c r="A887" s="1"/>
      <c r="B887" s="1"/>
      <c r="C887" s="1"/>
      <c r="D887" s="1"/>
      <c r="E887" s="1"/>
      <c r="F887" s="1"/>
      <c r="G887" s="1"/>
      <c r="H887" s="1"/>
      <c r="I887" s="1"/>
    </row>
    <row r="888" spans="1:9" ht="13">
      <c r="A888" s="1"/>
      <c r="B888" s="1"/>
      <c r="C888" s="1"/>
      <c r="D888" s="1"/>
      <c r="E888" s="1"/>
      <c r="F888" s="1"/>
      <c r="G888" s="1"/>
      <c r="H888" s="1"/>
      <c r="I888" s="1"/>
    </row>
    <row r="889" spans="1:9" ht="13">
      <c r="A889" s="1"/>
      <c r="B889" s="1"/>
      <c r="C889" s="1"/>
      <c r="D889" s="1"/>
      <c r="E889" s="1"/>
      <c r="F889" s="1"/>
      <c r="G889" s="1"/>
      <c r="H889" s="1"/>
      <c r="I889" s="1"/>
    </row>
    <row r="890" spans="1:9" ht="13">
      <c r="A890" s="1"/>
      <c r="B890" s="1"/>
      <c r="C890" s="1"/>
      <c r="D890" s="1"/>
      <c r="E890" s="1"/>
      <c r="F890" s="1"/>
      <c r="G890" s="1"/>
      <c r="H890" s="1"/>
      <c r="I890" s="1"/>
    </row>
    <row r="891" spans="1:9" ht="13">
      <c r="A891" s="1"/>
      <c r="B891" s="1"/>
      <c r="C891" s="1"/>
      <c r="D891" s="1"/>
      <c r="E891" s="1"/>
      <c r="F891" s="1"/>
      <c r="G891" s="1"/>
      <c r="H891" s="1"/>
      <c r="I891" s="1"/>
    </row>
    <row r="892" spans="1:9" ht="13">
      <c r="A892" s="1"/>
      <c r="B892" s="1"/>
      <c r="C892" s="1"/>
      <c r="D892" s="1"/>
      <c r="E892" s="1"/>
      <c r="F892" s="1"/>
      <c r="G892" s="1"/>
      <c r="H892" s="1"/>
      <c r="I892" s="1"/>
    </row>
    <row r="893" spans="1:9" ht="13">
      <c r="A893" s="1"/>
      <c r="B893" s="1"/>
      <c r="C893" s="1"/>
      <c r="D893" s="1"/>
      <c r="E893" s="1"/>
      <c r="F893" s="1"/>
      <c r="G893" s="1"/>
      <c r="H893" s="1"/>
      <c r="I893" s="1"/>
    </row>
    <row r="894" spans="1:9" ht="13">
      <c r="A894" s="1"/>
      <c r="B894" s="1"/>
      <c r="C894" s="1"/>
      <c r="D894" s="1"/>
      <c r="E894" s="1"/>
      <c r="F894" s="1"/>
      <c r="G894" s="1"/>
      <c r="H894" s="1"/>
      <c r="I894" s="1"/>
    </row>
    <row r="895" spans="1:9" ht="13">
      <c r="A895" s="1"/>
      <c r="B895" s="1"/>
      <c r="C895" s="1"/>
      <c r="D895" s="1"/>
      <c r="E895" s="1"/>
      <c r="F895" s="1"/>
      <c r="G895" s="1"/>
      <c r="H895" s="1"/>
      <c r="I895" s="1"/>
    </row>
    <row r="896" spans="1:9" ht="13">
      <c r="A896" s="1"/>
      <c r="B896" s="1"/>
      <c r="C896" s="1"/>
      <c r="D896" s="1"/>
      <c r="E896" s="1"/>
      <c r="F896" s="1"/>
      <c r="G896" s="1"/>
      <c r="H896" s="1"/>
      <c r="I896" s="1"/>
    </row>
    <row r="897" spans="1:9" ht="13">
      <c r="A897" s="1"/>
      <c r="B897" s="1"/>
      <c r="C897" s="1"/>
      <c r="D897" s="1"/>
      <c r="E897" s="1"/>
      <c r="F897" s="1"/>
      <c r="G897" s="1"/>
      <c r="H897" s="1"/>
      <c r="I897" s="1"/>
    </row>
    <row r="898" spans="1:9" ht="13">
      <c r="A898" s="1"/>
      <c r="B898" s="1"/>
      <c r="C898" s="1"/>
      <c r="D898" s="1"/>
      <c r="E898" s="1"/>
      <c r="F898" s="1"/>
      <c r="G898" s="1"/>
      <c r="H898" s="1"/>
      <c r="I898" s="1"/>
    </row>
    <row r="899" spans="1:9" ht="13">
      <c r="A899" s="1"/>
      <c r="B899" s="1"/>
      <c r="C899" s="1"/>
      <c r="D899" s="1"/>
      <c r="E899" s="1"/>
      <c r="F899" s="1"/>
      <c r="G899" s="1"/>
      <c r="H899" s="1"/>
      <c r="I899" s="1"/>
    </row>
    <row r="900" spans="1:9" ht="13">
      <c r="A900" s="1"/>
      <c r="B900" s="1"/>
      <c r="C900" s="1"/>
      <c r="D900" s="1"/>
      <c r="E900" s="1"/>
      <c r="F900" s="1"/>
      <c r="G900" s="1"/>
      <c r="H900" s="1"/>
      <c r="I900" s="1"/>
    </row>
    <row r="901" spans="1:9" ht="13">
      <c r="A901" s="1"/>
      <c r="B901" s="1"/>
      <c r="C901" s="1"/>
      <c r="D901" s="1"/>
      <c r="E901" s="1"/>
      <c r="F901" s="1"/>
      <c r="G901" s="1"/>
      <c r="H901" s="1"/>
      <c r="I901" s="1"/>
    </row>
    <row r="902" spans="1:9" ht="13">
      <c r="A902" s="1"/>
      <c r="B902" s="1"/>
      <c r="C902" s="1"/>
      <c r="D902" s="1"/>
      <c r="E902" s="1"/>
      <c r="F902" s="1"/>
      <c r="G902" s="1"/>
      <c r="H902" s="1"/>
      <c r="I902" s="1"/>
    </row>
    <row r="903" spans="1:9" ht="13">
      <c r="A903" s="1"/>
      <c r="B903" s="1"/>
      <c r="C903" s="1"/>
      <c r="D903" s="1"/>
      <c r="E903" s="1"/>
      <c r="F903" s="1"/>
      <c r="G903" s="1"/>
      <c r="H903" s="1"/>
      <c r="I903" s="1"/>
    </row>
    <row r="904" spans="1:9" ht="13">
      <c r="A904" s="1"/>
      <c r="B904" s="1"/>
      <c r="C904" s="1"/>
      <c r="D904" s="1"/>
      <c r="E904" s="1"/>
      <c r="F904" s="1"/>
      <c r="G904" s="1"/>
      <c r="H904" s="1"/>
      <c r="I904" s="1"/>
    </row>
    <row r="905" spans="1:9" ht="13">
      <c r="A905" s="1"/>
      <c r="B905" s="1"/>
      <c r="C905" s="1"/>
      <c r="D905" s="1"/>
      <c r="E905" s="1"/>
      <c r="F905" s="1"/>
      <c r="G905" s="1"/>
      <c r="H905" s="1"/>
      <c r="I905" s="1"/>
    </row>
    <row r="906" spans="1:9" ht="13">
      <c r="A906" s="1"/>
      <c r="B906" s="1"/>
      <c r="C906" s="1"/>
      <c r="D906" s="1"/>
      <c r="E906" s="1"/>
      <c r="F906" s="1"/>
      <c r="G906" s="1"/>
      <c r="H906" s="1"/>
      <c r="I906" s="1"/>
    </row>
    <row r="907" spans="1:9" ht="13">
      <c r="A907" s="1"/>
      <c r="B907" s="1"/>
      <c r="C907" s="1"/>
      <c r="D907" s="1"/>
      <c r="E907" s="1"/>
      <c r="F907" s="1"/>
      <c r="G907" s="1"/>
      <c r="H907" s="1"/>
      <c r="I907" s="1"/>
    </row>
    <row r="908" spans="1:9" ht="13">
      <c r="A908" s="1"/>
      <c r="B908" s="1"/>
      <c r="C908" s="1"/>
      <c r="D908" s="1"/>
      <c r="E908" s="1"/>
      <c r="F908" s="1"/>
      <c r="G908" s="1"/>
      <c r="H908" s="1"/>
      <c r="I908" s="1"/>
    </row>
    <row r="909" spans="1:9" ht="13">
      <c r="A909" s="1"/>
      <c r="B909" s="1"/>
      <c r="C909" s="1"/>
      <c r="D909" s="1"/>
      <c r="E909" s="1"/>
      <c r="F909" s="1"/>
      <c r="G909" s="1"/>
      <c r="H909" s="1"/>
      <c r="I909" s="1"/>
    </row>
    <row r="910" spans="1:9" ht="13">
      <c r="A910" s="1"/>
      <c r="B910" s="1"/>
      <c r="C910" s="1"/>
      <c r="D910" s="1"/>
      <c r="E910" s="1"/>
      <c r="F910" s="1"/>
      <c r="G910" s="1"/>
      <c r="H910" s="1"/>
      <c r="I910" s="1"/>
    </row>
    <row r="911" spans="1:9" ht="13">
      <c r="A911" s="1"/>
      <c r="B911" s="1"/>
      <c r="C911" s="1"/>
      <c r="D911" s="1"/>
      <c r="E911" s="1"/>
      <c r="F911" s="1"/>
      <c r="G911" s="1"/>
      <c r="H911" s="1"/>
      <c r="I911" s="1"/>
    </row>
    <row r="912" spans="1:9" ht="13">
      <c r="A912" s="1"/>
      <c r="B912" s="1"/>
      <c r="C912" s="1"/>
      <c r="D912" s="1"/>
      <c r="E912" s="1"/>
      <c r="F912" s="1"/>
      <c r="G912" s="1"/>
      <c r="H912" s="1"/>
      <c r="I912" s="1"/>
    </row>
    <row r="913" spans="1:9" ht="13">
      <c r="A913" s="1"/>
      <c r="B913" s="1"/>
      <c r="C913" s="1"/>
      <c r="D913" s="1"/>
      <c r="E913" s="1"/>
      <c r="F913" s="1"/>
      <c r="G913" s="1"/>
      <c r="H913" s="1"/>
      <c r="I913" s="1"/>
    </row>
    <row r="914" spans="1:9" ht="13">
      <c r="A914" s="1"/>
      <c r="B914" s="1"/>
      <c r="C914" s="1"/>
      <c r="D914" s="1"/>
      <c r="E914" s="1"/>
      <c r="F914" s="1"/>
      <c r="G914" s="1"/>
      <c r="H914" s="1"/>
      <c r="I914" s="1"/>
    </row>
    <row r="915" spans="1:9" ht="13">
      <c r="A915" s="1"/>
      <c r="B915" s="1"/>
      <c r="C915" s="1"/>
      <c r="D915" s="1"/>
      <c r="E915" s="1"/>
      <c r="F915" s="1"/>
      <c r="G915" s="1"/>
      <c r="H915" s="1"/>
      <c r="I915" s="1"/>
    </row>
    <row r="916" spans="1:9" ht="13">
      <c r="A916" s="1"/>
      <c r="B916" s="1"/>
      <c r="C916" s="1"/>
      <c r="D916" s="1"/>
      <c r="E916" s="1"/>
      <c r="F916" s="1"/>
      <c r="G916" s="1"/>
      <c r="H916" s="1"/>
      <c r="I916" s="1"/>
    </row>
    <row r="917" spans="1:9" ht="13">
      <c r="A917" s="1"/>
      <c r="B917" s="1"/>
      <c r="C917" s="1"/>
      <c r="D917" s="1"/>
      <c r="E917" s="1"/>
      <c r="F917" s="1"/>
      <c r="G917" s="1"/>
      <c r="H917" s="1"/>
      <c r="I917" s="1"/>
    </row>
    <row r="918" spans="1:9" ht="13">
      <c r="A918" s="1"/>
      <c r="B918" s="1"/>
      <c r="C918" s="1"/>
      <c r="D918" s="1"/>
      <c r="E918" s="1"/>
      <c r="F918" s="1"/>
      <c r="G918" s="1"/>
      <c r="H918" s="1"/>
      <c r="I918" s="1"/>
    </row>
    <row r="919" spans="1:9" ht="13">
      <c r="A919" s="1"/>
      <c r="B919" s="1"/>
      <c r="C919" s="1"/>
      <c r="D919" s="1"/>
      <c r="E919" s="1"/>
      <c r="F919" s="1"/>
      <c r="G919" s="1"/>
      <c r="H919" s="1"/>
      <c r="I919" s="1"/>
    </row>
    <row r="920" spans="1:9" ht="13">
      <c r="A920" s="1"/>
      <c r="B920" s="1"/>
      <c r="C920" s="1"/>
      <c r="D920" s="1"/>
      <c r="E920" s="1"/>
      <c r="F920" s="1"/>
      <c r="G920" s="1"/>
      <c r="H920" s="1"/>
      <c r="I920" s="1"/>
    </row>
    <row r="921" spans="1:9" ht="13">
      <c r="A921" s="1"/>
      <c r="B921" s="1"/>
      <c r="C921" s="1"/>
      <c r="D921" s="1"/>
      <c r="E921" s="1"/>
      <c r="F921" s="1"/>
      <c r="G921" s="1"/>
      <c r="H921" s="1"/>
      <c r="I921" s="1"/>
    </row>
    <row r="922" spans="1:9" ht="13">
      <c r="A922" s="1"/>
      <c r="B922" s="1"/>
      <c r="C922" s="1"/>
      <c r="D922" s="1"/>
      <c r="E922" s="1"/>
      <c r="F922" s="1"/>
      <c r="G922" s="1"/>
      <c r="H922" s="1"/>
      <c r="I922" s="1"/>
    </row>
    <row r="923" spans="1:9" ht="13">
      <c r="A923" s="1"/>
      <c r="B923" s="1"/>
      <c r="C923" s="1"/>
      <c r="D923" s="1"/>
      <c r="E923" s="1"/>
      <c r="F923" s="1"/>
      <c r="G923" s="1"/>
      <c r="H923" s="1"/>
      <c r="I923" s="1"/>
    </row>
    <row r="924" spans="1:9" ht="13">
      <c r="A924" s="1"/>
      <c r="B924" s="1"/>
      <c r="C924" s="1"/>
      <c r="D924" s="1"/>
      <c r="E924" s="1"/>
      <c r="F924" s="1"/>
      <c r="G924" s="1"/>
      <c r="H924" s="1"/>
      <c r="I924" s="1"/>
    </row>
    <row r="925" spans="1:9" ht="13">
      <c r="A925" s="1"/>
      <c r="B925" s="1"/>
      <c r="C925" s="1"/>
      <c r="D925" s="1"/>
      <c r="E925" s="1"/>
      <c r="F925" s="1"/>
      <c r="G925" s="1"/>
      <c r="H925" s="1"/>
      <c r="I925" s="1"/>
    </row>
    <row r="926" spans="1:9" ht="13">
      <c r="A926" s="1"/>
      <c r="B926" s="1"/>
      <c r="C926" s="1"/>
      <c r="D926" s="1"/>
      <c r="E926" s="1"/>
      <c r="F926" s="1"/>
      <c r="G926" s="1"/>
      <c r="H926" s="1"/>
      <c r="I926" s="1"/>
    </row>
    <row r="927" spans="1:9" ht="13">
      <c r="A927" s="1"/>
      <c r="B927" s="1"/>
      <c r="C927" s="1"/>
      <c r="D927" s="1"/>
      <c r="E927" s="1"/>
      <c r="F927" s="1"/>
      <c r="G927" s="1"/>
      <c r="H927" s="1"/>
      <c r="I927" s="1"/>
    </row>
    <row r="928" spans="1:9" ht="13">
      <c r="A928" s="1"/>
      <c r="B928" s="1"/>
      <c r="C928" s="1"/>
      <c r="D928" s="1"/>
      <c r="E928" s="1"/>
      <c r="F928" s="1"/>
      <c r="G928" s="1"/>
      <c r="H928" s="1"/>
      <c r="I928" s="1"/>
    </row>
    <row r="929" spans="1:9" ht="13">
      <c r="A929" s="1"/>
      <c r="B929" s="1"/>
      <c r="C929" s="1"/>
      <c r="D929" s="1"/>
      <c r="E929" s="1"/>
      <c r="F929" s="1"/>
      <c r="G929" s="1"/>
      <c r="H929" s="1"/>
      <c r="I929" s="1"/>
    </row>
    <row r="930" spans="1:9" ht="13">
      <c r="A930" s="1"/>
      <c r="B930" s="1"/>
      <c r="C930" s="1"/>
      <c r="D930" s="1"/>
      <c r="E930" s="1"/>
      <c r="F930" s="1"/>
      <c r="G930" s="1"/>
      <c r="H930" s="1"/>
      <c r="I930" s="1"/>
    </row>
    <row r="931" spans="1:9" ht="13">
      <c r="A931" s="1"/>
      <c r="B931" s="1"/>
      <c r="C931" s="1"/>
      <c r="D931" s="1"/>
      <c r="E931" s="1"/>
      <c r="F931" s="1"/>
      <c r="G931" s="1"/>
      <c r="H931" s="1"/>
      <c r="I931" s="1"/>
    </row>
    <row r="932" spans="1:9" ht="13">
      <c r="A932" s="1"/>
      <c r="B932" s="1"/>
      <c r="C932" s="1"/>
      <c r="D932" s="1"/>
      <c r="E932" s="1"/>
      <c r="F932" s="1"/>
      <c r="G932" s="1"/>
      <c r="H932" s="1"/>
      <c r="I932" s="1"/>
    </row>
    <row r="933" spans="1:9" ht="13">
      <c r="A933" s="1"/>
      <c r="B933" s="1"/>
      <c r="C933" s="1"/>
      <c r="D933" s="1"/>
      <c r="E933" s="1"/>
      <c r="F933" s="1"/>
      <c r="G933" s="1"/>
      <c r="H933" s="1"/>
      <c r="I933" s="1"/>
    </row>
    <row r="934" spans="1:9" ht="13">
      <c r="A934" s="1"/>
      <c r="B934" s="1"/>
      <c r="C934" s="1"/>
      <c r="D934" s="1"/>
      <c r="E934" s="1"/>
      <c r="F934" s="1"/>
      <c r="G934" s="1"/>
      <c r="H934" s="1"/>
      <c r="I934" s="1"/>
    </row>
    <row r="935" spans="1:9" ht="13">
      <c r="A935" s="1"/>
      <c r="B935" s="1"/>
      <c r="C935" s="1"/>
      <c r="D935" s="1"/>
      <c r="E935" s="1"/>
      <c r="F935" s="1"/>
      <c r="G935" s="1"/>
      <c r="H935" s="1"/>
      <c r="I935" s="1"/>
    </row>
    <row r="936" spans="1:9" ht="13">
      <c r="A936" s="1"/>
      <c r="B936" s="1"/>
      <c r="C936" s="1"/>
      <c r="D936" s="1"/>
      <c r="E936" s="1"/>
      <c r="F936" s="1"/>
      <c r="G936" s="1"/>
      <c r="H936" s="1"/>
      <c r="I936" s="1"/>
    </row>
    <row r="937" spans="1:9" ht="13">
      <c r="A937" s="1"/>
      <c r="B937" s="1"/>
      <c r="C937" s="1"/>
      <c r="D937" s="1"/>
      <c r="E937" s="1"/>
      <c r="F937" s="1"/>
      <c r="G937" s="1"/>
      <c r="H937" s="1"/>
      <c r="I937" s="1"/>
    </row>
    <row r="938" spans="1:9" ht="13">
      <c r="A938" s="1"/>
      <c r="B938" s="1"/>
      <c r="C938" s="1"/>
      <c r="D938" s="1"/>
      <c r="E938" s="1"/>
      <c r="F938" s="1"/>
      <c r="G938" s="1"/>
      <c r="H938" s="1"/>
      <c r="I938" s="1"/>
    </row>
    <row r="939" spans="1:9" ht="13">
      <c r="A939" s="1"/>
      <c r="B939" s="1"/>
      <c r="C939" s="1"/>
      <c r="D939" s="1"/>
      <c r="E939" s="1"/>
      <c r="F939" s="1"/>
      <c r="G939" s="1"/>
      <c r="H939" s="1"/>
      <c r="I939" s="1"/>
    </row>
    <row r="940" spans="1:9" ht="13">
      <c r="A940" s="1"/>
      <c r="B940" s="1"/>
      <c r="C940" s="1"/>
      <c r="D940" s="1"/>
      <c r="E940" s="1"/>
      <c r="F940" s="1"/>
      <c r="G940" s="1"/>
      <c r="H940" s="1"/>
      <c r="I940" s="1"/>
    </row>
    <row r="941" spans="1:9" ht="13">
      <c r="A941" s="1"/>
      <c r="B941" s="1"/>
      <c r="C941" s="1"/>
      <c r="D941" s="1"/>
      <c r="E941" s="1"/>
      <c r="F941" s="1"/>
      <c r="G941" s="1"/>
      <c r="H941" s="1"/>
      <c r="I941" s="1"/>
    </row>
    <row r="942" spans="1:9" ht="13">
      <c r="A942" s="1"/>
      <c r="B942" s="1"/>
      <c r="C942" s="1"/>
      <c r="D942" s="1"/>
      <c r="E942" s="1"/>
      <c r="F942" s="1"/>
      <c r="G942" s="1"/>
      <c r="H942" s="1"/>
      <c r="I942" s="1"/>
    </row>
    <row r="943" spans="1:9" ht="13">
      <c r="A943" s="1"/>
      <c r="B943" s="1"/>
      <c r="C943" s="1"/>
      <c r="D943" s="1"/>
      <c r="E943" s="1"/>
      <c r="F943" s="1"/>
      <c r="G943" s="1"/>
      <c r="H943" s="1"/>
      <c r="I943" s="1"/>
    </row>
    <row r="944" spans="1:9" ht="13">
      <c r="A944" s="1"/>
      <c r="B944" s="1"/>
      <c r="C944" s="1"/>
      <c r="D944" s="1"/>
      <c r="E944" s="1"/>
      <c r="F944" s="1"/>
      <c r="G944" s="1"/>
      <c r="H944" s="1"/>
      <c r="I944" s="1"/>
    </row>
    <row r="945" spans="1:9" ht="13">
      <c r="A945" s="1"/>
      <c r="B945" s="1"/>
      <c r="C945" s="1"/>
      <c r="D945" s="1"/>
      <c r="E945" s="1"/>
      <c r="F945" s="1"/>
      <c r="G945" s="1"/>
      <c r="H945" s="1"/>
      <c r="I945" s="1"/>
    </row>
    <row r="946" spans="1:9" ht="13">
      <c r="A946" s="1"/>
      <c r="B946" s="1"/>
      <c r="C946" s="1"/>
      <c r="D946" s="1"/>
      <c r="E946" s="1"/>
      <c r="F946" s="1"/>
      <c r="G946" s="1"/>
      <c r="H946" s="1"/>
      <c r="I946" s="1"/>
    </row>
    <row r="947" spans="1:9" ht="13">
      <c r="A947" s="1"/>
      <c r="B947" s="1"/>
      <c r="C947" s="1"/>
      <c r="D947" s="1"/>
      <c r="E947" s="1"/>
      <c r="F947" s="1"/>
      <c r="G947" s="1"/>
      <c r="H947" s="1"/>
      <c r="I947" s="1"/>
    </row>
    <row r="948" spans="1:9" ht="13">
      <c r="A948" s="1"/>
      <c r="B948" s="1"/>
      <c r="C948" s="1"/>
      <c r="D948" s="1"/>
      <c r="E948" s="1"/>
      <c r="F948" s="1"/>
      <c r="G948" s="1"/>
      <c r="H948" s="1"/>
      <c r="I948" s="1"/>
    </row>
    <row r="949" spans="1:9" ht="13">
      <c r="A949" s="1"/>
      <c r="B949" s="1"/>
      <c r="C949" s="1"/>
      <c r="D949" s="1"/>
      <c r="E949" s="1"/>
      <c r="F949" s="1"/>
      <c r="G949" s="1"/>
      <c r="H949" s="1"/>
      <c r="I949" s="1"/>
    </row>
    <row r="950" spans="1:9" ht="13">
      <c r="A950" s="1"/>
      <c r="B950" s="1"/>
      <c r="C950" s="1"/>
      <c r="D950" s="1"/>
      <c r="E950" s="1"/>
      <c r="F950" s="1"/>
      <c r="G950" s="1"/>
      <c r="H950" s="1"/>
      <c r="I950" s="1"/>
    </row>
    <row r="951" spans="1:9" ht="13">
      <c r="A951" s="1"/>
      <c r="B951" s="1"/>
      <c r="C951" s="1"/>
      <c r="D951" s="1"/>
      <c r="E951" s="1"/>
      <c r="F951" s="1"/>
      <c r="G951" s="1"/>
      <c r="H951" s="1"/>
      <c r="I951" s="1"/>
    </row>
    <row r="952" spans="1:9" ht="13">
      <c r="A952" s="1"/>
      <c r="B952" s="1"/>
      <c r="C952" s="1"/>
      <c r="D952" s="1"/>
      <c r="E952" s="1"/>
      <c r="F952" s="1"/>
      <c r="G952" s="1"/>
      <c r="H952" s="1"/>
      <c r="I952" s="1"/>
    </row>
    <row r="953" spans="1:9" ht="13">
      <c r="A953" s="1"/>
      <c r="B953" s="1"/>
      <c r="C953" s="1"/>
      <c r="D953" s="1"/>
      <c r="E953" s="1"/>
      <c r="F953" s="1"/>
      <c r="G953" s="1"/>
      <c r="H953" s="1"/>
      <c r="I953" s="1"/>
    </row>
    <row r="954" spans="1:9" ht="13">
      <c r="A954" s="1"/>
      <c r="B954" s="1"/>
      <c r="C954" s="1"/>
      <c r="D954" s="1"/>
      <c r="E954" s="1"/>
      <c r="F954" s="1"/>
      <c r="G954" s="1"/>
      <c r="H954" s="1"/>
      <c r="I954" s="1"/>
    </row>
    <row r="955" spans="1:9" ht="13">
      <c r="A955" s="1"/>
      <c r="B955" s="1"/>
      <c r="C955" s="1"/>
      <c r="D955" s="1"/>
      <c r="E955" s="1"/>
      <c r="F955" s="1"/>
      <c r="G955" s="1"/>
      <c r="H955" s="1"/>
      <c r="I955" s="1"/>
    </row>
    <row r="956" spans="1:9" ht="13">
      <c r="A956" s="1"/>
      <c r="B956" s="1"/>
      <c r="C956" s="1"/>
      <c r="D956" s="1"/>
      <c r="E956" s="1"/>
      <c r="F956" s="1"/>
      <c r="G956" s="1"/>
      <c r="H956" s="1"/>
      <c r="I956" s="1"/>
    </row>
    <row r="957" spans="1:9" ht="13">
      <c r="A957" s="1"/>
      <c r="B957" s="1"/>
      <c r="C957" s="1"/>
      <c r="D957" s="1"/>
      <c r="E957" s="1"/>
      <c r="F957" s="1"/>
      <c r="G957" s="1"/>
      <c r="H957" s="1"/>
      <c r="I957" s="1"/>
    </row>
    <row r="958" spans="1:9" ht="13">
      <c r="A958" s="1"/>
      <c r="B958" s="1"/>
      <c r="C958" s="1"/>
      <c r="D958" s="1"/>
      <c r="E958" s="1"/>
      <c r="F958" s="1"/>
      <c r="G958" s="1"/>
      <c r="H958" s="1"/>
      <c r="I958" s="1"/>
    </row>
    <row r="959" spans="1:9" ht="13">
      <c r="A959" s="1"/>
      <c r="B959" s="1"/>
      <c r="C959" s="1"/>
      <c r="D959" s="1"/>
      <c r="E959" s="1"/>
      <c r="F959" s="1"/>
      <c r="G959" s="1"/>
      <c r="H959" s="1"/>
      <c r="I959" s="1"/>
    </row>
    <row r="960" spans="1:9" ht="13">
      <c r="A960" s="1"/>
      <c r="B960" s="1"/>
      <c r="C960" s="1"/>
      <c r="D960" s="1"/>
      <c r="E960" s="1"/>
      <c r="F960" s="1"/>
      <c r="G960" s="1"/>
      <c r="H960" s="1"/>
      <c r="I960" s="1"/>
    </row>
    <row r="961" spans="1:9" ht="13">
      <c r="A961" s="1"/>
      <c r="B961" s="1"/>
      <c r="C961" s="1"/>
      <c r="D961" s="1"/>
      <c r="E961" s="1"/>
      <c r="F961" s="1"/>
      <c r="G961" s="1"/>
      <c r="H961" s="1"/>
      <c r="I961" s="1"/>
    </row>
    <row r="962" spans="1:9" ht="13">
      <c r="A962" s="1"/>
      <c r="B962" s="1"/>
      <c r="C962" s="1"/>
      <c r="D962" s="1"/>
      <c r="E962" s="1"/>
      <c r="F962" s="1"/>
      <c r="G962" s="1"/>
      <c r="H962" s="1"/>
      <c r="I962" s="1"/>
    </row>
    <row r="963" spans="1:9" ht="13">
      <c r="A963" s="1"/>
      <c r="B963" s="1"/>
      <c r="C963" s="1"/>
      <c r="D963" s="1"/>
      <c r="E963" s="1"/>
      <c r="F963" s="1"/>
      <c r="G963" s="1"/>
      <c r="H963" s="1"/>
      <c r="I963" s="1"/>
    </row>
    <row r="964" spans="1:9" ht="13">
      <c r="A964" s="1"/>
      <c r="B964" s="1"/>
      <c r="C964" s="1"/>
      <c r="D964" s="1"/>
      <c r="E964" s="1"/>
      <c r="F964" s="1"/>
      <c r="G964" s="1"/>
      <c r="H964" s="1"/>
      <c r="I964" s="1"/>
    </row>
    <row r="965" spans="1:9" ht="13">
      <c r="A965" s="1"/>
      <c r="B965" s="1"/>
      <c r="C965" s="1"/>
      <c r="D965" s="1"/>
      <c r="E965" s="1"/>
      <c r="F965" s="1"/>
      <c r="G965" s="1"/>
      <c r="H965" s="1"/>
      <c r="I965" s="1"/>
    </row>
    <row r="966" spans="1:9" ht="13">
      <c r="A966" s="1"/>
      <c r="B966" s="1"/>
      <c r="C966" s="1"/>
      <c r="D966" s="1"/>
      <c r="E966" s="1"/>
      <c r="F966" s="1"/>
      <c r="G966" s="1"/>
      <c r="H966" s="1"/>
      <c r="I966" s="1"/>
    </row>
    <row r="967" spans="1:9" ht="13">
      <c r="A967" s="1"/>
      <c r="B967" s="1"/>
      <c r="C967" s="1"/>
      <c r="D967" s="1"/>
      <c r="E967" s="1"/>
      <c r="F967" s="1"/>
      <c r="G967" s="1"/>
      <c r="H967" s="1"/>
      <c r="I967" s="1"/>
    </row>
    <row r="968" spans="1:9" ht="13">
      <c r="A968" s="1"/>
      <c r="B968" s="1"/>
      <c r="C968" s="1"/>
      <c r="D968" s="1"/>
      <c r="E968" s="1"/>
      <c r="F968" s="1"/>
      <c r="G968" s="1"/>
      <c r="H968" s="1"/>
      <c r="I968" s="1"/>
    </row>
    <row r="969" spans="1:9" ht="13">
      <c r="A969" s="1"/>
      <c r="B969" s="1"/>
      <c r="C969" s="1"/>
      <c r="D969" s="1"/>
      <c r="E969" s="1"/>
      <c r="F969" s="1"/>
      <c r="G969" s="1"/>
      <c r="H969" s="1"/>
      <c r="I969" s="1"/>
    </row>
    <row r="970" spans="1:9" ht="13">
      <c r="A970" s="1"/>
      <c r="B970" s="1"/>
      <c r="C970" s="1"/>
      <c r="D970" s="1"/>
      <c r="E970" s="1"/>
      <c r="F970" s="1"/>
      <c r="G970" s="1"/>
      <c r="H970" s="1"/>
      <c r="I970" s="1"/>
    </row>
    <row r="971" spans="1:9" ht="13">
      <c r="A971" s="1"/>
      <c r="B971" s="1"/>
      <c r="C971" s="1"/>
      <c r="D971" s="1"/>
      <c r="E971" s="1"/>
      <c r="F971" s="1"/>
      <c r="G971" s="1"/>
      <c r="H971" s="1"/>
      <c r="I971" s="1"/>
    </row>
    <row r="972" spans="1:9" ht="13">
      <c r="A972" s="1"/>
      <c r="B972" s="1"/>
      <c r="C972" s="1"/>
      <c r="D972" s="1"/>
      <c r="E972" s="1"/>
      <c r="F972" s="1"/>
      <c r="G972" s="1"/>
      <c r="H972" s="1"/>
      <c r="I972" s="1"/>
    </row>
    <row r="973" spans="1:9" ht="13">
      <c r="A973" s="1"/>
      <c r="B973" s="1"/>
      <c r="C973" s="1"/>
      <c r="D973" s="1"/>
      <c r="E973" s="1"/>
      <c r="F973" s="1"/>
      <c r="G973" s="1"/>
      <c r="H973" s="1"/>
      <c r="I973" s="1"/>
    </row>
    <row r="974" spans="1:9" ht="13">
      <c r="A974" s="1"/>
      <c r="B974" s="1"/>
      <c r="C974" s="1"/>
      <c r="D974" s="1"/>
      <c r="E974" s="1"/>
      <c r="F974" s="1"/>
      <c r="G974" s="1"/>
      <c r="H974" s="1"/>
      <c r="I974" s="1"/>
    </row>
    <row r="975" spans="1:9" ht="13">
      <c r="A975" s="1"/>
      <c r="B975" s="1"/>
      <c r="C975" s="1"/>
      <c r="D975" s="1"/>
      <c r="E975" s="1"/>
      <c r="F975" s="1"/>
      <c r="G975" s="1"/>
      <c r="H975" s="1"/>
      <c r="I975" s="1"/>
    </row>
    <row r="976" spans="1:9" ht="13">
      <c r="A976" s="1"/>
      <c r="B976" s="1"/>
      <c r="C976" s="1"/>
      <c r="D976" s="1"/>
      <c r="E976" s="1"/>
      <c r="F976" s="1"/>
      <c r="G976" s="1"/>
      <c r="H976" s="1"/>
      <c r="I976" s="1"/>
    </row>
    <row r="977" spans="1:9" ht="13">
      <c r="A977" s="1"/>
      <c r="B977" s="1"/>
      <c r="C977" s="1"/>
      <c r="D977" s="1"/>
      <c r="E977" s="1"/>
      <c r="F977" s="1"/>
      <c r="G977" s="1"/>
      <c r="H977" s="1"/>
      <c r="I977" s="1"/>
    </row>
    <row r="978" spans="1:9" ht="13">
      <c r="A978" s="1"/>
      <c r="B978" s="1"/>
      <c r="C978" s="1"/>
      <c r="D978" s="1"/>
      <c r="E978" s="1"/>
      <c r="F978" s="1"/>
      <c r="G978" s="1"/>
      <c r="H978" s="1"/>
      <c r="I978" s="1"/>
    </row>
    <row r="979" spans="1:9" ht="13">
      <c r="A979" s="1"/>
      <c r="B979" s="1"/>
      <c r="C979" s="1"/>
      <c r="D979" s="1"/>
      <c r="E979" s="1"/>
      <c r="F979" s="1"/>
      <c r="G979" s="1"/>
      <c r="H979" s="1"/>
      <c r="I979" s="1"/>
    </row>
    <row r="980" spans="1:9" ht="13">
      <c r="A980" s="1"/>
      <c r="B980" s="1"/>
      <c r="C980" s="1"/>
      <c r="D980" s="1"/>
      <c r="E980" s="1"/>
      <c r="F980" s="1"/>
      <c r="G980" s="1"/>
      <c r="H980" s="1"/>
      <c r="I980" s="1"/>
    </row>
    <row r="981" spans="1:9" ht="13">
      <c r="A981" s="1"/>
      <c r="B981" s="1"/>
      <c r="C981" s="1"/>
      <c r="D981" s="1"/>
      <c r="E981" s="1"/>
      <c r="F981" s="1"/>
      <c r="G981" s="1"/>
      <c r="H981" s="1"/>
      <c r="I981" s="1"/>
    </row>
    <row r="982" spans="1:9" ht="13">
      <c r="A982" s="1"/>
      <c r="B982" s="1"/>
      <c r="C982" s="1"/>
      <c r="D982" s="1"/>
      <c r="E982" s="1"/>
      <c r="F982" s="1"/>
      <c r="G982" s="1"/>
      <c r="H982" s="1"/>
      <c r="I982" s="1"/>
    </row>
    <row r="983" spans="1:9" ht="13">
      <c r="A983" s="1"/>
      <c r="B983" s="1"/>
      <c r="C983" s="1"/>
      <c r="D983" s="1"/>
      <c r="E983" s="1"/>
      <c r="F983" s="1"/>
      <c r="G983" s="1"/>
      <c r="H983" s="1"/>
      <c r="I983" s="1"/>
    </row>
    <row r="984" spans="1:9" ht="13">
      <c r="A984" s="1"/>
      <c r="B984" s="1"/>
      <c r="C984" s="1"/>
      <c r="D984" s="1"/>
      <c r="E984" s="1"/>
      <c r="F984" s="1"/>
      <c r="G984" s="1"/>
      <c r="H984" s="1"/>
      <c r="I984" s="1"/>
    </row>
    <row r="985" spans="1:9" ht="13">
      <c r="A985" s="1"/>
      <c r="B985" s="1"/>
      <c r="C985" s="1"/>
      <c r="D985" s="1"/>
      <c r="E985" s="1"/>
      <c r="F985" s="1"/>
      <c r="G985" s="1"/>
      <c r="H985" s="1"/>
      <c r="I985" s="1"/>
    </row>
    <row r="986" spans="1:9" ht="13">
      <c r="A986" s="1"/>
      <c r="B986" s="1"/>
      <c r="C986" s="1"/>
      <c r="D986" s="1"/>
      <c r="E986" s="1"/>
      <c r="F986" s="1"/>
      <c r="G986" s="1"/>
      <c r="H986" s="1"/>
      <c r="I986" s="1"/>
    </row>
    <row r="987" spans="1:9" ht="13">
      <c r="A987" s="1"/>
      <c r="B987" s="1"/>
      <c r="C987" s="1"/>
      <c r="D987" s="1"/>
      <c r="E987" s="1"/>
      <c r="F987" s="1"/>
      <c r="G987" s="1"/>
      <c r="H987" s="1"/>
      <c r="I987" s="1"/>
    </row>
    <row r="988" spans="1:9" ht="13">
      <c r="A988" s="1"/>
      <c r="B988" s="1"/>
      <c r="C988" s="1"/>
      <c r="D988" s="1"/>
      <c r="E988" s="1"/>
      <c r="F988" s="1"/>
      <c r="G988" s="1"/>
      <c r="H988" s="1"/>
      <c r="I988" s="1"/>
    </row>
    <row r="989" spans="1:9" ht="13">
      <c r="A989" s="1"/>
      <c r="B989" s="1"/>
      <c r="C989" s="1"/>
      <c r="D989" s="1"/>
      <c r="E989" s="1"/>
      <c r="F989" s="1"/>
      <c r="G989" s="1"/>
      <c r="H989" s="1"/>
      <c r="I989" s="1"/>
    </row>
    <row r="990" spans="1:9" ht="13">
      <c r="A990" s="1"/>
      <c r="B990" s="1"/>
      <c r="C990" s="1"/>
      <c r="D990" s="1"/>
      <c r="E990" s="1"/>
      <c r="F990" s="1"/>
      <c r="G990" s="1"/>
      <c r="H990" s="1"/>
      <c r="I990" s="1"/>
    </row>
    <row r="991" spans="1:9" ht="13">
      <c r="A991" s="1"/>
      <c r="B991" s="1"/>
      <c r="C991" s="1"/>
      <c r="D991" s="1"/>
      <c r="E991" s="1"/>
      <c r="F991" s="1"/>
      <c r="G991" s="1"/>
      <c r="H991" s="1"/>
      <c r="I991" s="1"/>
    </row>
    <row r="992" spans="1:9" ht="13">
      <c r="A992" s="1"/>
      <c r="B992" s="1"/>
      <c r="C992" s="1"/>
      <c r="D992" s="1"/>
      <c r="E992" s="1"/>
      <c r="F992" s="1"/>
      <c r="G992" s="1"/>
      <c r="H992" s="1"/>
      <c r="I992" s="1"/>
    </row>
    <row r="993" spans="1:9" ht="13">
      <c r="A993" s="1"/>
      <c r="B993" s="1"/>
      <c r="C993" s="1"/>
      <c r="D993" s="1"/>
      <c r="E993" s="1"/>
      <c r="F993" s="1"/>
      <c r="G993" s="1"/>
      <c r="H993" s="1"/>
      <c r="I993" s="1"/>
    </row>
    <row r="994" spans="1:9" ht="13">
      <c r="A994" s="1"/>
      <c r="B994" s="1"/>
      <c r="C994" s="1"/>
      <c r="D994" s="1"/>
      <c r="E994" s="1"/>
      <c r="F994" s="1"/>
      <c r="G994" s="1"/>
      <c r="H994" s="1"/>
      <c r="I994" s="1"/>
    </row>
    <row r="995" spans="1:9" ht="13">
      <c r="A995" s="1"/>
      <c r="B995" s="1"/>
      <c r="C995" s="1"/>
      <c r="D995" s="1"/>
      <c r="E995" s="1"/>
      <c r="F995" s="1"/>
      <c r="G995" s="1"/>
      <c r="H995" s="1"/>
      <c r="I995" s="1"/>
    </row>
    <row r="996" spans="1:9" ht="13">
      <c r="A996" s="1"/>
      <c r="B996" s="1"/>
      <c r="C996" s="1"/>
      <c r="D996" s="1"/>
      <c r="E996" s="1"/>
      <c r="F996" s="1"/>
      <c r="G996" s="1"/>
      <c r="H996" s="1"/>
      <c r="I996" s="1"/>
    </row>
    <row r="997" spans="1:9" ht="13">
      <c r="A997" s="1"/>
      <c r="B997" s="1"/>
      <c r="C997" s="1"/>
      <c r="D997" s="1"/>
      <c r="E997" s="1"/>
      <c r="F997" s="1"/>
      <c r="G997" s="1"/>
      <c r="H997" s="1"/>
      <c r="I997" s="1"/>
    </row>
    <row r="998" spans="1:9" ht="13">
      <c r="A998" s="1"/>
      <c r="B998" s="1"/>
      <c r="C998" s="1"/>
      <c r="D998" s="1"/>
      <c r="E998" s="1"/>
      <c r="F998" s="1"/>
      <c r="G998" s="1"/>
      <c r="H998" s="1"/>
      <c r="I998" s="1"/>
    </row>
    <row r="999" spans="1:9" ht="13">
      <c r="A999" s="1"/>
      <c r="B999" s="1"/>
      <c r="C999" s="1"/>
      <c r="D999" s="1"/>
      <c r="E999" s="1"/>
      <c r="F999" s="1"/>
      <c r="G999" s="1"/>
      <c r="H999" s="1"/>
      <c r="I999" s="1"/>
    </row>
    <row r="1000" spans="1:9" ht="13">
      <c r="A1000" s="1"/>
      <c r="B1000" s="1"/>
      <c r="C1000" s="1"/>
      <c r="D1000" s="1"/>
      <c r="E1000" s="1"/>
      <c r="F1000" s="1"/>
      <c r="G1000" s="1"/>
      <c r="H1000" s="1"/>
      <c r="I1000" s="1"/>
    </row>
  </sheetData>
  <mergeCells count="4">
    <mergeCell ref="A2:B2"/>
    <mergeCell ref="A4:B4"/>
    <mergeCell ref="A5:B5"/>
    <mergeCell ref="A6:B6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Cashflow Projection</vt:lpstr>
      <vt:lpstr>02 Rev Forecasts; Internal  (3)</vt:lpstr>
      <vt:lpstr>01a Cashflow Forecast - 12 mths</vt:lpstr>
      <vt:lpstr>01b Cashflow Forecast - 3 Yrs</vt:lpstr>
      <vt:lpstr>01A Cash 12 Mths OPEX 2 Batch </vt:lpstr>
      <vt:lpstr>01b Cash Forecast 6 Mths OPEX</vt:lpstr>
      <vt:lpstr>01 Cashflow 12mo v0.3 250729</vt:lpstr>
      <vt:lpstr>01B Cash 12 Mths OPEX 1 Batch</vt:lpstr>
      <vt:lpstr>01c Actual Cashflow Stt</vt:lpstr>
      <vt:lpstr>02 Rev Forecasts; Internal KPIs</vt:lpstr>
      <vt:lpstr>03 Worst Case Scenario Model</vt:lpstr>
      <vt:lpstr>04 MFG Batch 0001 Cost (330pc)</vt:lpstr>
      <vt:lpstr>05 GG Next Steps, Pipeline</vt:lpstr>
      <vt:lpstr>07 SG MRA Grant</vt:lpstr>
      <vt:lpstr>OPEX Tabulation (DO NOT USE)</vt:lpstr>
      <vt:lpstr>08 BOM Costs</vt:lpstr>
      <vt:lpstr>09 Inventory Loan</vt:lpstr>
      <vt:lpstr>10 Laser Balancing Int vs Ext</vt:lpstr>
      <vt:lpstr>11 Forward OPEX 250728</vt:lpstr>
      <vt:lpstr>12 Other Liabilities</vt:lpstr>
      <vt:lpstr>13 Loan from Mr Ong</vt:lpstr>
      <vt:lpstr>Summary P&amp;L-USD Yr Jul_Jun Best</vt:lpstr>
      <vt:lpstr>OPEX Workings</vt:lpstr>
      <vt:lpstr>Cashflow Proj 12mo v0.2 250729</vt:lpstr>
      <vt:lpstr>Cashflow Proj 12mo v0.1 250728</vt:lpstr>
      <vt:lpstr>OPEX Rough Workings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Victoria Yong</cp:lastModifiedBy>
  <cp:revision/>
  <dcterms:created xsi:type="dcterms:W3CDTF">2025-07-15T06:38:20Z</dcterms:created>
  <dcterms:modified xsi:type="dcterms:W3CDTF">2025-08-14T07:49:52Z</dcterms:modified>
  <cp:category/>
  <cp:contentStatus/>
</cp:coreProperties>
</file>