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nisher/Desktop/x/finance/excel /"/>
    </mc:Choice>
  </mc:AlternateContent>
  <xr:revisionPtr revIDLastSave="0" documentId="8_{E39F58A4-C58A-4449-AE03-7C2462AAEBA3}" xr6:coauthVersionLast="47" xr6:coauthVersionMax="47" xr10:uidLastSave="{00000000-0000-0000-0000-000000000000}"/>
  <bookViews>
    <workbookView xWindow="0" yWindow="0" windowWidth="28800" windowHeight="18000" xr2:uid="{7E8C581E-888F-9244-B551-81E97848D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9" i="1" l="1"/>
  <c r="L55" i="1"/>
  <c r="L54" i="1"/>
  <c r="L52" i="1"/>
  <c r="L51" i="1"/>
  <c r="L53" i="1" s="1"/>
  <c r="Q55" i="1"/>
  <c r="M38" i="1"/>
  <c r="M39" i="1" s="1"/>
  <c r="N38" i="1"/>
  <c r="O38" i="1"/>
  <c r="P38" i="1"/>
  <c r="Q38" i="1"/>
  <c r="R38" i="1"/>
  <c r="R39" i="1" s="1"/>
  <c r="S38" i="1"/>
  <c r="L38" i="1"/>
  <c r="O37" i="1"/>
  <c r="O39" i="1" s="1"/>
  <c r="P37" i="1"/>
  <c r="P39" i="1" s="1"/>
  <c r="Q37" i="1"/>
  <c r="Q39" i="1" s="1"/>
  <c r="R37" i="1"/>
  <c r="S37" i="1"/>
  <c r="S39" i="1" s="1"/>
  <c r="M37" i="1"/>
  <c r="N37" i="1"/>
  <c r="N39" i="1" s="1"/>
  <c r="L37" i="1"/>
  <c r="L39" i="1" s="1"/>
  <c r="S40" i="1" l="1"/>
  <c r="P44" i="1" s="1"/>
  <c r="Q44" i="1" s="1"/>
  <c r="P45" i="1"/>
  <c r="P46" i="1" l="1"/>
  <c r="Q45" i="1"/>
  <c r="P47" i="1" l="1"/>
  <c r="Q46" i="1"/>
  <c r="P48" i="1" l="1"/>
  <c r="Q47" i="1"/>
  <c r="P49" i="1" l="1"/>
  <c r="Q48" i="1"/>
  <c r="Q49" i="1" l="1"/>
  <c r="P50" i="1"/>
  <c r="P51" i="1" l="1"/>
  <c r="Q50" i="1"/>
  <c r="P52" i="1" l="1"/>
  <c r="Q51" i="1"/>
  <c r="P53" i="1" l="1"/>
  <c r="Q52" i="1"/>
  <c r="Q56" i="1" l="1"/>
  <c r="Q57" i="1" s="1"/>
  <c r="L50" i="1" s="1"/>
  <c r="L57" i="1" s="1"/>
  <c r="Q53" i="1"/>
  <c r="L61" i="1" l="1"/>
  <c r="L63" i="1" s="1"/>
  <c r="L62" i="1"/>
  <c r="L68" i="1" l="1"/>
  <c r="L70" i="1"/>
  <c r="I89" i="1"/>
  <c r="I90" i="1" s="1"/>
  <c r="D89" i="1"/>
  <c r="D90" i="1" s="1"/>
  <c r="E89" i="1"/>
  <c r="E90" i="1" s="1"/>
  <c r="F89" i="1"/>
  <c r="F90" i="1" s="1"/>
  <c r="G89" i="1"/>
  <c r="G90" i="1" s="1"/>
  <c r="H89" i="1"/>
  <c r="H90" i="1" s="1"/>
  <c r="C89" i="1"/>
  <c r="C90" i="1" s="1"/>
  <c r="D87" i="1"/>
  <c r="D88" i="1" s="1"/>
  <c r="E87" i="1"/>
  <c r="E88" i="1" s="1"/>
  <c r="F87" i="1"/>
  <c r="F88" i="1" s="1"/>
  <c r="G87" i="1"/>
  <c r="G88" i="1" s="1"/>
  <c r="H87" i="1"/>
  <c r="H88" i="1" s="1"/>
  <c r="I87" i="1"/>
  <c r="I88" i="1" s="1"/>
  <c r="C87" i="1"/>
  <c r="C88" i="1" s="1"/>
  <c r="C86" i="1"/>
  <c r="D86" i="1"/>
  <c r="E86" i="1"/>
  <c r="F86" i="1"/>
  <c r="G86" i="1"/>
  <c r="H86" i="1"/>
  <c r="I86" i="1"/>
  <c r="D84" i="1"/>
  <c r="E84" i="1"/>
  <c r="F84" i="1"/>
  <c r="G84" i="1"/>
  <c r="H84" i="1"/>
  <c r="I84" i="1"/>
  <c r="C84" i="1"/>
  <c r="C85" i="1"/>
  <c r="D85" i="1"/>
  <c r="E85" i="1"/>
  <c r="F85" i="1"/>
  <c r="G85" i="1"/>
  <c r="H85" i="1"/>
  <c r="I85" i="1"/>
  <c r="D81" i="1"/>
  <c r="E81" i="1"/>
  <c r="F81" i="1"/>
  <c r="G81" i="1"/>
  <c r="H81" i="1"/>
  <c r="I81" i="1"/>
  <c r="C81" i="1"/>
  <c r="C80" i="1"/>
  <c r="D80" i="1"/>
  <c r="E80" i="1"/>
  <c r="F80" i="1"/>
  <c r="G80" i="1"/>
  <c r="H80" i="1"/>
  <c r="I80" i="1"/>
  <c r="B80" i="1"/>
  <c r="C79" i="1"/>
  <c r="D79" i="1"/>
  <c r="E79" i="1"/>
  <c r="F79" i="1"/>
  <c r="G79" i="1"/>
  <c r="H79" i="1"/>
  <c r="I79" i="1"/>
  <c r="B79" i="1"/>
  <c r="C78" i="1"/>
  <c r="D78" i="1"/>
  <c r="E78" i="1"/>
  <c r="F78" i="1"/>
  <c r="G78" i="1"/>
  <c r="H78" i="1"/>
  <c r="I78" i="1"/>
  <c r="B78" i="1"/>
  <c r="C71" i="1"/>
  <c r="D71" i="1"/>
  <c r="E71" i="1"/>
  <c r="F71" i="1"/>
  <c r="G71" i="1"/>
  <c r="H71" i="1"/>
  <c r="I71" i="1"/>
  <c r="B71" i="1"/>
  <c r="C69" i="1"/>
  <c r="D69" i="1"/>
  <c r="E69" i="1"/>
  <c r="F69" i="1"/>
  <c r="G69" i="1"/>
  <c r="H69" i="1"/>
  <c r="I69" i="1"/>
  <c r="B69" i="1"/>
  <c r="B75" i="1"/>
  <c r="C75" i="1"/>
  <c r="D75" i="1"/>
  <c r="E75" i="1"/>
  <c r="F75" i="1"/>
  <c r="G75" i="1"/>
  <c r="H75" i="1"/>
  <c r="I75" i="1"/>
  <c r="C74" i="1"/>
  <c r="D74" i="1"/>
  <c r="E74" i="1"/>
  <c r="F74" i="1"/>
  <c r="G74" i="1"/>
  <c r="H74" i="1"/>
  <c r="I74" i="1"/>
  <c r="B74" i="1"/>
  <c r="D73" i="1"/>
  <c r="E73" i="1"/>
  <c r="F73" i="1"/>
  <c r="G73" i="1"/>
  <c r="H73" i="1"/>
  <c r="I73" i="1"/>
  <c r="C73" i="1"/>
  <c r="B73" i="1"/>
  <c r="C72" i="1"/>
  <c r="D72" i="1"/>
  <c r="E72" i="1"/>
  <c r="F72" i="1"/>
  <c r="G72" i="1"/>
  <c r="H72" i="1"/>
  <c r="I72" i="1"/>
  <c r="B72" i="1"/>
  <c r="C70" i="1"/>
  <c r="D70" i="1"/>
  <c r="E70" i="1"/>
  <c r="F70" i="1"/>
  <c r="G70" i="1"/>
  <c r="H70" i="1"/>
  <c r="I70" i="1"/>
  <c r="B70" i="1"/>
</calcChain>
</file>

<file path=xl/sharedStrings.xml><?xml version="1.0" encoding="utf-8"?>
<sst xmlns="http://schemas.openxmlformats.org/spreadsheetml/2006/main" count="165" uniqueCount="163">
  <si>
    <t>Operating Profit</t>
  </si>
  <si>
    <t>OPM %</t>
  </si>
  <si>
    <t>Interest</t>
  </si>
  <si>
    <t>Depreciation</t>
  </si>
  <si>
    <t>Profit before tax</t>
  </si>
  <si>
    <t>Tax %</t>
  </si>
  <si>
    <t>Net Profit</t>
  </si>
  <si>
    <t>EPS in Rs</t>
  </si>
  <si>
    <t>Dividend Payout %</t>
  </si>
  <si>
    <t>Sales -</t>
  </si>
  <si>
    <t>Sales Growth %</t>
  </si>
  <si>
    <t>Expenses -</t>
  </si>
  <si>
    <t>Material Cost %</t>
  </si>
  <si>
    <t>Manufacturing Cost %</t>
  </si>
  <si>
    <t>Employee Cost %</t>
  </si>
  <si>
    <t>Other Cost %</t>
  </si>
  <si>
    <t>Other Income -</t>
  </si>
  <si>
    <t>Exceptional items</t>
  </si>
  <si>
    <t>Other income normal</t>
  </si>
  <si>
    <t>particulars</t>
  </si>
  <si>
    <t>BALANCE SHEET</t>
  </si>
  <si>
    <t>Share Capital -</t>
  </si>
  <si>
    <t>Equity Capital</t>
  </si>
  <si>
    <t>Reserves</t>
  </si>
  <si>
    <t>Borrowings -</t>
  </si>
  <si>
    <t>Long term Borrowings</t>
  </si>
  <si>
    <t>Short term Borrowings</t>
  </si>
  <si>
    <t>Lease Liabilities</t>
  </si>
  <si>
    <t>Other Borrowings</t>
  </si>
  <si>
    <t>Other Liabilities -</t>
  </si>
  <si>
    <t>Trade Payables</t>
  </si>
  <si>
    <t>Advance from Customers</t>
  </si>
  <si>
    <t>Other liability items</t>
  </si>
  <si>
    <t>Total Liabilities</t>
  </si>
  <si>
    <t>Fixed Assets -</t>
  </si>
  <si>
    <t>Land</t>
  </si>
  <si>
    <t>Building</t>
  </si>
  <si>
    <t>Plant Machinery</t>
  </si>
  <si>
    <t>Equipments</t>
  </si>
  <si>
    <t>Computers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</si>
  <si>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</si>
  <si>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</si>
  <si>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</si>
  <si>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</si>
  <si>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</si>
  <si>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</si>
  <si>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</si>
  <si>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Investments</t>
  </si>
  <si>
    <t>Other Assets -</t>
  </si>
  <si>
    <t>Inventories</t>
  </si>
  <si>
    <t>Trade receivables</t>
  </si>
  <si>
    <t>Cash Equivalents</t>
  </si>
  <si>
    <t>Loans n Advances</t>
  </si>
  <si>
    <t>Other asset items</t>
  </si>
  <si>
    <t>Total Assets</t>
  </si>
  <si>
    <t>PROFITABILITY RATIOS</t>
  </si>
  <si>
    <t xml:space="preserve">EBITDA MARGIN </t>
  </si>
  <si>
    <t>PAT MARGIN</t>
  </si>
  <si>
    <t>ROA</t>
  </si>
  <si>
    <t xml:space="preserve">ROE </t>
  </si>
  <si>
    <t>ROCE</t>
  </si>
  <si>
    <t xml:space="preserve">EBITDA  </t>
  </si>
  <si>
    <t xml:space="preserve">PAT  </t>
  </si>
  <si>
    <t>LEVERAGE RATIOS</t>
  </si>
  <si>
    <t>INTEREST COVERAGE RATIO</t>
  </si>
  <si>
    <t>DEBT TO EQUITY RATIO</t>
  </si>
  <si>
    <t>DEBT TO ASSETS RATIO</t>
  </si>
  <si>
    <t>FINANCIAL LEVERAGE RATIO</t>
  </si>
  <si>
    <t>OPERATIONS RATIOS</t>
  </si>
  <si>
    <t>PRINCE PIPES</t>
  </si>
  <si>
    <t>FIXED ASSET TURNOVER RATIO</t>
  </si>
  <si>
    <t>TOTAL ASSET TURNOVER RATIO</t>
  </si>
  <si>
    <t>INVENTORY TURNOVER RATIO</t>
  </si>
  <si>
    <t>INVENTORY DAYS</t>
  </si>
  <si>
    <t>RECEIVABLES TURNOVER RATIO</t>
  </si>
  <si>
    <t>RECEIVABLES DAYS</t>
  </si>
  <si>
    <t>WC TURNOVER RATIO</t>
  </si>
  <si>
    <t>VALUATION RATIOS</t>
  </si>
  <si>
    <t>PRICE TO SALES</t>
  </si>
  <si>
    <t>PRICE TO EARNINGS</t>
  </si>
  <si>
    <t>CMP</t>
  </si>
  <si>
    <t>PRICE TO BV</t>
  </si>
  <si>
    <t>Cash from Operating Activity -</t>
  </si>
  <si>
    <t>Profit from operations</t>
  </si>
  <si>
    <t>Receivables</t>
  </si>
  <si>
    <t>Inventory</t>
  </si>
  <si>
    <t>Payables</t>
  </si>
  <si>
    <t>Other WC items</t>
  </si>
  <si>
    <t>Working capital changes</t>
  </si>
  <si>
    <t>Direct taxes</t>
  </si>
  <si>
    <t>Cash from Investing Activity 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</si>
  <si>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</si>
  <si>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</si>
  <si>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</si>
  <si>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</si>
  <si>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</si>
  <si>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</si>
  <si>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Other investing items</t>
  </si>
  <si>
    <t>Cash from Financing Activity -</t>
  </si>
  <si>
    <t>Proceeds from shares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</si>
  <si>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</si>
  <si>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</si>
  <si>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</si>
  <si>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</si>
  <si>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</si>
  <si>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</si>
  <si>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Net Cash Flow</t>
  </si>
  <si>
    <t>Ratio ananlysis</t>
  </si>
  <si>
    <t>PROFIT &amp; LOSS</t>
  </si>
  <si>
    <t>CASH FLOW</t>
  </si>
  <si>
    <t>DCF ANALYSIS</t>
  </si>
  <si>
    <t>Free Cash Flow Estimate (In INR Crs)</t>
  </si>
  <si>
    <t>Net cash from Operating Activities</t>
  </si>
  <si>
    <t>Capital Expenditures</t>
  </si>
  <si>
    <t>Free Cash Flow (FCF)</t>
  </si>
  <si>
    <t>Inputs</t>
  </si>
  <si>
    <t>Cash flow &amp; Present Value Table</t>
  </si>
  <si>
    <t>Number of years considered</t>
  </si>
  <si>
    <t>Sl No</t>
  </si>
  <si>
    <t>Year</t>
  </si>
  <si>
    <t>Cash flow</t>
  </si>
  <si>
    <t>PV of Cash flow</t>
  </si>
  <si>
    <t>FCF Growth rate for first 5 years</t>
  </si>
  <si>
    <t>2014 - 15</t>
  </si>
  <si>
    <t>FCF Growth rate for last 5 years</t>
  </si>
  <si>
    <t>2015 - 16</t>
  </si>
  <si>
    <t>Terminal Growth Rate</t>
  </si>
  <si>
    <t>2016 - 17</t>
  </si>
  <si>
    <t>Discount Rate</t>
  </si>
  <si>
    <t>Intrinsic Value Calculation (INR Crs,  unless indicated)</t>
  </si>
  <si>
    <t>Total PV of cash flow</t>
  </si>
  <si>
    <t>Total Debt</t>
  </si>
  <si>
    <t>Cash &amp; Cash Balance</t>
  </si>
  <si>
    <t>Net Debt</t>
  </si>
  <si>
    <t xml:space="preserve">Share Capital </t>
  </si>
  <si>
    <t>Face Value (INR)</t>
  </si>
  <si>
    <t xml:space="preserve">Terminal Year </t>
  </si>
  <si>
    <t>Number of Shares</t>
  </si>
  <si>
    <t>Terminal Value</t>
  </si>
  <si>
    <t>Share Price (INR)</t>
  </si>
  <si>
    <t>PV of Terminal Value</t>
  </si>
  <si>
    <t>Intrinsic Value Band</t>
  </si>
  <si>
    <t>Model Error leeway</t>
  </si>
  <si>
    <t>Lower Intrinsic value band</t>
  </si>
  <si>
    <t>Upper Intrinsic value band</t>
  </si>
  <si>
    <t>2017-18</t>
  </si>
  <si>
    <t>2018-19</t>
  </si>
  <si>
    <t>2019-2020</t>
  </si>
  <si>
    <t>2020-21</t>
  </si>
  <si>
    <t>2021-22</t>
  </si>
  <si>
    <t xml:space="preserve">8Year Average Free Cash flow 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</si>
  <si>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</si>
  <si>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</si>
  <si>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</si>
  <si>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</si>
  <si>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</si>
  <si>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</si>
  <si>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</si>
  <si>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</si>
  <si>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</si>
  <si>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</si>
  <si>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margin of safety(20%)</t>
  </si>
  <si>
    <t>Rs.552  (25/10/22)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</si>
</sst>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0.00\x"/>
    <numFmt numFmtId="165" formatCode="0\x"/>
    <numFmt numFmtId="166" formatCode="_(* #,##0.0_);_(* \(#,##0.0\);_(* &quot;-&quot;_);_(@_)"/>
    <numFmt numFmtId="167" formatCode="_(* #,##0.00_);_(* \(#,##0.00\);_(* &quot;-&quot;_);_(@_)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 (Body)"/>
    </font>
    <font>
      <sz val="18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5FA6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3">
    <xf numFmtId="0" fontId="0" fillId="0" borderId="0" xfId="0"/>
    <xf numFmtId="0" fontId="0" fillId="0" borderId="0" xfId="0" applyBorder="1"/>
    <xf numFmtId="9" fontId="5" fillId="0" borderId="0" xfId="0" applyNumberFormat="1" applyFont="1" applyBorder="1"/>
    <xf numFmtId="0" fontId="5" fillId="0" borderId="0" xfId="0" applyFont="1" applyBorder="1"/>
    <xf numFmtId="0" fontId="4" fillId="0" borderId="0" xfId="0" applyFont="1" applyBorder="1"/>
    <xf numFmtId="17" fontId="3" fillId="3" borderId="0" xfId="0" applyNumberFormat="1" applyFont="1" applyFill="1" applyBorder="1"/>
    <xf numFmtId="3" fontId="4" fillId="0" borderId="0" xfId="0" applyNumberFormat="1" applyFont="1" applyBorder="1"/>
    <xf numFmtId="10" fontId="5" fillId="0" borderId="0" xfId="0" applyNumberFormat="1" applyFont="1" applyBorder="1"/>
    <xf numFmtId="0" fontId="3" fillId="0" borderId="0" xfId="0" applyFont="1" applyBorder="1"/>
    <xf numFmtId="2" fontId="0" fillId="0" borderId="0" xfId="0" applyNumberFormat="1" applyBorder="1"/>
    <xf numFmtId="0" fontId="0" fillId="0" borderId="0" xfId="0" applyBorder="1" applyAlignment="1">
      <alignment horizontal="center" vertical="center"/>
    </xf>
    <xf numFmtId="9" fontId="0" fillId="0" borderId="0" xfId="1" applyFont="1" applyBorder="1"/>
    <xf numFmtId="0" fontId="0" fillId="0" borderId="0" xfId="1" applyNumberFormat="1" applyFont="1" applyBorder="1" applyAlignment="1">
      <alignment horizontal="center"/>
    </xf>
    <xf numFmtId="0" fontId="0" fillId="7" borderId="0" xfId="0" applyFill="1" applyBorder="1"/>
    <xf numFmtId="9" fontId="0" fillId="7" borderId="0" xfId="1" applyFont="1" applyFill="1" applyBorder="1"/>
    <xf numFmtId="164" fontId="0" fillId="0" borderId="0" xfId="0" applyNumberFormat="1" applyBorder="1"/>
    <xf numFmtId="1" fontId="0" fillId="0" borderId="0" xfId="0" applyNumberFormat="1" applyBorder="1"/>
    <xf numFmtId="17" fontId="3" fillId="3" borderId="0" xfId="0" applyNumberFormat="1" applyFont="1" applyFill="1" applyBorder="1" applyAlignment="1">
      <alignment horizontal="center"/>
    </xf>
    <xf numFmtId="0" fontId="0" fillId="6" borderId="0" xfId="0" applyFill="1" applyBorder="1"/>
    <xf numFmtId="0" fontId="0" fillId="0" borderId="1" xfId="0" applyBorder="1"/>
    <xf numFmtId="0" fontId="10" fillId="0" borderId="2" xfId="0" applyFont="1" applyBorder="1"/>
    <xf numFmtId="166" fontId="10" fillId="0" borderId="2" xfId="0" applyNumberFormat="1" applyFont="1" applyBorder="1"/>
    <xf numFmtId="0" fontId="0" fillId="0" borderId="3" xfId="0" applyBorder="1"/>
    <xf numFmtId="0" fontId="0" fillId="0" borderId="4" xfId="0" applyBorder="1"/>
    <xf numFmtId="0" fontId="10" fillId="0" borderId="3" xfId="0" applyFont="1" applyBorder="1"/>
    <xf numFmtId="0" fontId="10" fillId="0" borderId="5" xfId="0" applyFont="1" applyBorder="1"/>
    <xf numFmtId="0" fontId="10" fillId="0" borderId="5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0" fillId="0" borderId="6" xfId="0" applyBorder="1"/>
    <xf numFmtId="9" fontId="0" fillId="0" borderId="7" xfId="0" applyNumberFormat="1" applyBorder="1"/>
    <xf numFmtId="0" fontId="0" fillId="0" borderId="6" xfId="0" applyBorder="1" applyAlignment="1">
      <alignment horizontal="left"/>
    </xf>
    <xf numFmtId="167" fontId="0" fillId="0" borderId="7" xfId="0" applyNumberFormat="1" applyBorder="1" applyAlignment="1">
      <alignment horizontal="left"/>
    </xf>
    <xf numFmtId="10" fontId="0" fillId="0" borderId="7" xfId="0" applyNumberFormat="1" applyBorder="1"/>
    <xf numFmtId="0" fontId="0" fillId="0" borderId="8" xfId="0" applyBorder="1"/>
    <xf numFmtId="9" fontId="0" fillId="0" borderId="9" xfId="0" applyNumberFormat="1" applyBorder="1"/>
    <xf numFmtId="167" fontId="0" fillId="0" borderId="4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167" fontId="0" fillId="0" borderId="1" xfId="0" applyNumberFormat="1" applyBorder="1" applyAlignment="1">
      <alignment horizontal="left"/>
    </xf>
    <xf numFmtId="167" fontId="0" fillId="0" borderId="9" xfId="0" applyNumberFormat="1" applyBorder="1" applyAlignment="1">
      <alignment horizontal="left"/>
    </xf>
    <xf numFmtId="0" fontId="0" fillId="0" borderId="5" xfId="0" applyBorder="1"/>
    <xf numFmtId="167" fontId="0" fillId="0" borderId="4" xfId="0" applyNumberFormat="1" applyBorder="1" applyAlignment="1">
      <alignment horizontal="right"/>
    </xf>
    <xf numFmtId="41" fontId="0" fillId="0" borderId="7" xfId="0" applyNumberFormat="1" applyBorder="1" applyAlignment="1">
      <alignment horizontal="left"/>
    </xf>
    <xf numFmtId="0" fontId="11" fillId="2" borderId="8" xfId="0" applyFont="1" applyFill="1" applyBorder="1"/>
    <xf numFmtId="167" fontId="11" fillId="2" borderId="9" xfId="0" applyNumberFormat="1" applyFont="1" applyFill="1" applyBorder="1" applyAlignment="1">
      <alignment horizontal="left"/>
    </xf>
    <xf numFmtId="9" fontId="12" fillId="6" borderId="5" xfId="0" applyNumberFormat="1" applyFont="1" applyFill="1" applyBorder="1"/>
    <xf numFmtId="0" fontId="10" fillId="0" borderId="0" xfId="0" applyFont="1" applyBorder="1" applyAlignment="1">
      <alignment horizontal="right"/>
    </xf>
    <xf numFmtId="0" fontId="0" fillId="0" borderId="2" xfId="0" applyBorder="1"/>
    <xf numFmtId="0" fontId="6" fillId="3" borderId="6" xfId="0" applyFont="1" applyFill="1" applyBorder="1" applyAlignment="1">
      <alignment horizontal="center"/>
    </xf>
    <xf numFmtId="17" fontId="3" fillId="3" borderId="7" xfId="0" applyNumberFormat="1" applyFont="1" applyFill="1" applyBorder="1" applyAlignment="1">
      <alignment horizontal="center"/>
    </xf>
    <xf numFmtId="0" fontId="4" fillId="8" borderId="6" xfId="0" applyFont="1" applyFill="1" applyBorder="1"/>
    <xf numFmtId="0" fontId="4" fillId="8" borderId="0" xfId="0" applyFont="1" applyFill="1" applyBorder="1"/>
    <xf numFmtId="0" fontId="4" fillId="8" borderId="7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5" fillId="0" borderId="6" xfId="0" applyFont="1" applyBorder="1"/>
    <xf numFmtId="0" fontId="5" fillId="0" borderId="7" xfId="0" applyFont="1" applyBorder="1"/>
    <xf numFmtId="0" fontId="4" fillId="8" borderId="8" xfId="0" applyFont="1" applyFill="1" applyBorder="1"/>
    <xf numFmtId="0" fontId="4" fillId="8" borderId="1" xfId="0" applyFont="1" applyFill="1" applyBorder="1"/>
    <xf numFmtId="0" fontId="4" fillId="8" borderId="9" xfId="0" applyFont="1" applyFill="1" applyBorder="1"/>
    <xf numFmtId="0" fontId="3" fillId="3" borderId="6" xfId="0" applyFont="1" applyFill="1" applyBorder="1"/>
    <xf numFmtId="17" fontId="3" fillId="3" borderId="7" xfId="0" applyNumberFormat="1" applyFont="1" applyFill="1" applyBorder="1"/>
    <xf numFmtId="3" fontId="4" fillId="0" borderId="7" xfId="0" applyNumberFormat="1" applyFont="1" applyBorder="1"/>
    <xf numFmtId="10" fontId="5" fillId="0" borderId="7" xfId="0" applyNumberFormat="1" applyFont="1" applyBorder="1"/>
    <xf numFmtId="9" fontId="5" fillId="0" borderId="7" xfId="0" applyNumberFormat="1" applyFont="1" applyBorder="1"/>
    <xf numFmtId="0" fontId="5" fillId="0" borderId="8" xfId="0" applyFont="1" applyBorder="1"/>
    <xf numFmtId="9" fontId="5" fillId="0" borderId="1" xfId="0" applyNumberFormat="1" applyFont="1" applyBorder="1"/>
    <xf numFmtId="9" fontId="5" fillId="0" borderId="9" xfId="0" applyNumberFormat="1" applyFont="1" applyBorder="1"/>
    <xf numFmtId="0" fontId="3" fillId="3" borderId="6" xfId="0" applyFont="1" applyFill="1" applyBorder="1" applyAlignment="1">
      <alignment horizontal="center"/>
    </xf>
    <xf numFmtId="3" fontId="5" fillId="0" borderId="7" xfId="0" applyNumberFormat="1" applyFont="1" applyBorder="1"/>
    <xf numFmtId="0" fontId="4" fillId="0" borderId="8" xfId="0" applyFont="1" applyBorder="1"/>
    <xf numFmtId="0" fontId="4" fillId="0" borderId="1" xfId="0" applyFont="1" applyBorder="1"/>
    <xf numFmtId="3" fontId="4" fillId="0" borderId="1" xfId="0" applyNumberFormat="1" applyFont="1" applyBorder="1"/>
    <xf numFmtId="3" fontId="4" fillId="0" borderId="9" xfId="0" applyNumberFormat="1" applyFont="1" applyBorder="1"/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9" fontId="0" fillId="0" borderId="7" xfId="1" applyFont="1" applyBorder="1"/>
    <xf numFmtId="0" fontId="0" fillId="0" borderId="7" xfId="1" applyNumberFormat="1" applyFont="1" applyBorder="1" applyAlignment="1">
      <alignment horizontal="center"/>
    </xf>
    <xf numFmtId="0" fontId="0" fillId="7" borderId="6" xfId="0" applyFill="1" applyBorder="1" applyAlignment="1">
      <alignment horizontal="left" vertical="center"/>
    </xf>
    <xf numFmtId="9" fontId="0" fillId="7" borderId="7" xfId="1" applyFont="1" applyFill="1" applyBorder="1"/>
    <xf numFmtId="164" fontId="0" fillId="0" borderId="7" xfId="0" applyNumberFormat="1" applyBorder="1"/>
    <xf numFmtId="0" fontId="0" fillId="7" borderId="6" xfId="0" applyFill="1" applyBorder="1"/>
    <xf numFmtId="0" fontId="0" fillId="7" borderId="7" xfId="0" applyFill="1" applyBorder="1"/>
    <xf numFmtId="0" fontId="0" fillId="0" borderId="6" xfId="0" applyFill="1" applyBorder="1" applyAlignment="1">
      <alignment horizontal="left" vertical="center"/>
    </xf>
    <xf numFmtId="1" fontId="0" fillId="0" borderId="7" xfId="0" applyNumberFormat="1" applyBorder="1"/>
    <xf numFmtId="0" fontId="0" fillId="7" borderId="8" xfId="0" applyFill="1" applyBorder="1"/>
    <xf numFmtId="0" fontId="0" fillId="7" borderId="1" xfId="0" applyFill="1" applyBorder="1"/>
    <xf numFmtId="0" fontId="0" fillId="7" borderId="9" xfId="0" applyFill="1" applyBorder="1"/>
    <xf numFmtId="0" fontId="0" fillId="0" borderId="13" xfId="0" applyBorder="1"/>
    <xf numFmtId="0" fontId="0" fillId="0" borderId="13" xfId="0" applyFill="1" applyBorder="1"/>
    <xf numFmtId="0" fontId="0" fillId="0" borderId="15" xfId="0" applyFill="1" applyBorder="1"/>
    <xf numFmtId="166" fontId="0" fillId="0" borderId="0" xfId="0" applyNumberFormat="1" applyBorder="1"/>
    <xf numFmtId="167" fontId="0" fillId="0" borderId="0" xfId="0" applyNumberFormat="1" applyBorder="1" applyAlignment="1">
      <alignment horizontal="left"/>
    </xf>
    <xf numFmtId="0" fontId="10" fillId="0" borderId="5" xfId="0" applyFont="1" applyBorder="1" applyAlignment="1">
      <alignment horizontal="left"/>
    </xf>
    <xf numFmtId="166" fontId="14" fillId="6" borderId="0" xfId="0" applyNumberFormat="1" applyFont="1" applyFill="1" applyBorder="1"/>
    <xf numFmtId="43" fontId="0" fillId="4" borderId="2" xfId="0" applyNumberFormat="1" applyFill="1" applyBorder="1"/>
    <xf numFmtId="166" fontId="13" fillId="4" borderId="0" xfId="0" applyNumberFormat="1" applyFont="1" applyFill="1" applyBorder="1"/>
    <xf numFmtId="0" fontId="5" fillId="9" borderId="6" xfId="0" applyFont="1" applyFill="1" applyBorder="1"/>
    <xf numFmtId="0" fontId="5" fillId="9" borderId="0" xfId="0" applyFont="1" applyFill="1" applyBorder="1"/>
    <xf numFmtId="0" fontId="5" fillId="9" borderId="7" xfId="0" applyFont="1" applyFill="1" applyBorder="1"/>
    <xf numFmtId="0" fontId="9" fillId="0" borderId="8" xfId="0" applyFont="1" applyBorder="1"/>
    <xf numFmtId="0" fontId="0" fillId="0" borderId="7" xfId="0" applyBorder="1"/>
    <xf numFmtId="0" fontId="10" fillId="0" borderId="4" xfId="0" applyFont="1" applyFill="1" applyBorder="1" applyAlignment="1">
      <alignment horizontal="right"/>
    </xf>
    <xf numFmtId="166" fontId="0" fillId="0" borderId="0" xfId="0" applyNumberFormat="1" applyBorder="1" applyAlignment="1">
      <alignment horizontal="right"/>
    </xf>
    <xf numFmtId="166" fontId="0" fillId="0" borderId="7" xfId="0" applyNumberFormat="1" applyBorder="1" applyAlignment="1">
      <alignment horizontal="right"/>
    </xf>
    <xf numFmtId="0" fontId="10" fillId="0" borderId="18" xfId="0" applyFont="1" applyBorder="1"/>
    <xf numFmtId="166" fontId="0" fillId="4" borderId="19" xfId="0" applyNumberFormat="1" applyFill="1" applyBorder="1"/>
    <xf numFmtId="0" fontId="9" fillId="0" borderId="6" xfId="0" applyFont="1" applyBorder="1"/>
    <xf numFmtId="0" fontId="9" fillId="0" borderId="0" xfId="0" applyFont="1" applyBorder="1"/>
    <xf numFmtId="166" fontId="0" fillId="0" borderId="7" xfId="0" applyNumberFormat="1" applyBorder="1"/>
    <xf numFmtId="0" fontId="12" fillId="6" borderId="3" xfId="0" applyFont="1" applyFill="1" applyBorder="1"/>
    <xf numFmtId="0" fontId="13" fillId="6" borderId="6" xfId="0" applyFont="1" applyFill="1" applyBorder="1"/>
    <xf numFmtId="0" fontId="14" fillId="6" borderId="6" xfId="0" applyFont="1" applyFill="1" applyBorder="1"/>
    <xf numFmtId="0" fontId="0" fillId="0" borderId="18" xfId="0" applyBorder="1"/>
    <xf numFmtId="0" fontId="0" fillId="0" borderId="9" xfId="0" applyBorder="1"/>
    <xf numFmtId="0" fontId="0" fillId="5" borderId="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5" borderId="6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4" borderId="0" xfId="0" applyNumberFormat="1" applyFill="1" applyBorder="1" applyAlignment="1">
      <alignment horizontal="center" vertical="center"/>
    </xf>
    <xf numFmtId="0" fontId="0" fillId="4" borderId="14" xfId="0" applyNumberFormat="1" applyFill="1" applyBorder="1" applyAlignment="1">
      <alignment horizontal="center" vertical="center"/>
    </xf>
    <xf numFmtId="165" fontId="0" fillId="0" borderId="0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5FA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546100</xdr:colOff>
      <xdr:row>33</xdr:row>
      <xdr:rowOff>76200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D86296F-32F7-9443-BBA1-41FEC5A5A208}"/>
            </a:ext>
          </a:extLst>
        </xdr:cNvPr>
        <xdr:cNvSpPr txBox="1"/>
      </xdr:nvSpPr>
      <xdr:spPr>
        <a:xfrm>
          <a:off x="14274800" y="67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E7171-2292-5548-A5C0-5FA0EB27AA8C}">
  <sheetPr>
    <pageSetUpPr autoPageBreaks="0"/>
  </sheetPr>
  <dimension ref="A1:U91"/>
  <sheetViews>
    <sheetView tabSelected="1" topLeftCell="A2" zoomScale="50" zoomScaleNormal="240" workbookViewId="0">
      <pane xSplit="1" topLeftCell="B1" activePane="topRight" state="frozen"/>
      <selection pane="topRight" activeCell="L68" sqref="L68:M68"/>
    </sheetView>
  </sheetViews>
  <sheetFormatPr baseColWidth="10" defaultRowHeight="16" x14ac:dyDescent="0.2"/>
  <cols>
    <col min="1" max="1" width="30.83203125" style="1" customWidth="1"/>
    <col min="2" max="2" width="16.5" style="1" customWidth="1"/>
    <col min="3" max="10" width="10.83203125" style="1"/>
    <col min="11" max="11" width="32.1640625" style="1" customWidth="1"/>
    <col min="12" max="12" width="14" style="1" customWidth="1"/>
    <col min="13" max="15" width="11.1640625" style="1" bestFit="1" customWidth="1"/>
    <col min="16" max="16" width="12.5" style="1" customWidth="1"/>
    <col min="17" max="17" width="13.1640625" style="1" customWidth="1"/>
    <col min="18" max="19" width="11.1640625" style="1" bestFit="1" customWidth="1"/>
    <col min="20" max="16384" width="10.83203125" style="1"/>
  </cols>
  <sheetData>
    <row r="1" spans="1:20" ht="16" customHeight="1" x14ac:dyDescent="0.2">
      <c r="A1" s="127" t="s">
        <v>69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</row>
    <row r="2" spans="1:20" ht="16" customHeight="1" x14ac:dyDescent="0.2">
      <c r="A2" s="127"/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</row>
    <row r="3" spans="1:20" x14ac:dyDescent="0.2">
      <c r="A3" s="117" t="s">
        <v>108</v>
      </c>
      <c r="B3" s="118"/>
      <c r="C3" s="118"/>
      <c r="D3" s="118"/>
      <c r="E3" s="118"/>
      <c r="F3" s="118"/>
      <c r="G3" s="118"/>
      <c r="H3" s="118"/>
      <c r="I3" s="119"/>
      <c r="K3" s="120" t="s">
        <v>109</v>
      </c>
      <c r="L3" s="118"/>
      <c r="M3" s="118"/>
      <c r="N3" s="118"/>
      <c r="O3" s="118"/>
      <c r="P3" s="118"/>
      <c r="Q3" s="118"/>
      <c r="R3" s="118"/>
      <c r="S3" s="119"/>
    </row>
    <row r="4" spans="1:20" x14ac:dyDescent="0.2">
      <c r="A4" s="59" t="s">
        <v>19</v>
      </c>
      <c r="B4" s="5">
        <v>42064</v>
      </c>
      <c r="C4" s="5">
        <v>42430</v>
      </c>
      <c r="D4" s="5">
        <v>42795</v>
      </c>
      <c r="E4" s="5">
        <v>43160</v>
      </c>
      <c r="F4" s="5">
        <v>43525</v>
      </c>
      <c r="G4" s="5">
        <v>43891</v>
      </c>
      <c r="H4" s="5">
        <v>44256</v>
      </c>
      <c r="I4" s="60">
        <v>44621</v>
      </c>
      <c r="K4" s="47" t="s">
        <v>19</v>
      </c>
      <c r="L4" s="17">
        <v>42064</v>
      </c>
      <c r="M4" s="17">
        <v>42430</v>
      </c>
      <c r="N4" s="17">
        <v>42795</v>
      </c>
      <c r="O4" s="17">
        <v>43160</v>
      </c>
      <c r="P4" s="17">
        <v>43525</v>
      </c>
      <c r="Q4" s="17">
        <v>43891</v>
      </c>
      <c r="R4" s="17">
        <v>44256</v>
      </c>
      <c r="S4" s="48">
        <v>44621</v>
      </c>
      <c r="T4"/>
    </row>
    <row r="5" spans="1:20" x14ac:dyDescent="0.2">
      <c r="A5" s="52" t="s">
        <v>9</v>
      </c>
      <c r="B5" s="4">
        <v>957</v>
      </c>
      <c r="C5" s="6">
        <v>1007</v>
      </c>
      <c r="D5" s="6">
        <v>1246</v>
      </c>
      <c r="E5" s="6">
        <v>1315</v>
      </c>
      <c r="F5" s="6">
        <v>1572</v>
      </c>
      <c r="G5" s="6">
        <v>1636</v>
      </c>
      <c r="H5" s="6">
        <v>2072</v>
      </c>
      <c r="I5" s="61">
        <v>2657</v>
      </c>
      <c r="K5" s="49" t="s">
        <v>82</v>
      </c>
      <c r="L5" s="50">
        <v>123</v>
      </c>
      <c r="M5" s="50">
        <v>86</v>
      </c>
      <c r="N5" s="50">
        <v>94</v>
      </c>
      <c r="O5" s="50">
        <v>162</v>
      </c>
      <c r="P5" s="50">
        <v>219</v>
      </c>
      <c r="Q5" s="50">
        <v>102</v>
      </c>
      <c r="R5" s="50">
        <v>292</v>
      </c>
      <c r="S5" s="51">
        <v>-20</v>
      </c>
      <c r="T5"/>
    </row>
    <row r="6" spans="1:20" x14ac:dyDescent="0.2">
      <c r="A6" s="54" t="s">
        <v>10</v>
      </c>
      <c r="B6" s="3"/>
      <c r="C6" s="7">
        <v>5.2400000000000002E-2</v>
      </c>
      <c r="D6" s="7">
        <v>0.2374</v>
      </c>
      <c r="E6" s="7">
        <v>5.5E-2</v>
      </c>
      <c r="F6" s="7">
        <v>0.1953</v>
      </c>
      <c r="G6" s="7">
        <v>4.0599999999999997E-2</v>
      </c>
      <c r="H6" s="7">
        <v>0.26650000000000001</v>
      </c>
      <c r="I6" s="62">
        <v>0.28260000000000002</v>
      </c>
      <c r="K6" s="52" t="s">
        <v>83</v>
      </c>
      <c r="L6" s="4">
        <v>90</v>
      </c>
      <c r="M6" s="4">
        <v>98</v>
      </c>
      <c r="N6" s="4">
        <v>163</v>
      </c>
      <c r="O6" s="4">
        <v>175</v>
      </c>
      <c r="P6" s="4">
        <v>188</v>
      </c>
      <c r="Q6" s="4">
        <v>248</v>
      </c>
      <c r="R6" s="4">
        <v>369</v>
      </c>
      <c r="S6" s="53">
        <v>429</v>
      </c>
    </row>
    <row r="7" spans="1:20" x14ac:dyDescent="0.2">
      <c r="A7" s="52" t="s">
        <v>11</v>
      </c>
      <c r="B7" s="4">
        <v>875</v>
      </c>
      <c r="C7" s="4">
        <v>908</v>
      </c>
      <c r="D7" s="6">
        <v>1083</v>
      </c>
      <c r="E7" s="6">
        <v>1151</v>
      </c>
      <c r="F7" s="6">
        <v>1388</v>
      </c>
      <c r="G7" s="6">
        <v>1406</v>
      </c>
      <c r="H7" s="6">
        <v>1708</v>
      </c>
      <c r="I7" s="61">
        <v>2241</v>
      </c>
      <c r="J7" s="8"/>
      <c r="K7" s="54" t="s">
        <v>84</v>
      </c>
      <c r="L7" s="3">
        <v>-17</v>
      </c>
      <c r="M7" s="3">
        <v>-46</v>
      </c>
      <c r="N7" s="3">
        <v>4</v>
      </c>
      <c r="O7" s="3">
        <v>-20</v>
      </c>
      <c r="P7" s="3">
        <v>-11</v>
      </c>
      <c r="Q7" s="3">
        <v>71</v>
      </c>
      <c r="R7" s="3">
        <v>-156</v>
      </c>
      <c r="S7" s="55">
        <v>-109</v>
      </c>
    </row>
    <row r="8" spans="1:20" x14ac:dyDescent="0.2">
      <c r="A8" s="54" t="s">
        <v>12</v>
      </c>
      <c r="B8" s="2">
        <v>0.76</v>
      </c>
      <c r="C8" s="2">
        <v>0.74</v>
      </c>
      <c r="D8" s="2">
        <v>0.71</v>
      </c>
      <c r="E8" s="2">
        <v>0.7</v>
      </c>
      <c r="F8" s="2">
        <v>0.72</v>
      </c>
      <c r="G8" s="2">
        <v>0.69</v>
      </c>
      <c r="H8" s="2">
        <v>0.67</v>
      </c>
      <c r="I8" s="63">
        <v>0.71</v>
      </c>
      <c r="J8" s="6"/>
      <c r="K8" s="54" t="s">
        <v>85</v>
      </c>
      <c r="L8" s="3">
        <v>17</v>
      </c>
      <c r="M8" s="3">
        <v>12</v>
      </c>
      <c r="N8" s="3">
        <v>-74</v>
      </c>
      <c r="O8" s="3">
        <v>-67</v>
      </c>
      <c r="P8" s="3">
        <v>40</v>
      </c>
      <c r="Q8" s="3">
        <v>-143</v>
      </c>
      <c r="R8" s="3">
        <v>117</v>
      </c>
      <c r="S8" s="55">
        <v>-391</v>
      </c>
    </row>
    <row r="9" spans="1:20" x14ac:dyDescent="0.2">
      <c r="A9" s="54" t="s">
        <v>13</v>
      </c>
      <c r="B9" s="2">
        <v>0.04</v>
      </c>
      <c r="C9" s="2">
        <v>0.06</v>
      </c>
      <c r="D9" s="2">
        <v>0.06</v>
      </c>
      <c r="E9" s="2">
        <v>0.06</v>
      </c>
      <c r="F9" s="2">
        <v>7.0000000000000007E-2</v>
      </c>
      <c r="G9" s="2">
        <v>7.0000000000000007E-2</v>
      </c>
      <c r="H9" s="2">
        <v>0.06</v>
      </c>
      <c r="I9" s="63">
        <v>0.05</v>
      </c>
      <c r="J9" s="3"/>
      <c r="K9" s="54" t="s">
        <v>86</v>
      </c>
      <c r="L9" s="3">
        <v>36</v>
      </c>
      <c r="M9" s="3">
        <v>30</v>
      </c>
      <c r="N9" s="3">
        <v>23</v>
      </c>
      <c r="O9" s="3">
        <v>91</v>
      </c>
      <c r="P9" s="3">
        <v>50</v>
      </c>
      <c r="Q9" s="3">
        <v>-43</v>
      </c>
      <c r="R9" s="3">
        <v>132</v>
      </c>
      <c r="S9" s="55">
        <v>72</v>
      </c>
    </row>
    <row r="10" spans="1:20" x14ac:dyDescent="0.2">
      <c r="A10" s="54" t="s">
        <v>14</v>
      </c>
      <c r="B10" s="2">
        <v>0.05</v>
      </c>
      <c r="C10" s="2">
        <v>0.05</v>
      </c>
      <c r="D10" s="2">
        <v>0.05</v>
      </c>
      <c r="E10" s="2">
        <v>0.06</v>
      </c>
      <c r="F10" s="2">
        <v>0.05</v>
      </c>
      <c r="G10" s="2">
        <v>0.06</v>
      </c>
      <c r="H10" s="2">
        <v>0.05</v>
      </c>
      <c r="I10" s="63">
        <v>0.04</v>
      </c>
      <c r="J10" s="6"/>
      <c r="K10" s="54" t="s">
        <v>87</v>
      </c>
      <c r="L10" s="3">
        <v>0</v>
      </c>
      <c r="M10" s="3">
        <v>0</v>
      </c>
      <c r="N10" s="3">
        <v>0</v>
      </c>
      <c r="O10" s="3">
        <v>0</v>
      </c>
      <c r="P10" s="3">
        <v>-19</v>
      </c>
      <c r="Q10" s="3">
        <v>8</v>
      </c>
      <c r="R10" s="3">
        <v>-106</v>
      </c>
      <c r="S10" s="55">
        <v>76</v>
      </c>
    </row>
    <row r="11" spans="1:20" x14ac:dyDescent="0.2">
      <c r="A11" s="54" t="s">
        <v>15</v>
      </c>
      <c r="B11" s="2">
        <v>0.06</v>
      </c>
      <c r="C11" s="2">
        <v>0.05</v>
      </c>
      <c r="D11" s="2">
        <v>0.04</v>
      </c>
      <c r="E11" s="2">
        <v>0.06</v>
      </c>
      <c r="F11" s="2">
        <v>0.05</v>
      </c>
      <c r="G11" s="2">
        <v>0.04</v>
      </c>
      <c r="H11" s="2">
        <v>0.05</v>
      </c>
      <c r="I11" s="63">
        <v>0.04</v>
      </c>
      <c r="J11" s="3"/>
      <c r="K11" s="52" t="s">
        <v>88</v>
      </c>
      <c r="L11" s="4">
        <v>36</v>
      </c>
      <c r="M11" s="4">
        <v>-5</v>
      </c>
      <c r="N11" s="4">
        <v>-47</v>
      </c>
      <c r="O11" s="4">
        <v>4</v>
      </c>
      <c r="P11" s="4">
        <v>61</v>
      </c>
      <c r="Q11" s="4">
        <v>-108</v>
      </c>
      <c r="R11" s="4">
        <v>-13</v>
      </c>
      <c r="S11" s="53">
        <v>-353</v>
      </c>
    </row>
    <row r="12" spans="1:20" x14ac:dyDescent="0.2">
      <c r="A12" s="52" t="s">
        <v>0</v>
      </c>
      <c r="B12" s="4">
        <v>82</v>
      </c>
      <c r="C12" s="4">
        <v>100</v>
      </c>
      <c r="D12" s="4">
        <v>163</v>
      </c>
      <c r="E12" s="4">
        <v>164</v>
      </c>
      <c r="F12" s="4">
        <v>184</v>
      </c>
      <c r="G12" s="4">
        <v>230</v>
      </c>
      <c r="H12" s="4">
        <v>364</v>
      </c>
      <c r="I12" s="53">
        <v>416</v>
      </c>
      <c r="J12" s="3"/>
      <c r="K12" s="54" t="s">
        <v>89</v>
      </c>
      <c r="L12" s="3">
        <v>-3</v>
      </c>
      <c r="M12" s="3">
        <v>-8</v>
      </c>
      <c r="N12" s="3">
        <v>-22</v>
      </c>
      <c r="O12" s="3">
        <v>-16</v>
      </c>
      <c r="P12" s="3">
        <v>-30</v>
      </c>
      <c r="Q12" s="3">
        <v>-37</v>
      </c>
      <c r="R12" s="3">
        <v>-65</v>
      </c>
      <c r="S12" s="55">
        <v>-96</v>
      </c>
    </row>
    <row r="13" spans="1:20" x14ac:dyDescent="0.2">
      <c r="A13" s="54" t="s">
        <v>1</v>
      </c>
      <c r="B13" s="2">
        <v>0.09</v>
      </c>
      <c r="C13" s="2">
        <v>0.1</v>
      </c>
      <c r="D13" s="2">
        <v>0.13</v>
      </c>
      <c r="E13" s="2">
        <v>0.12</v>
      </c>
      <c r="F13" s="2">
        <v>0.12</v>
      </c>
      <c r="G13" s="2">
        <v>0.14000000000000001</v>
      </c>
      <c r="H13" s="2">
        <v>0.18</v>
      </c>
      <c r="I13" s="63">
        <v>0.16</v>
      </c>
      <c r="J13" s="3"/>
      <c r="K13" s="49" t="s">
        <v>90</v>
      </c>
      <c r="L13" s="50">
        <v>-30</v>
      </c>
      <c r="M13" s="50">
        <v>-51</v>
      </c>
      <c r="N13" s="50">
        <v>-67</v>
      </c>
      <c r="O13" s="50">
        <v>-170</v>
      </c>
      <c r="P13" s="50">
        <v>-105</v>
      </c>
      <c r="Q13" s="50">
        <v>-368</v>
      </c>
      <c r="R13" s="50">
        <v>-70</v>
      </c>
      <c r="S13" s="51">
        <v>20</v>
      </c>
    </row>
    <row r="14" spans="1:20" x14ac:dyDescent="0.2">
      <c r="A14" s="52" t="s">
        <v>16</v>
      </c>
      <c r="B14" s="4">
        <v>2</v>
      </c>
      <c r="C14" s="4">
        <v>0</v>
      </c>
      <c r="D14" s="4">
        <v>2</v>
      </c>
      <c r="E14" s="4">
        <v>5</v>
      </c>
      <c r="F14" s="4">
        <v>7</v>
      </c>
      <c r="G14" s="4">
        <v>6</v>
      </c>
      <c r="H14" s="4">
        <v>15</v>
      </c>
      <c r="I14" s="53">
        <v>5</v>
      </c>
      <c r="J14" s="3"/>
      <c r="K14" s="54" t="s">
        <v>91</v>
      </c>
      <c r="L14" s="3">
        <v>-31</v>
      </c>
      <c r="M14" s="3">
        <v>-51</v>
      </c>
      <c r="N14" s="3">
        <v>-68</v>
      </c>
      <c r="O14" s="3">
        <v>-179</v>
      </c>
      <c r="P14" s="3">
        <v>-114</v>
      </c>
      <c r="Q14" s="3">
        <v>-121</v>
      </c>
      <c r="R14" s="3">
        <v>-122</v>
      </c>
      <c r="S14" s="55">
        <v>-169</v>
      </c>
    </row>
    <row r="15" spans="1:20" x14ac:dyDescent="0.2">
      <c r="A15" s="54" t="s">
        <v>17</v>
      </c>
      <c r="B15" s="3">
        <v>0</v>
      </c>
      <c r="C15" s="3">
        <v>-0.22</v>
      </c>
      <c r="D15" s="3">
        <v>-0.56999999999999995</v>
      </c>
      <c r="E15" s="3">
        <v>-0.77</v>
      </c>
      <c r="F15" s="3">
        <v>2.89</v>
      </c>
      <c r="G15" s="3">
        <v>-1.35</v>
      </c>
      <c r="H15" s="3">
        <v>-2.27</v>
      </c>
      <c r="I15" s="55">
        <v>-0.62</v>
      </c>
      <c r="J15" s="4"/>
      <c r="K15" s="54" t="s">
        <v>92</v>
      </c>
      <c r="L15" s="3">
        <v>0</v>
      </c>
      <c r="M15" s="3">
        <v>1</v>
      </c>
      <c r="N15" s="3">
        <v>0</v>
      </c>
      <c r="O15" s="3">
        <v>8</v>
      </c>
      <c r="P15" s="3">
        <v>8</v>
      </c>
      <c r="Q15" s="3">
        <v>2</v>
      </c>
      <c r="R15" s="3">
        <v>1</v>
      </c>
      <c r="S15" s="55">
        <v>1</v>
      </c>
    </row>
    <row r="16" spans="1:20" x14ac:dyDescent="0.2">
      <c r="A16" s="54" t="s">
        <v>18</v>
      </c>
      <c r="B16" s="3">
        <v>2.06</v>
      </c>
      <c r="C16" s="3">
        <v>0.56000000000000005</v>
      </c>
      <c r="D16" s="3">
        <v>2.48</v>
      </c>
      <c r="E16" s="3">
        <v>6.03</v>
      </c>
      <c r="F16" s="3">
        <v>4.24</v>
      </c>
      <c r="G16" s="3">
        <v>6.94</v>
      </c>
      <c r="H16" s="3">
        <v>17.59</v>
      </c>
      <c r="I16" s="55">
        <v>5.41</v>
      </c>
      <c r="J16" s="2"/>
      <c r="K16" s="54" t="s">
        <v>93</v>
      </c>
      <c r="L16" s="3">
        <v>0</v>
      </c>
      <c r="M16" s="3">
        <v>-1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55">
        <v>-30</v>
      </c>
    </row>
    <row r="17" spans="1:19" x14ac:dyDescent="0.2">
      <c r="A17" s="54" t="s">
        <v>2</v>
      </c>
      <c r="B17" s="3">
        <v>37</v>
      </c>
      <c r="C17" s="3">
        <v>34</v>
      </c>
      <c r="D17" s="3">
        <v>36</v>
      </c>
      <c r="E17" s="3">
        <v>36</v>
      </c>
      <c r="F17" s="3">
        <v>36</v>
      </c>
      <c r="G17" s="3">
        <v>33</v>
      </c>
      <c r="H17" s="3">
        <v>21</v>
      </c>
      <c r="I17" s="55">
        <v>14</v>
      </c>
      <c r="J17" s="4"/>
      <c r="K17" s="54" t="s">
        <v>94</v>
      </c>
      <c r="L17" s="3">
        <v>1</v>
      </c>
      <c r="M17" s="3">
        <v>0</v>
      </c>
      <c r="N17" s="3">
        <v>2</v>
      </c>
      <c r="O17" s="3">
        <v>0</v>
      </c>
      <c r="P17" s="3">
        <v>0</v>
      </c>
      <c r="Q17" s="3">
        <v>0</v>
      </c>
      <c r="R17" s="3">
        <v>0</v>
      </c>
      <c r="S17" s="55">
        <v>20</v>
      </c>
    </row>
    <row r="18" spans="1:19" x14ac:dyDescent="0.2">
      <c r="A18" s="54" t="s">
        <v>3</v>
      </c>
      <c r="B18" s="3">
        <v>29</v>
      </c>
      <c r="C18" s="3">
        <v>30</v>
      </c>
      <c r="D18" s="3">
        <v>33</v>
      </c>
      <c r="E18" s="3">
        <v>38</v>
      </c>
      <c r="F18" s="3">
        <v>44</v>
      </c>
      <c r="G18" s="3">
        <v>52</v>
      </c>
      <c r="H18" s="3">
        <v>59</v>
      </c>
      <c r="I18" s="55">
        <v>70</v>
      </c>
      <c r="J18" s="3"/>
      <c r="K18" s="54" t="s">
        <v>95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16</v>
      </c>
      <c r="S18" s="55">
        <v>5</v>
      </c>
    </row>
    <row r="19" spans="1:19" x14ac:dyDescent="0.2">
      <c r="A19" s="52" t="s">
        <v>4</v>
      </c>
      <c r="B19" s="4">
        <v>18</v>
      </c>
      <c r="C19" s="4">
        <v>37</v>
      </c>
      <c r="D19" s="4">
        <v>96</v>
      </c>
      <c r="E19" s="4">
        <v>95</v>
      </c>
      <c r="F19" s="4">
        <v>111</v>
      </c>
      <c r="G19" s="4">
        <v>151</v>
      </c>
      <c r="H19" s="4">
        <v>299</v>
      </c>
      <c r="I19" s="53">
        <v>337</v>
      </c>
      <c r="J19" s="3"/>
      <c r="K19" s="54" t="s">
        <v>96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55">
        <v>0</v>
      </c>
    </row>
    <row r="20" spans="1:19" x14ac:dyDescent="0.2">
      <c r="A20" s="54" t="s">
        <v>5</v>
      </c>
      <c r="B20" s="2">
        <v>0.12</v>
      </c>
      <c r="C20" s="2">
        <v>0.2</v>
      </c>
      <c r="D20" s="2">
        <v>0.23</v>
      </c>
      <c r="E20" s="2">
        <v>0.24</v>
      </c>
      <c r="F20" s="2">
        <v>0.26</v>
      </c>
      <c r="G20" s="2">
        <v>0.25</v>
      </c>
      <c r="H20" s="2">
        <v>0.26</v>
      </c>
      <c r="I20" s="63">
        <v>0.26</v>
      </c>
      <c r="J20" s="3"/>
      <c r="K20" s="54" t="s">
        <v>97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-249</v>
      </c>
      <c r="R20" s="3">
        <v>35</v>
      </c>
      <c r="S20" s="55">
        <v>194</v>
      </c>
    </row>
    <row r="21" spans="1:19" x14ac:dyDescent="0.2">
      <c r="A21" s="52" t="s">
        <v>6</v>
      </c>
      <c r="B21" s="4">
        <v>16</v>
      </c>
      <c r="C21" s="4">
        <v>30</v>
      </c>
      <c r="D21" s="4">
        <v>74</v>
      </c>
      <c r="E21" s="4">
        <v>73</v>
      </c>
      <c r="F21" s="4">
        <v>82</v>
      </c>
      <c r="G21" s="4">
        <v>113</v>
      </c>
      <c r="H21" s="4">
        <v>222</v>
      </c>
      <c r="I21" s="53">
        <v>249</v>
      </c>
      <c r="J21" s="3"/>
      <c r="K21" s="49" t="s">
        <v>98</v>
      </c>
      <c r="L21" s="50">
        <v>-93</v>
      </c>
      <c r="M21" s="50">
        <v>-35</v>
      </c>
      <c r="N21" s="50">
        <v>-24</v>
      </c>
      <c r="O21" s="50">
        <v>6</v>
      </c>
      <c r="P21" s="50">
        <v>-105</v>
      </c>
      <c r="Q21" s="50">
        <v>257</v>
      </c>
      <c r="R21" s="50">
        <v>-214</v>
      </c>
      <c r="S21" s="51">
        <v>22</v>
      </c>
    </row>
    <row r="22" spans="1:19" x14ac:dyDescent="0.2">
      <c r="A22" s="54" t="s">
        <v>7</v>
      </c>
      <c r="B22" s="3">
        <v>3.27</v>
      </c>
      <c r="C22" s="3">
        <v>6.15</v>
      </c>
      <c r="D22" s="3">
        <v>16.48</v>
      </c>
      <c r="E22" s="3">
        <v>8.08</v>
      </c>
      <c r="F22" s="3">
        <v>9.1199999999999992</v>
      </c>
      <c r="G22" s="3">
        <v>10.23</v>
      </c>
      <c r="H22" s="3">
        <v>20.16</v>
      </c>
      <c r="I22" s="55">
        <v>22.56</v>
      </c>
      <c r="J22" s="4"/>
      <c r="K22" s="54" t="s">
        <v>99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339</v>
      </c>
      <c r="R22" s="3">
        <v>0</v>
      </c>
      <c r="S22" s="55">
        <v>11</v>
      </c>
    </row>
    <row r="23" spans="1:19" x14ac:dyDescent="0.2">
      <c r="A23" s="64" t="s">
        <v>8</v>
      </c>
      <c r="B23" s="65">
        <v>0</v>
      </c>
      <c r="C23" s="65">
        <v>0</v>
      </c>
      <c r="D23" s="65">
        <v>0</v>
      </c>
      <c r="E23" s="65">
        <v>0</v>
      </c>
      <c r="F23" s="65">
        <v>0</v>
      </c>
      <c r="G23" s="65">
        <v>0.1</v>
      </c>
      <c r="H23" s="65">
        <v>0.17</v>
      </c>
      <c r="I23" s="66">
        <v>0.16</v>
      </c>
      <c r="J23" s="3"/>
      <c r="K23" s="54" t="s">
        <v>100</v>
      </c>
      <c r="L23" s="3">
        <v>-55</v>
      </c>
      <c r="M23" s="3">
        <v>0</v>
      </c>
      <c r="N23" s="3">
        <v>26</v>
      </c>
      <c r="O23" s="3">
        <v>42</v>
      </c>
      <c r="P23" s="3">
        <v>0</v>
      </c>
      <c r="Q23" s="3">
        <v>0</v>
      </c>
      <c r="R23" s="3">
        <v>0</v>
      </c>
      <c r="S23" s="55">
        <v>65</v>
      </c>
    </row>
    <row r="24" spans="1:19" x14ac:dyDescent="0.2">
      <c r="J24" s="4"/>
      <c r="K24" s="54" t="s">
        <v>101</v>
      </c>
      <c r="L24" s="3">
        <v>0</v>
      </c>
      <c r="M24" s="3">
        <v>-2</v>
      </c>
      <c r="N24" s="3">
        <v>-15</v>
      </c>
      <c r="O24" s="3">
        <v>0</v>
      </c>
      <c r="P24" s="3">
        <v>-69</v>
      </c>
      <c r="Q24" s="3">
        <v>-37</v>
      </c>
      <c r="R24" s="3">
        <v>-175</v>
      </c>
      <c r="S24" s="55">
        <v>0</v>
      </c>
    </row>
    <row r="25" spans="1:19" x14ac:dyDescent="0.2">
      <c r="J25" s="3"/>
      <c r="K25" s="54" t="s">
        <v>102</v>
      </c>
      <c r="L25" s="3">
        <v>-34</v>
      </c>
      <c r="M25" s="3">
        <v>-30</v>
      </c>
      <c r="N25" s="3">
        <v>-32</v>
      </c>
      <c r="O25" s="3">
        <v>-35</v>
      </c>
      <c r="P25" s="3">
        <v>-36</v>
      </c>
      <c r="Q25" s="3">
        <v>-33</v>
      </c>
      <c r="R25" s="3">
        <v>-21</v>
      </c>
      <c r="S25" s="55">
        <v>-14</v>
      </c>
    </row>
    <row r="26" spans="1:19" x14ac:dyDescent="0.2">
      <c r="A26" s="120" t="s">
        <v>20</v>
      </c>
      <c r="B26" s="118"/>
      <c r="C26" s="118"/>
      <c r="D26" s="118"/>
      <c r="E26" s="118"/>
      <c r="F26" s="118"/>
      <c r="G26" s="118"/>
      <c r="H26" s="118"/>
      <c r="I26" s="119"/>
      <c r="K26" s="96" t="s">
        <v>103</v>
      </c>
      <c r="L26" s="97">
        <v>0</v>
      </c>
      <c r="M26" s="97">
        <v>0</v>
      </c>
      <c r="N26" s="97">
        <v>0</v>
      </c>
      <c r="O26" s="97">
        <v>0</v>
      </c>
      <c r="P26" s="97">
        <v>0</v>
      </c>
      <c r="Q26" s="97">
        <v>-11</v>
      </c>
      <c r="R26" s="97">
        <v>-16</v>
      </c>
      <c r="S26" s="98">
        <v>-39</v>
      </c>
    </row>
    <row r="27" spans="1:19" x14ac:dyDescent="0.2">
      <c r="A27" s="67" t="s">
        <v>19</v>
      </c>
      <c r="B27" s="17">
        <v>42064</v>
      </c>
      <c r="C27" s="17">
        <v>42430</v>
      </c>
      <c r="D27" s="17">
        <v>42795</v>
      </c>
      <c r="E27" s="17">
        <v>43160</v>
      </c>
      <c r="F27" s="17">
        <v>43525</v>
      </c>
      <c r="G27" s="17">
        <v>43891</v>
      </c>
      <c r="H27" s="17">
        <v>44256</v>
      </c>
      <c r="I27" s="48">
        <v>44621</v>
      </c>
      <c r="K27" s="54" t="s">
        <v>104</v>
      </c>
      <c r="L27" s="3">
        <v>0</v>
      </c>
      <c r="M27" s="3">
        <v>0</v>
      </c>
      <c r="N27" s="3">
        <v>0</v>
      </c>
      <c r="O27" s="3">
        <v>-2</v>
      </c>
      <c r="P27" s="3">
        <v>0</v>
      </c>
      <c r="Q27" s="3">
        <v>-2</v>
      </c>
      <c r="R27" s="3">
        <v>-2</v>
      </c>
      <c r="S27" s="55">
        <v>-1</v>
      </c>
    </row>
    <row r="28" spans="1:19" x14ac:dyDescent="0.2">
      <c r="A28" s="52" t="s">
        <v>21</v>
      </c>
      <c r="B28" s="4">
        <v>48</v>
      </c>
      <c r="C28" s="4">
        <v>48</v>
      </c>
      <c r="D28" s="4">
        <v>45</v>
      </c>
      <c r="E28" s="4">
        <v>90</v>
      </c>
      <c r="F28" s="4">
        <v>90</v>
      </c>
      <c r="G28" s="4">
        <v>110</v>
      </c>
      <c r="H28" s="4">
        <v>110</v>
      </c>
      <c r="I28" s="53">
        <v>111</v>
      </c>
      <c r="K28" s="54" t="s">
        <v>105</v>
      </c>
      <c r="L28" s="3">
        <v>-3</v>
      </c>
      <c r="M28" s="3">
        <v>-3</v>
      </c>
      <c r="N28" s="3">
        <v>-4</v>
      </c>
      <c r="O28" s="3">
        <v>0</v>
      </c>
      <c r="P28" s="3">
        <v>0</v>
      </c>
      <c r="Q28" s="3">
        <v>0</v>
      </c>
      <c r="R28" s="3">
        <v>-1</v>
      </c>
      <c r="S28" s="55">
        <v>0</v>
      </c>
    </row>
    <row r="29" spans="1:19" x14ac:dyDescent="0.2">
      <c r="A29" s="54" t="s">
        <v>22</v>
      </c>
      <c r="B29" s="3">
        <v>48</v>
      </c>
      <c r="C29" s="3">
        <v>48</v>
      </c>
      <c r="D29" s="3">
        <v>45</v>
      </c>
      <c r="E29" s="3">
        <v>90</v>
      </c>
      <c r="F29" s="3">
        <v>90</v>
      </c>
      <c r="G29" s="3">
        <v>110</v>
      </c>
      <c r="H29" s="3">
        <v>110</v>
      </c>
      <c r="I29" s="55">
        <v>111</v>
      </c>
      <c r="K29" s="56" t="s">
        <v>106</v>
      </c>
      <c r="L29" s="57">
        <v>0</v>
      </c>
      <c r="M29" s="57">
        <v>0</v>
      </c>
      <c r="N29" s="57">
        <v>3</v>
      </c>
      <c r="O29" s="57">
        <v>-2</v>
      </c>
      <c r="P29" s="57">
        <v>9</v>
      </c>
      <c r="Q29" s="57">
        <v>-9</v>
      </c>
      <c r="R29" s="57">
        <v>8</v>
      </c>
      <c r="S29" s="58">
        <v>23</v>
      </c>
    </row>
    <row r="30" spans="1:19" x14ac:dyDescent="0.2">
      <c r="A30" s="54" t="s">
        <v>23</v>
      </c>
      <c r="B30" s="3">
        <v>106</v>
      </c>
      <c r="C30" s="3">
        <v>136</v>
      </c>
      <c r="D30" s="3">
        <v>198</v>
      </c>
      <c r="E30" s="3">
        <v>227</v>
      </c>
      <c r="F30" s="3">
        <v>307</v>
      </c>
      <c r="G30" s="3">
        <v>728</v>
      </c>
      <c r="H30" s="3">
        <v>933</v>
      </c>
      <c r="I30" s="68">
        <v>1155</v>
      </c>
    </row>
    <row r="31" spans="1:19" x14ac:dyDescent="0.2">
      <c r="A31" s="52" t="s">
        <v>24</v>
      </c>
      <c r="B31" s="4">
        <v>300</v>
      </c>
      <c r="C31" s="4">
        <v>299</v>
      </c>
      <c r="D31" s="4">
        <v>323</v>
      </c>
      <c r="E31" s="4">
        <v>372</v>
      </c>
      <c r="F31" s="4">
        <v>297</v>
      </c>
      <c r="G31" s="4">
        <v>264</v>
      </c>
      <c r="H31" s="4">
        <v>88</v>
      </c>
      <c r="I31" s="53">
        <v>152</v>
      </c>
    </row>
    <row r="32" spans="1:19" x14ac:dyDescent="0.2">
      <c r="A32" s="54" t="s">
        <v>25</v>
      </c>
      <c r="B32" s="3">
        <v>71</v>
      </c>
      <c r="C32" s="3">
        <v>89</v>
      </c>
      <c r="D32" s="3">
        <v>106</v>
      </c>
      <c r="E32" s="3">
        <v>146</v>
      </c>
      <c r="F32" s="3">
        <v>106</v>
      </c>
      <c r="G32" s="3">
        <v>39</v>
      </c>
      <c r="H32" s="3">
        <v>0</v>
      </c>
      <c r="I32" s="55">
        <v>0</v>
      </c>
    </row>
    <row r="33" spans="1:21" x14ac:dyDescent="0.2">
      <c r="A33" s="54" t="s">
        <v>26</v>
      </c>
      <c r="B33" s="3">
        <v>206</v>
      </c>
      <c r="C33" s="3">
        <v>186</v>
      </c>
      <c r="D33" s="3">
        <v>189</v>
      </c>
      <c r="E33" s="3">
        <v>170</v>
      </c>
      <c r="F33" s="3">
        <v>146</v>
      </c>
      <c r="G33" s="3">
        <v>204</v>
      </c>
      <c r="H33" s="3">
        <v>85</v>
      </c>
      <c r="I33" s="55">
        <v>150</v>
      </c>
    </row>
    <row r="34" spans="1:21" x14ac:dyDescent="0.2">
      <c r="A34" s="54" t="s">
        <v>27</v>
      </c>
      <c r="B34" s="3">
        <v>0</v>
      </c>
      <c r="C34" s="3">
        <v>0</v>
      </c>
      <c r="D34" s="3">
        <v>1</v>
      </c>
      <c r="E34" s="3">
        <v>8</v>
      </c>
      <c r="F34" s="3">
        <v>0</v>
      </c>
      <c r="G34" s="3">
        <v>4</v>
      </c>
      <c r="H34" s="3">
        <v>3</v>
      </c>
      <c r="I34" s="55">
        <v>2</v>
      </c>
      <c r="K34" s="128" t="s">
        <v>110</v>
      </c>
      <c r="L34" s="118"/>
      <c r="M34" s="118"/>
      <c r="N34" s="118"/>
      <c r="O34" s="118"/>
      <c r="P34" s="118"/>
      <c r="Q34" s="118"/>
      <c r="R34" s="118"/>
      <c r="S34" s="119"/>
    </row>
    <row r="35" spans="1:21" x14ac:dyDescent="0.2">
      <c r="A35" s="54" t="s">
        <v>28</v>
      </c>
      <c r="B35" s="3">
        <v>22</v>
      </c>
      <c r="C35" s="3">
        <v>24</v>
      </c>
      <c r="D35" s="3">
        <v>27</v>
      </c>
      <c r="E35" s="3">
        <v>49</v>
      </c>
      <c r="F35" s="3">
        <v>45</v>
      </c>
      <c r="G35" s="3">
        <v>17</v>
      </c>
      <c r="H35" s="3">
        <v>0</v>
      </c>
      <c r="I35" s="55">
        <v>0</v>
      </c>
      <c r="K35" s="99" t="s">
        <v>111</v>
      </c>
      <c r="L35" s="19"/>
      <c r="M35" s="19"/>
      <c r="S35" s="100"/>
    </row>
    <row r="36" spans="1:21" x14ac:dyDescent="0.2">
      <c r="A36" s="52" t="s">
        <v>29</v>
      </c>
      <c r="B36" s="4">
        <v>142</v>
      </c>
      <c r="C36" s="4">
        <v>170</v>
      </c>
      <c r="D36" s="4">
        <v>195</v>
      </c>
      <c r="E36" s="4">
        <v>291</v>
      </c>
      <c r="F36" s="4">
        <v>340</v>
      </c>
      <c r="G36" s="4">
        <v>308</v>
      </c>
      <c r="H36" s="4">
        <v>451</v>
      </c>
      <c r="I36" s="53">
        <v>522</v>
      </c>
      <c r="K36" s="28"/>
      <c r="L36" s="45" t="s">
        <v>123</v>
      </c>
      <c r="M36" s="45" t="s">
        <v>125</v>
      </c>
      <c r="N36" s="26" t="s">
        <v>127</v>
      </c>
      <c r="O36" s="26" t="s">
        <v>145</v>
      </c>
      <c r="P36" s="26" t="s">
        <v>146</v>
      </c>
      <c r="Q36" s="26" t="s">
        <v>147</v>
      </c>
      <c r="R36" s="26" t="s">
        <v>148</v>
      </c>
      <c r="S36" s="101" t="s">
        <v>149</v>
      </c>
    </row>
    <row r="37" spans="1:21" x14ac:dyDescent="0.2">
      <c r="A37" s="54" t="s">
        <v>30</v>
      </c>
      <c r="B37" s="3">
        <v>76</v>
      </c>
      <c r="C37" s="3">
        <v>99</v>
      </c>
      <c r="D37" s="3">
        <v>102</v>
      </c>
      <c r="E37" s="3">
        <v>197</v>
      </c>
      <c r="F37" s="3">
        <v>215</v>
      </c>
      <c r="G37" s="3">
        <v>181</v>
      </c>
      <c r="H37" s="3">
        <v>314</v>
      </c>
      <c r="I37" s="55">
        <v>399</v>
      </c>
      <c r="K37" s="28" t="s">
        <v>112</v>
      </c>
      <c r="L37" s="102">
        <f>L5</f>
        <v>123</v>
      </c>
      <c r="M37" s="102">
        <f t="shared" ref="M37:S37" si="0">M5</f>
        <v>86</v>
      </c>
      <c r="N37" s="102">
        <f t="shared" si="0"/>
        <v>94</v>
      </c>
      <c r="O37" s="102">
        <f t="shared" si="0"/>
        <v>162</v>
      </c>
      <c r="P37" s="102">
        <f t="shared" si="0"/>
        <v>219</v>
      </c>
      <c r="Q37" s="102">
        <f t="shared" si="0"/>
        <v>102</v>
      </c>
      <c r="R37" s="102">
        <f t="shared" si="0"/>
        <v>292</v>
      </c>
      <c r="S37" s="103">
        <f t="shared" si="0"/>
        <v>-20</v>
      </c>
    </row>
    <row r="38" spans="1:21" x14ac:dyDescent="0.2">
      <c r="A38" s="54" t="s">
        <v>31</v>
      </c>
      <c r="B38" s="3">
        <v>2</v>
      </c>
      <c r="C38" s="3">
        <v>1</v>
      </c>
      <c r="D38" s="3">
        <v>3</v>
      </c>
      <c r="E38" s="3">
        <v>2</v>
      </c>
      <c r="F38" s="3">
        <v>2</v>
      </c>
      <c r="G38" s="3">
        <v>5</v>
      </c>
      <c r="H38" s="3">
        <v>2</v>
      </c>
      <c r="I38" s="55">
        <v>3</v>
      </c>
      <c r="K38" s="28" t="s">
        <v>113</v>
      </c>
      <c r="L38" s="102">
        <f>L14</f>
        <v>-31</v>
      </c>
      <c r="M38" s="102">
        <f t="shared" ref="M38:S38" si="1">M14</f>
        <v>-51</v>
      </c>
      <c r="N38" s="102">
        <f t="shared" si="1"/>
        <v>-68</v>
      </c>
      <c r="O38" s="102">
        <f t="shared" si="1"/>
        <v>-179</v>
      </c>
      <c r="P38" s="102">
        <f t="shared" si="1"/>
        <v>-114</v>
      </c>
      <c r="Q38" s="102">
        <f t="shared" si="1"/>
        <v>-121</v>
      </c>
      <c r="R38" s="102">
        <f t="shared" si="1"/>
        <v>-122</v>
      </c>
      <c r="S38" s="103">
        <f t="shared" si="1"/>
        <v>-169</v>
      </c>
    </row>
    <row r="39" spans="1:21" x14ac:dyDescent="0.2">
      <c r="A39" s="54" t="s">
        <v>32</v>
      </c>
      <c r="B39" s="3">
        <v>64</v>
      </c>
      <c r="C39" s="3">
        <v>70</v>
      </c>
      <c r="D39" s="3">
        <v>90</v>
      </c>
      <c r="E39" s="3">
        <v>92</v>
      </c>
      <c r="F39" s="3">
        <v>123</v>
      </c>
      <c r="G39" s="3">
        <v>123</v>
      </c>
      <c r="H39" s="3">
        <v>135</v>
      </c>
      <c r="I39" s="55">
        <v>120</v>
      </c>
      <c r="K39" s="28" t="s">
        <v>114</v>
      </c>
      <c r="L39" s="102">
        <f>L37-(-1*L38)</f>
        <v>92</v>
      </c>
      <c r="M39" s="102">
        <f t="shared" ref="M39:S39" si="2">M37-(-1*M38)</f>
        <v>35</v>
      </c>
      <c r="N39" s="102">
        <f t="shared" si="2"/>
        <v>26</v>
      </c>
      <c r="O39" s="102">
        <f t="shared" si="2"/>
        <v>-17</v>
      </c>
      <c r="P39" s="102">
        <f t="shared" si="2"/>
        <v>105</v>
      </c>
      <c r="Q39" s="102">
        <f t="shared" si="2"/>
        <v>-19</v>
      </c>
      <c r="R39" s="102">
        <f t="shared" si="2"/>
        <v>170</v>
      </c>
      <c r="S39" s="103">
        <f t="shared" si="2"/>
        <v>-189</v>
      </c>
      <c r="T39" s="90"/>
      <c r="U39" s="90"/>
    </row>
    <row r="40" spans="1:21" ht="17" thickBot="1" x14ac:dyDescent="0.25">
      <c r="A40" s="52" t="s">
        <v>33</v>
      </c>
      <c r="B40" s="4">
        <v>596</v>
      </c>
      <c r="C40" s="4">
        <v>653</v>
      </c>
      <c r="D40" s="4">
        <v>760</v>
      </c>
      <c r="E40" s="4">
        <v>980</v>
      </c>
      <c r="F40" s="6">
        <v>1034</v>
      </c>
      <c r="G40" s="6">
        <v>1410</v>
      </c>
      <c r="H40" s="6">
        <v>1583</v>
      </c>
      <c r="I40" s="61">
        <v>1939</v>
      </c>
      <c r="K40" s="104" t="s">
        <v>150</v>
      </c>
      <c r="L40" s="20"/>
      <c r="M40" s="46"/>
      <c r="N40" s="21"/>
      <c r="O40" s="46"/>
      <c r="P40" s="46"/>
      <c r="Q40" s="46"/>
      <c r="R40" s="46"/>
      <c r="S40" s="105">
        <f>AVERAGE(L39:S39)</f>
        <v>25.375</v>
      </c>
      <c r="T40" s="90"/>
    </row>
    <row r="41" spans="1:21" ht="17" thickTop="1" x14ac:dyDescent="0.2">
      <c r="A41" s="52" t="s">
        <v>34</v>
      </c>
      <c r="B41" s="4">
        <v>224</v>
      </c>
      <c r="C41" s="4">
        <v>238</v>
      </c>
      <c r="D41" s="4">
        <v>269</v>
      </c>
      <c r="E41" s="4">
        <v>345</v>
      </c>
      <c r="F41" s="4">
        <v>363</v>
      </c>
      <c r="G41" s="4">
        <v>489</v>
      </c>
      <c r="H41" s="4">
        <v>503</v>
      </c>
      <c r="I41" s="53">
        <v>646</v>
      </c>
      <c r="K41" s="28"/>
      <c r="S41" s="100"/>
    </row>
    <row r="42" spans="1:21" x14ac:dyDescent="0.2">
      <c r="A42" s="54" t="s">
        <v>35</v>
      </c>
      <c r="B42" s="3">
        <v>30</v>
      </c>
      <c r="C42" s="3">
        <v>33</v>
      </c>
      <c r="D42" s="3">
        <v>36</v>
      </c>
      <c r="E42" s="3">
        <v>56</v>
      </c>
      <c r="F42" s="3">
        <v>58</v>
      </c>
      <c r="G42" s="3">
        <v>76</v>
      </c>
      <c r="H42" s="3">
        <v>76</v>
      </c>
      <c r="I42" s="55">
        <v>76</v>
      </c>
      <c r="K42" s="106" t="s">
        <v>115</v>
      </c>
      <c r="N42" s="107" t="s">
        <v>116</v>
      </c>
      <c r="S42" s="100"/>
    </row>
    <row r="43" spans="1:21" x14ac:dyDescent="0.2">
      <c r="A43" s="54" t="s">
        <v>36</v>
      </c>
      <c r="B43" s="3">
        <v>80</v>
      </c>
      <c r="C43" s="3">
        <v>72</v>
      </c>
      <c r="D43" s="3">
        <v>72</v>
      </c>
      <c r="E43" s="3">
        <v>84</v>
      </c>
      <c r="F43" s="3">
        <v>87</v>
      </c>
      <c r="G43" s="3">
        <v>133</v>
      </c>
      <c r="H43" s="3">
        <v>136</v>
      </c>
      <c r="I43" s="55">
        <v>231</v>
      </c>
      <c r="K43" s="22" t="s">
        <v>117</v>
      </c>
      <c r="L43" s="23">
        <v>10</v>
      </c>
      <c r="N43" s="24" t="s">
        <v>118</v>
      </c>
      <c r="O43" s="25" t="s">
        <v>119</v>
      </c>
      <c r="P43" s="92" t="s">
        <v>120</v>
      </c>
      <c r="Q43" s="27" t="s">
        <v>121</v>
      </c>
      <c r="S43" s="100"/>
    </row>
    <row r="44" spans="1:21" x14ac:dyDescent="0.2">
      <c r="A44" s="54" t="s">
        <v>37</v>
      </c>
      <c r="B44" s="3">
        <v>161</v>
      </c>
      <c r="C44" s="3">
        <v>105</v>
      </c>
      <c r="D44" s="3">
        <v>126</v>
      </c>
      <c r="E44" s="3">
        <v>176</v>
      </c>
      <c r="F44" s="3">
        <v>216</v>
      </c>
      <c r="G44" s="3">
        <v>288</v>
      </c>
      <c r="H44" s="3">
        <v>318</v>
      </c>
      <c r="I44" s="55">
        <v>378</v>
      </c>
      <c r="K44" s="28" t="s">
        <v>122</v>
      </c>
      <c r="L44" s="29">
        <v>0.18</v>
      </c>
      <c r="N44" s="30">
        <v>1</v>
      </c>
      <c r="O44" s="1" t="s">
        <v>151</v>
      </c>
      <c r="P44" s="91">
        <f>S40*(1+0.18)</f>
        <v>29.942499999999999</v>
      </c>
      <c r="Q44" s="31">
        <f>P44/POWER(1+0.08,N44)</f>
        <v>27.724537037037035</v>
      </c>
      <c r="S44" s="108"/>
    </row>
    <row r="45" spans="1:21" x14ac:dyDescent="0.2">
      <c r="A45" s="54" t="s">
        <v>38</v>
      </c>
      <c r="B45" s="3">
        <v>56</v>
      </c>
      <c r="C45" s="3">
        <v>27</v>
      </c>
      <c r="D45" s="3">
        <v>40</v>
      </c>
      <c r="E45" s="3">
        <v>57</v>
      </c>
      <c r="F45" s="3">
        <v>2</v>
      </c>
      <c r="G45" s="3">
        <v>4</v>
      </c>
      <c r="H45" s="3">
        <v>4</v>
      </c>
      <c r="I45" s="55">
        <v>6</v>
      </c>
      <c r="K45" s="28" t="s">
        <v>124</v>
      </c>
      <c r="L45" s="29">
        <v>0.1</v>
      </c>
      <c r="N45" s="30">
        <v>2</v>
      </c>
      <c r="O45" s="1" t="s">
        <v>152</v>
      </c>
      <c r="P45" s="91">
        <f>P44*(1+0.18)</f>
        <v>35.332149999999999</v>
      </c>
      <c r="Q45" s="31">
        <f t="shared" ref="Q45:Q53" si="3">P45/POWER(1+0.08,N45)</f>
        <v>30.291623799725649</v>
      </c>
      <c r="S45" s="108"/>
    </row>
    <row r="46" spans="1:21" x14ac:dyDescent="0.2">
      <c r="A46" s="54" t="s">
        <v>39</v>
      </c>
      <c r="B46" s="3">
        <v>2</v>
      </c>
      <c r="C46" s="3">
        <v>1</v>
      </c>
      <c r="D46" s="3">
        <v>2</v>
      </c>
      <c r="E46" s="3">
        <v>2</v>
      </c>
      <c r="F46" s="3">
        <v>2</v>
      </c>
      <c r="G46" s="3">
        <v>3</v>
      </c>
      <c r="H46" s="3">
        <v>4</v>
      </c>
      <c r="I46" s="55">
        <v>5</v>
      </c>
      <c r="K46" s="28" t="s">
        <v>126</v>
      </c>
      <c r="L46" s="32">
        <v>3.5000000000000003E-2</v>
      </c>
      <c r="N46" s="30">
        <v>3</v>
      </c>
      <c r="O46" s="1" t="s">
        <v>153</v>
      </c>
      <c r="P46" s="91">
        <f t="shared" ref="P46:P48" si="4">P45*(1+0.18)</f>
        <v>41.691936999999996</v>
      </c>
      <c r="Q46" s="31">
        <f t="shared" si="3"/>
        <v>33.096403781181721</v>
      </c>
      <c r="S46" s="100"/>
    </row>
    <row r="47" spans="1:21" x14ac:dyDescent="0.2">
      <c r="A47" s="54" t="s">
        <v>40</v>
      </c>
      <c r="B47" s="3">
        <v>23</v>
      </c>
      <c r="C47" s="3">
        <v>17</v>
      </c>
      <c r="D47" s="3">
        <v>17</v>
      </c>
      <c r="E47" s="3">
        <v>20</v>
      </c>
      <c r="F47" s="3">
        <v>22</v>
      </c>
      <c r="G47" s="3">
        <v>35</v>
      </c>
      <c r="H47" s="3">
        <v>42</v>
      </c>
      <c r="I47" s="55">
        <v>54</v>
      </c>
      <c r="K47" s="33" t="s">
        <v>128</v>
      </c>
      <c r="L47" s="34">
        <v>0.08</v>
      </c>
      <c r="N47" s="30">
        <v>4</v>
      </c>
      <c r="O47" s="1" t="s">
        <v>154</v>
      </c>
      <c r="P47" s="91">
        <f t="shared" si="4"/>
        <v>49.196485659999993</v>
      </c>
      <c r="Q47" s="31">
        <f t="shared" si="3"/>
        <v>36.160885612772617</v>
      </c>
      <c r="S47" s="100"/>
    </row>
    <row r="48" spans="1:21" x14ac:dyDescent="0.2">
      <c r="A48" s="54" t="s">
        <v>41</v>
      </c>
      <c r="B48" s="3">
        <v>3</v>
      </c>
      <c r="C48" s="3">
        <v>1</v>
      </c>
      <c r="D48" s="3">
        <v>2</v>
      </c>
      <c r="E48" s="3">
        <v>3</v>
      </c>
      <c r="F48" s="3">
        <v>3</v>
      </c>
      <c r="G48" s="3">
        <v>3</v>
      </c>
      <c r="H48" s="3">
        <v>3</v>
      </c>
      <c r="I48" s="55">
        <v>3</v>
      </c>
      <c r="K48" s="28"/>
      <c r="N48" s="30">
        <v>5</v>
      </c>
      <c r="O48" s="1" t="s">
        <v>155</v>
      </c>
      <c r="P48" s="91">
        <f t="shared" si="4"/>
        <v>58.051853078799986</v>
      </c>
      <c r="Q48" s="31">
        <f t="shared" si="3"/>
        <v>39.509115762103413</v>
      </c>
      <c r="S48" s="100"/>
    </row>
    <row r="49" spans="1:19" x14ac:dyDescent="0.2">
      <c r="A49" s="54" t="s">
        <v>42</v>
      </c>
      <c r="B49" s="3">
        <v>4</v>
      </c>
      <c r="C49" s="3">
        <v>3</v>
      </c>
      <c r="D49" s="3">
        <v>3</v>
      </c>
      <c r="E49" s="3">
        <v>3</v>
      </c>
      <c r="F49" s="3">
        <v>3</v>
      </c>
      <c r="G49" s="3">
        <v>3</v>
      </c>
      <c r="H49" s="3">
        <v>7</v>
      </c>
      <c r="I49" s="55">
        <v>7</v>
      </c>
      <c r="K49" s="106" t="s">
        <v>129</v>
      </c>
      <c r="N49" s="30">
        <v>6</v>
      </c>
      <c r="O49" s="1" t="s">
        <v>156</v>
      </c>
      <c r="P49" s="91">
        <f>P48*(1+0.1)</f>
        <v>63.857038386679989</v>
      </c>
      <c r="Q49" s="31">
        <f t="shared" si="3"/>
        <v>40.240766053994214</v>
      </c>
      <c r="S49" s="100"/>
    </row>
    <row r="50" spans="1:19" x14ac:dyDescent="0.2">
      <c r="A50" s="54" t="s">
        <v>43</v>
      </c>
      <c r="B50" s="3">
        <v>3</v>
      </c>
      <c r="C50" s="3">
        <v>5</v>
      </c>
      <c r="D50" s="3">
        <v>4</v>
      </c>
      <c r="E50" s="3">
        <v>11</v>
      </c>
      <c r="F50" s="3">
        <v>78</v>
      </c>
      <c r="G50" s="3">
        <v>102</v>
      </c>
      <c r="H50" s="3">
        <v>122</v>
      </c>
      <c r="I50" s="55">
        <v>161</v>
      </c>
      <c r="K50" s="22" t="s">
        <v>130</v>
      </c>
      <c r="L50" s="35">
        <f>Q57+SUM(Q44:Q53)</f>
        <v>1371.6016521096431</v>
      </c>
      <c r="N50" s="30">
        <v>7</v>
      </c>
      <c r="O50" s="1" t="s">
        <v>157</v>
      </c>
      <c r="P50" s="91">
        <f t="shared" ref="P50:P53" si="5">P49*(1+0.1)</f>
        <v>70.242742225347996</v>
      </c>
      <c r="Q50" s="31">
        <f t="shared" si="3"/>
        <v>40.985965425364483</v>
      </c>
      <c r="S50" s="100"/>
    </row>
    <row r="51" spans="1:19" x14ac:dyDescent="0.2">
      <c r="A51" s="52" t="s">
        <v>44</v>
      </c>
      <c r="B51" s="4">
        <v>362</v>
      </c>
      <c r="C51" s="4">
        <v>267</v>
      </c>
      <c r="D51" s="4">
        <v>301</v>
      </c>
      <c r="E51" s="4">
        <v>411</v>
      </c>
      <c r="F51" s="4">
        <v>471</v>
      </c>
      <c r="G51" s="4">
        <v>646</v>
      </c>
      <c r="H51" s="4">
        <v>711</v>
      </c>
      <c r="I51" s="53">
        <v>921</v>
      </c>
      <c r="K51" s="28" t="s">
        <v>131</v>
      </c>
      <c r="L51" s="31">
        <f>I31</f>
        <v>152</v>
      </c>
      <c r="N51" s="30">
        <v>8</v>
      </c>
      <c r="O51" s="1" t="s">
        <v>158</v>
      </c>
      <c r="P51" s="91">
        <f t="shared" si="5"/>
        <v>77.267016447882796</v>
      </c>
      <c r="Q51" s="31">
        <f t="shared" si="3"/>
        <v>41.744964785093451</v>
      </c>
      <c r="S51" s="100"/>
    </row>
    <row r="52" spans="1:19" x14ac:dyDescent="0.2">
      <c r="A52" s="54" t="s">
        <v>45</v>
      </c>
      <c r="B52" s="3">
        <v>138</v>
      </c>
      <c r="C52" s="3">
        <v>30</v>
      </c>
      <c r="D52" s="3">
        <v>33</v>
      </c>
      <c r="E52" s="3">
        <v>67</v>
      </c>
      <c r="F52" s="3">
        <v>107</v>
      </c>
      <c r="G52" s="3">
        <v>157</v>
      </c>
      <c r="H52" s="3">
        <v>208</v>
      </c>
      <c r="I52" s="55">
        <v>275</v>
      </c>
      <c r="K52" s="28" t="s">
        <v>132</v>
      </c>
      <c r="L52" s="31">
        <f>I58</f>
        <v>59</v>
      </c>
      <c r="N52" s="30">
        <v>9</v>
      </c>
      <c r="O52" s="1" t="s">
        <v>159</v>
      </c>
      <c r="P52" s="91">
        <f t="shared" si="5"/>
        <v>84.993718092671088</v>
      </c>
      <c r="Q52" s="31">
        <f t="shared" si="3"/>
        <v>42.518019688521115</v>
      </c>
      <c r="S52" s="100"/>
    </row>
    <row r="53" spans="1:19" x14ac:dyDescent="0.2">
      <c r="A53" s="54" t="s">
        <v>46</v>
      </c>
      <c r="B53" s="3">
        <v>4</v>
      </c>
      <c r="C53" s="3">
        <v>14</v>
      </c>
      <c r="D53" s="3">
        <v>18</v>
      </c>
      <c r="E53" s="3">
        <v>15</v>
      </c>
      <c r="F53" s="3">
        <v>62</v>
      </c>
      <c r="G53" s="3">
        <v>8</v>
      </c>
      <c r="H53" s="3">
        <v>77</v>
      </c>
      <c r="I53" s="55">
        <v>23</v>
      </c>
      <c r="K53" s="28" t="s">
        <v>133</v>
      </c>
      <c r="L53" s="31">
        <f>L51-L52</f>
        <v>93</v>
      </c>
      <c r="N53" s="36">
        <v>10</v>
      </c>
      <c r="O53" s="19" t="s">
        <v>160</v>
      </c>
      <c r="P53" s="37">
        <f t="shared" si="5"/>
        <v>93.493089901938205</v>
      </c>
      <c r="Q53" s="38">
        <f t="shared" si="3"/>
        <v>43.305390423493726</v>
      </c>
      <c r="S53" s="100"/>
    </row>
    <row r="54" spans="1:19" x14ac:dyDescent="0.2">
      <c r="A54" s="54" t="s">
        <v>47</v>
      </c>
      <c r="B54" s="3">
        <v>0</v>
      </c>
      <c r="C54" s="3">
        <v>2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55">
        <v>12</v>
      </c>
      <c r="K54" s="28" t="s">
        <v>134</v>
      </c>
      <c r="L54" s="31">
        <f>I28</f>
        <v>111</v>
      </c>
      <c r="S54" s="100"/>
    </row>
    <row r="55" spans="1:19" x14ac:dyDescent="0.2">
      <c r="A55" s="52" t="s">
        <v>48</v>
      </c>
      <c r="B55" s="4">
        <v>367</v>
      </c>
      <c r="C55" s="4">
        <v>400</v>
      </c>
      <c r="D55" s="4">
        <v>473</v>
      </c>
      <c r="E55" s="4">
        <v>620</v>
      </c>
      <c r="F55" s="4">
        <v>608</v>
      </c>
      <c r="G55" s="4">
        <v>913</v>
      </c>
      <c r="H55" s="6">
        <v>1002</v>
      </c>
      <c r="I55" s="61">
        <v>1259</v>
      </c>
      <c r="K55" s="28" t="s">
        <v>135</v>
      </c>
      <c r="L55" s="31">
        <f>10</f>
        <v>10</v>
      </c>
      <c r="N55" s="22" t="s">
        <v>136</v>
      </c>
      <c r="O55" s="39"/>
      <c r="P55" s="39"/>
      <c r="Q55" s="40" t="str">
        <f>O53</f>
        <v>31-32</v>
      </c>
      <c r="S55" s="100"/>
    </row>
    <row r="56" spans="1:19" x14ac:dyDescent="0.2">
      <c r="A56" s="54" t="s">
        <v>49</v>
      </c>
      <c r="B56" s="3">
        <v>113</v>
      </c>
      <c r="C56" s="3">
        <v>101</v>
      </c>
      <c r="D56" s="3">
        <v>174</v>
      </c>
      <c r="E56" s="3">
        <v>242</v>
      </c>
      <c r="F56" s="3">
        <v>201</v>
      </c>
      <c r="G56" s="3">
        <v>345</v>
      </c>
      <c r="H56" s="3">
        <v>227</v>
      </c>
      <c r="I56" s="55">
        <v>619</v>
      </c>
      <c r="K56" s="28" t="s">
        <v>137</v>
      </c>
      <c r="L56" s="41">
        <v>110561079</v>
      </c>
      <c r="N56" s="28" t="s">
        <v>138</v>
      </c>
      <c r="Q56" s="31">
        <f>P53*(1+L46)/(L47-L46)</f>
        <v>2150.3410677445786</v>
      </c>
      <c r="S56" s="100"/>
    </row>
    <row r="57" spans="1:19" x14ac:dyDescent="0.2">
      <c r="A57" s="54" t="s">
        <v>50</v>
      </c>
      <c r="B57" s="3">
        <v>213</v>
      </c>
      <c r="C57" s="3">
        <v>239</v>
      </c>
      <c r="D57" s="3">
        <v>237</v>
      </c>
      <c r="E57" s="3">
        <v>239</v>
      </c>
      <c r="F57" s="3">
        <v>250</v>
      </c>
      <c r="G57" s="3">
        <v>180</v>
      </c>
      <c r="H57" s="3">
        <v>331</v>
      </c>
      <c r="I57" s="55">
        <v>435</v>
      </c>
      <c r="K57" s="42" t="s">
        <v>139</v>
      </c>
      <c r="L57" s="43">
        <f>((L50-L53)*10000000)/(L56)</f>
        <v>115.64663294482166</v>
      </c>
      <c r="N57" s="33" t="s">
        <v>140</v>
      </c>
      <c r="O57" s="19"/>
      <c r="P57" s="19"/>
      <c r="Q57" s="38">
        <f>Q56/POWER(1+L47,N53)</f>
        <v>996.02397974035568</v>
      </c>
      <c r="S57" s="100"/>
    </row>
    <row r="58" spans="1:19" x14ac:dyDescent="0.2">
      <c r="A58" s="54" t="s">
        <v>51</v>
      </c>
      <c r="B58" s="3">
        <v>6</v>
      </c>
      <c r="C58" s="3">
        <v>9</v>
      </c>
      <c r="D58" s="3">
        <v>12</v>
      </c>
      <c r="E58" s="3">
        <v>10</v>
      </c>
      <c r="F58" s="3">
        <v>22</v>
      </c>
      <c r="G58" s="3">
        <v>257</v>
      </c>
      <c r="H58" s="3">
        <v>230</v>
      </c>
      <c r="I58" s="55">
        <v>59</v>
      </c>
      <c r="K58" s="28"/>
      <c r="S58" s="100"/>
    </row>
    <row r="59" spans="1:19" x14ac:dyDescent="0.2">
      <c r="A59" s="54" t="s">
        <v>52</v>
      </c>
      <c r="B59" s="3">
        <v>30</v>
      </c>
      <c r="C59" s="3">
        <v>44</v>
      </c>
      <c r="D59" s="3">
        <v>43</v>
      </c>
      <c r="E59" s="3">
        <v>53</v>
      </c>
      <c r="F59" s="3">
        <v>65</v>
      </c>
      <c r="G59" s="3">
        <v>68</v>
      </c>
      <c r="H59" s="3">
        <v>180</v>
      </c>
      <c r="I59" s="55">
        <v>113</v>
      </c>
      <c r="K59" s="106" t="s">
        <v>141</v>
      </c>
      <c r="S59" s="100"/>
    </row>
    <row r="60" spans="1:19" x14ac:dyDescent="0.2">
      <c r="A60" s="54" t="s">
        <v>53</v>
      </c>
      <c r="B60" s="3">
        <v>5</v>
      </c>
      <c r="C60" s="3">
        <v>8</v>
      </c>
      <c r="D60" s="3">
        <v>7</v>
      </c>
      <c r="E60" s="3">
        <v>77</v>
      </c>
      <c r="F60" s="3">
        <v>70</v>
      </c>
      <c r="G60" s="3">
        <v>64</v>
      </c>
      <c r="H60" s="3">
        <v>34</v>
      </c>
      <c r="I60" s="55">
        <v>34</v>
      </c>
      <c r="K60" s="109" t="s">
        <v>142</v>
      </c>
      <c r="L60" s="44">
        <v>0.1</v>
      </c>
      <c r="S60" s="100"/>
    </row>
    <row r="61" spans="1:19" x14ac:dyDescent="0.2">
      <c r="A61" s="69" t="s">
        <v>54</v>
      </c>
      <c r="B61" s="70">
        <v>596</v>
      </c>
      <c r="C61" s="70">
        <v>653</v>
      </c>
      <c r="D61" s="70">
        <v>760</v>
      </c>
      <c r="E61" s="70">
        <v>980</v>
      </c>
      <c r="F61" s="71">
        <v>1034</v>
      </c>
      <c r="G61" s="71">
        <v>1410</v>
      </c>
      <c r="H61" s="71">
        <v>1583</v>
      </c>
      <c r="I61" s="72">
        <v>1939</v>
      </c>
      <c r="K61" s="110" t="s">
        <v>143</v>
      </c>
      <c r="L61" s="95">
        <f>L57*(1-L60)</f>
        <v>104.0819696503395</v>
      </c>
      <c r="S61" s="100"/>
    </row>
    <row r="62" spans="1:19" x14ac:dyDescent="0.2">
      <c r="K62" s="111" t="s">
        <v>144</v>
      </c>
      <c r="L62" s="93">
        <f>L57*(1+L60)</f>
        <v>127.21129623930383</v>
      </c>
      <c r="S62" s="100"/>
    </row>
    <row r="63" spans="1:19" ht="17" thickBot="1" x14ac:dyDescent="0.25">
      <c r="K63" s="112" t="s">
        <v>161</v>
      </c>
      <c r="L63" s="94">
        <f>L61*(1-0.2)</f>
        <v>83.265575720271613</v>
      </c>
      <c r="S63" s="100"/>
    </row>
    <row r="64" spans="1:19" ht="17" thickTop="1" x14ac:dyDescent="0.2">
      <c r="K64" s="33"/>
      <c r="L64" s="19"/>
      <c r="M64" s="19"/>
      <c r="N64" s="19"/>
      <c r="O64" s="19"/>
      <c r="P64" s="19"/>
      <c r="Q64" s="19"/>
      <c r="R64" s="19"/>
      <c r="S64" s="113"/>
    </row>
    <row r="65" spans="1:13" ht="17" thickBot="1" x14ac:dyDescent="0.25">
      <c r="A65" s="18"/>
    </row>
    <row r="66" spans="1:13" x14ac:dyDescent="0.2">
      <c r="A66" s="121" t="s">
        <v>107</v>
      </c>
      <c r="B66" s="122"/>
      <c r="C66" s="122"/>
      <c r="D66" s="122"/>
      <c r="E66" s="122"/>
      <c r="F66" s="122"/>
      <c r="G66" s="122"/>
      <c r="H66" s="122"/>
      <c r="I66" s="123"/>
      <c r="J66" s="9"/>
      <c r="K66" s="132" t="s">
        <v>77</v>
      </c>
      <c r="L66" s="133"/>
      <c r="M66" s="134"/>
    </row>
    <row r="67" spans="1:13" x14ac:dyDescent="0.2">
      <c r="A67" s="124"/>
      <c r="B67" s="125"/>
      <c r="C67" s="125"/>
      <c r="D67" s="125"/>
      <c r="E67" s="125"/>
      <c r="F67" s="125"/>
      <c r="G67" s="125"/>
      <c r="H67" s="125"/>
      <c r="I67" s="126"/>
      <c r="K67" s="87" t="s">
        <v>80</v>
      </c>
      <c r="L67" s="135" t="s">
        <v>162</v>
      </c>
      <c r="M67" s="136"/>
    </row>
    <row r="68" spans="1:13" x14ac:dyDescent="0.2">
      <c r="A68" s="129" t="s">
        <v>55</v>
      </c>
      <c r="B68" s="130"/>
      <c r="C68" s="130"/>
      <c r="D68" s="130"/>
      <c r="E68" s="130"/>
      <c r="F68" s="130"/>
      <c r="G68" s="130"/>
      <c r="H68" s="130"/>
      <c r="I68" s="131"/>
      <c r="K68" s="87" t="s">
        <v>81</v>
      </c>
      <c r="L68" s="137">
        <f>552/(((I29+I30)*10000000)/110561079)</f>
        <v>4.8206726388625594</v>
      </c>
      <c r="M68" s="138"/>
    </row>
    <row r="69" spans="1:13" x14ac:dyDescent="0.2">
      <c r="A69" s="28" t="s">
        <v>61</v>
      </c>
      <c r="B69" s="10">
        <f>B12</f>
        <v>82</v>
      </c>
      <c r="C69" s="10">
        <f t="shared" ref="C69:I69" si="6">C12</f>
        <v>100</v>
      </c>
      <c r="D69" s="10">
        <f t="shared" si="6"/>
        <v>163</v>
      </c>
      <c r="E69" s="10">
        <f t="shared" si="6"/>
        <v>164</v>
      </c>
      <c r="F69" s="10">
        <f t="shared" si="6"/>
        <v>184</v>
      </c>
      <c r="G69" s="10">
        <f t="shared" si="6"/>
        <v>230</v>
      </c>
      <c r="H69" s="10">
        <f t="shared" si="6"/>
        <v>364</v>
      </c>
      <c r="I69" s="73">
        <f t="shared" si="6"/>
        <v>416</v>
      </c>
      <c r="K69" s="88" t="s">
        <v>78</v>
      </c>
      <c r="L69" s="139">
        <f>552/(((I5*10000000/110561079)))</f>
        <v>2.2969407455024462</v>
      </c>
      <c r="M69" s="140"/>
    </row>
    <row r="70" spans="1:13" ht="17" thickBot="1" x14ac:dyDescent="0.25">
      <c r="A70" s="74" t="s">
        <v>56</v>
      </c>
      <c r="B70" s="11">
        <f t="shared" ref="B70:I70" si="7">B12/B5</f>
        <v>8.5684430512016713E-2</v>
      </c>
      <c r="C70" s="11">
        <f t="shared" si="7"/>
        <v>9.9304865938430978E-2</v>
      </c>
      <c r="D70" s="11">
        <f t="shared" si="7"/>
        <v>0.13081861958266452</v>
      </c>
      <c r="E70" s="11">
        <f t="shared" si="7"/>
        <v>0.1247148288973384</v>
      </c>
      <c r="F70" s="11">
        <f t="shared" si="7"/>
        <v>0.11704834605597965</v>
      </c>
      <c r="G70" s="11">
        <f t="shared" si="7"/>
        <v>0.14058679706601468</v>
      </c>
      <c r="H70" s="11">
        <f t="shared" si="7"/>
        <v>0.17567567567567569</v>
      </c>
      <c r="I70" s="75">
        <f t="shared" si="7"/>
        <v>0.15656755739555889</v>
      </c>
      <c r="K70" s="89" t="s">
        <v>79</v>
      </c>
      <c r="L70" s="141">
        <f>552/I22</f>
        <v>24.468085106382979</v>
      </c>
      <c r="M70" s="142"/>
    </row>
    <row r="71" spans="1:13" x14ac:dyDescent="0.2">
      <c r="A71" s="74" t="s">
        <v>62</v>
      </c>
      <c r="B71" s="12">
        <f>B21</f>
        <v>16</v>
      </c>
      <c r="C71" s="12">
        <f t="shared" ref="C71:I71" si="8">C21</f>
        <v>30</v>
      </c>
      <c r="D71" s="12">
        <f t="shared" si="8"/>
        <v>74</v>
      </c>
      <c r="E71" s="12">
        <f t="shared" si="8"/>
        <v>73</v>
      </c>
      <c r="F71" s="12">
        <f t="shared" si="8"/>
        <v>82</v>
      </c>
      <c r="G71" s="12">
        <f t="shared" si="8"/>
        <v>113</v>
      </c>
      <c r="H71" s="12">
        <f t="shared" si="8"/>
        <v>222</v>
      </c>
      <c r="I71" s="76">
        <f t="shared" si="8"/>
        <v>249</v>
      </c>
    </row>
    <row r="72" spans="1:13" x14ac:dyDescent="0.2">
      <c r="A72" s="74" t="s">
        <v>57</v>
      </c>
      <c r="B72" s="11">
        <f>B21/B5</f>
        <v>1.671891327063741E-2</v>
      </c>
      <c r="C72" s="11">
        <f t="shared" ref="C72:I72" si="9">C21/C5</f>
        <v>2.9791459781529295E-2</v>
      </c>
      <c r="D72" s="11">
        <f t="shared" si="9"/>
        <v>5.93900481540931E-2</v>
      </c>
      <c r="E72" s="11">
        <f t="shared" si="9"/>
        <v>5.5513307984790872E-2</v>
      </c>
      <c r="F72" s="11">
        <f t="shared" si="9"/>
        <v>5.2162849872773538E-2</v>
      </c>
      <c r="G72" s="11">
        <f t="shared" si="9"/>
        <v>6.9070904645476772E-2</v>
      </c>
      <c r="H72" s="11">
        <f t="shared" si="9"/>
        <v>0.10714285714285714</v>
      </c>
      <c r="I72" s="75">
        <f t="shared" si="9"/>
        <v>9.3714715844937901E-2</v>
      </c>
    </row>
    <row r="73" spans="1:13" x14ac:dyDescent="0.2">
      <c r="A73" s="74" t="s">
        <v>58</v>
      </c>
      <c r="B73" s="11">
        <f>(B21+B17*(1-B20))/B61</f>
        <v>8.1476510067114094E-2</v>
      </c>
      <c r="C73" s="11">
        <f>(C21+C17*(1-C20))/((B61+C61)/2)</f>
        <v>9.1593274619695755E-2</v>
      </c>
      <c r="D73" s="11">
        <f t="shared" ref="D73:I73" si="10">(D21+D17*(1-D20))/((C61+D61)/2)</f>
        <v>0.14397735314932766</v>
      </c>
      <c r="E73" s="11">
        <f t="shared" si="10"/>
        <v>0.11535632183908046</v>
      </c>
      <c r="F73" s="11">
        <f t="shared" si="10"/>
        <v>0.10788480635551143</v>
      </c>
      <c r="G73" s="11">
        <f t="shared" si="10"/>
        <v>0.11272504091653028</v>
      </c>
      <c r="H73" s="11">
        <f t="shared" si="10"/>
        <v>0.15873037086535249</v>
      </c>
      <c r="I73" s="75">
        <f t="shared" si="10"/>
        <v>0.14727995457126633</v>
      </c>
    </row>
    <row r="74" spans="1:13" x14ac:dyDescent="0.2">
      <c r="A74" s="74" t="s">
        <v>59</v>
      </c>
      <c r="B74" s="11">
        <f>B21/(B29+B30)</f>
        <v>0.1038961038961039</v>
      </c>
      <c r="C74" s="11">
        <f t="shared" ref="C74:I74" si="11">C21/(C29+C30)</f>
        <v>0.16304347826086957</v>
      </c>
      <c r="D74" s="11">
        <f t="shared" si="11"/>
        <v>0.30452674897119342</v>
      </c>
      <c r="E74" s="11">
        <f t="shared" si="11"/>
        <v>0.2302839116719243</v>
      </c>
      <c r="F74" s="11">
        <f t="shared" si="11"/>
        <v>0.20654911838790932</v>
      </c>
      <c r="G74" s="11">
        <f t="shared" si="11"/>
        <v>0.13484486873508353</v>
      </c>
      <c r="H74" s="11">
        <f t="shared" si="11"/>
        <v>0.21284755512943432</v>
      </c>
      <c r="I74" s="75">
        <f t="shared" si="11"/>
        <v>0.19668246445497631</v>
      </c>
    </row>
    <row r="75" spans="1:13" x14ac:dyDescent="0.2">
      <c r="A75" s="74" t="s">
        <v>60</v>
      </c>
      <c r="B75" s="11">
        <f>B12/(B61-(B37+B38+B39))</f>
        <v>0.18061674008810572</v>
      </c>
      <c r="C75" s="11">
        <f t="shared" ref="C75:I75" si="12">C12/(C61-(C37+C38+C39))</f>
        <v>0.20703933747412009</v>
      </c>
      <c r="D75" s="11">
        <f t="shared" si="12"/>
        <v>0.28849557522123892</v>
      </c>
      <c r="E75" s="11">
        <f t="shared" si="12"/>
        <v>0.23802612481857766</v>
      </c>
      <c r="F75" s="11">
        <f t="shared" si="12"/>
        <v>0.26512968299711814</v>
      </c>
      <c r="G75" s="11">
        <f t="shared" si="12"/>
        <v>0.20890099909173479</v>
      </c>
      <c r="H75" s="11">
        <f t="shared" si="12"/>
        <v>0.32155477031802121</v>
      </c>
      <c r="I75" s="75">
        <f t="shared" si="12"/>
        <v>0.29357798165137616</v>
      </c>
    </row>
    <row r="76" spans="1:13" x14ac:dyDescent="0.2">
      <c r="A76" s="77"/>
      <c r="B76" s="13"/>
      <c r="C76" s="14"/>
      <c r="D76" s="14"/>
      <c r="E76" s="14"/>
      <c r="F76" s="14"/>
      <c r="G76" s="14"/>
      <c r="H76" s="14"/>
      <c r="I76" s="78"/>
    </row>
    <row r="77" spans="1:13" x14ac:dyDescent="0.2">
      <c r="A77" s="129" t="s">
        <v>63</v>
      </c>
      <c r="B77" s="130"/>
      <c r="C77" s="130"/>
      <c r="D77" s="130"/>
      <c r="E77" s="130"/>
      <c r="F77" s="130"/>
      <c r="G77" s="130"/>
      <c r="H77" s="130"/>
      <c r="I77" s="131"/>
    </row>
    <row r="78" spans="1:13" x14ac:dyDescent="0.2">
      <c r="A78" s="74" t="s">
        <v>64</v>
      </c>
      <c r="B78" s="15">
        <f>B12/B17</f>
        <v>2.2162162162162162</v>
      </c>
      <c r="C78" s="15">
        <f t="shared" ref="C78:I78" si="13">C12/C17</f>
        <v>2.9411764705882355</v>
      </c>
      <c r="D78" s="15">
        <f t="shared" si="13"/>
        <v>4.5277777777777777</v>
      </c>
      <c r="E78" s="15">
        <f t="shared" si="13"/>
        <v>4.5555555555555554</v>
      </c>
      <c r="F78" s="15">
        <f t="shared" si="13"/>
        <v>5.1111111111111107</v>
      </c>
      <c r="G78" s="15">
        <f t="shared" si="13"/>
        <v>6.9696969696969697</v>
      </c>
      <c r="H78" s="15">
        <f t="shared" si="13"/>
        <v>17.333333333333332</v>
      </c>
      <c r="I78" s="79">
        <f t="shared" si="13"/>
        <v>29.714285714285715</v>
      </c>
    </row>
    <row r="79" spans="1:13" x14ac:dyDescent="0.2">
      <c r="A79" s="74" t="s">
        <v>65</v>
      </c>
      <c r="B79" s="15">
        <f>B31/(B29+B30)</f>
        <v>1.948051948051948</v>
      </c>
      <c r="C79" s="15">
        <f t="shared" ref="C79:I79" si="14">C31/(C29+C30)</f>
        <v>1.625</v>
      </c>
      <c r="D79" s="15">
        <f t="shared" si="14"/>
        <v>1.3292181069958848</v>
      </c>
      <c r="E79" s="15">
        <f t="shared" si="14"/>
        <v>1.1735015772870663</v>
      </c>
      <c r="F79" s="15">
        <f t="shared" si="14"/>
        <v>0.74811083123425692</v>
      </c>
      <c r="G79" s="15">
        <f t="shared" si="14"/>
        <v>0.31503579952267302</v>
      </c>
      <c r="H79" s="15">
        <f t="shared" si="14"/>
        <v>8.4372003835091081E-2</v>
      </c>
      <c r="I79" s="79">
        <f t="shared" si="14"/>
        <v>0.12006319115323855</v>
      </c>
    </row>
    <row r="80" spans="1:13" x14ac:dyDescent="0.2">
      <c r="A80" s="74" t="s">
        <v>66</v>
      </c>
      <c r="B80" s="15">
        <f>B31/B61</f>
        <v>0.50335570469798663</v>
      </c>
      <c r="C80" s="15">
        <f t="shared" ref="C80:I80" si="15">C31/C61</f>
        <v>0.45788667687595713</v>
      </c>
      <c r="D80" s="15">
        <f t="shared" si="15"/>
        <v>0.42499999999999999</v>
      </c>
      <c r="E80" s="15">
        <f t="shared" si="15"/>
        <v>0.37959183673469388</v>
      </c>
      <c r="F80" s="15">
        <f t="shared" si="15"/>
        <v>0.28723404255319152</v>
      </c>
      <c r="G80" s="15">
        <f t="shared" si="15"/>
        <v>0.18723404255319148</v>
      </c>
      <c r="H80" s="15">
        <f t="shared" si="15"/>
        <v>5.5590650663297533E-2</v>
      </c>
      <c r="I80" s="79">
        <f t="shared" si="15"/>
        <v>7.8390923156266112E-2</v>
      </c>
    </row>
    <row r="81" spans="1:9" x14ac:dyDescent="0.2">
      <c r="A81" s="74" t="s">
        <v>67</v>
      </c>
      <c r="C81" s="15">
        <f>((B61+C61)/2)/(B29+B30)</f>
        <v>4.0551948051948052</v>
      </c>
      <c r="D81" s="15">
        <f t="shared" ref="D81:I81" si="16">((C61+D61)/2)/(C29+C30)</f>
        <v>3.839673913043478</v>
      </c>
      <c r="E81" s="15">
        <f t="shared" si="16"/>
        <v>3.5802469135802468</v>
      </c>
      <c r="F81" s="15">
        <f t="shared" si="16"/>
        <v>3.1766561514195581</v>
      </c>
      <c r="G81" s="15">
        <f t="shared" si="16"/>
        <v>3.0780856423173804</v>
      </c>
      <c r="H81" s="15">
        <f t="shared" si="16"/>
        <v>1.785799522673031</v>
      </c>
      <c r="I81" s="79">
        <f t="shared" si="16"/>
        <v>1.6883988494726749</v>
      </c>
    </row>
    <row r="82" spans="1:9" x14ac:dyDescent="0.2">
      <c r="A82" s="80"/>
      <c r="B82" s="13"/>
      <c r="C82" s="13"/>
      <c r="D82" s="13"/>
      <c r="E82" s="13"/>
      <c r="F82" s="13"/>
      <c r="G82" s="13"/>
      <c r="H82" s="13"/>
      <c r="I82" s="81"/>
    </row>
    <row r="83" spans="1:9" x14ac:dyDescent="0.2">
      <c r="A83" s="114" t="s">
        <v>68</v>
      </c>
      <c r="B83" s="115"/>
      <c r="C83" s="115"/>
      <c r="D83" s="115"/>
      <c r="E83" s="115"/>
      <c r="F83" s="115"/>
      <c r="G83" s="115"/>
      <c r="H83" s="115"/>
      <c r="I83" s="116"/>
    </row>
    <row r="84" spans="1:9" x14ac:dyDescent="0.2">
      <c r="A84" s="82" t="s">
        <v>70</v>
      </c>
      <c r="C84" s="15">
        <f t="shared" ref="C84:I84" si="17">C5/((B41+C41)/2)</f>
        <v>4.3593073593073592</v>
      </c>
      <c r="D84" s="15">
        <f t="shared" si="17"/>
        <v>4.9151873767258385</v>
      </c>
      <c r="E84" s="15">
        <f t="shared" si="17"/>
        <v>4.2833876221498368</v>
      </c>
      <c r="F84" s="15">
        <f t="shared" si="17"/>
        <v>4.4406779661016946</v>
      </c>
      <c r="G84" s="15">
        <f t="shared" si="17"/>
        <v>3.84037558685446</v>
      </c>
      <c r="H84" s="15">
        <f t="shared" si="17"/>
        <v>4.17741935483871</v>
      </c>
      <c r="I84" s="79">
        <f t="shared" si="17"/>
        <v>4.6248912097476067</v>
      </c>
    </row>
    <row r="85" spans="1:9" x14ac:dyDescent="0.2">
      <c r="A85" s="82" t="s">
        <v>71</v>
      </c>
      <c r="C85" s="15">
        <f t="shared" ref="C85:I85" si="18">C5/((B61+C61)/2)</f>
        <v>1.6124899919935949</v>
      </c>
      <c r="D85" s="15">
        <f t="shared" si="18"/>
        <v>1.7636234961075725</v>
      </c>
      <c r="E85" s="15">
        <f t="shared" si="18"/>
        <v>1.5114942528735633</v>
      </c>
      <c r="F85" s="15">
        <f t="shared" si="18"/>
        <v>1.5610724925521351</v>
      </c>
      <c r="G85" s="15">
        <f t="shared" si="18"/>
        <v>1.3387888707037643</v>
      </c>
      <c r="H85" s="15">
        <f t="shared" si="18"/>
        <v>1.3845639826261276</v>
      </c>
      <c r="I85" s="79">
        <f t="shared" si="18"/>
        <v>1.5088018171493469</v>
      </c>
    </row>
    <row r="86" spans="1:9" x14ac:dyDescent="0.2">
      <c r="A86" s="82" t="s">
        <v>76</v>
      </c>
      <c r="C86" s="15">
        <f t="shared" ref="C86:I86" si="19">C5/(((B55-B36)+(C55-C36))/2)</f>
        <v>4.4263736263736266</v>
      </c>
      <c r="D86" s="15">
        <f t="shared" si="19"/>
        <v>4.9055118110236222</v>
      </c>
      <c r="E86" s="15">
        <f t="shared" si="19"/>
        <v>4.3327841845140034</v>
      </c>
      <c r="F86" s="15">
        <f t="shared" si="19"/>
        <v>5.266331658291457</v>
      </c>
      <c r="G86" s="15">
        <f t="shared" si="19"/>
        <v>3.7479954180985109</v>
      </c>
      <c r="H86" s="15">
        <f t="shared" si="19"/>
        <v>3.5847750865051902</v>
      </c>
      <c r="I86" s="79">
        <f t="shared" si="19"/>
        <v>4.1257763975155282</v>
      </c>
    </row>
    <row r="87" spans="1:9" x14ac:dyDescent="0.2">
      <c r="A87" s="82" t="s">
        <v>72</v>
      </c>
      <c r="C87" s="15">
        <f t="shared" ref="C87:I87" si="20">C7/((B56+C56)/2)</f>
        <v>8.4859813084112155</v>
      </c>
      <c r="D87" s="15">
        <f t="shared" si="20"/>
        <v>7.876363636363636</v>
      </c>
      <c r="E87" s="15">
        <f t="shared" si="20"/>
        <v>5.5336538461538458</v>
      </c>
      <c r="F87" s="15">
        <f t="shared" si="20"/>
        <v>6.2663656884875847</v>
      </c>
      <c r="G87" s="15">
        <f t="shared" si="20"/>
        <v>5.1501831501831505</v>
      </c>
      <c r="H87" s="15">
        <f t="shared" si="20"/>
        <v>5.9720279720279716</v>
      </c>
      <c r="I87" s="79">
        <f t="shared" si="20"/>
        <v>5.2978723404255321</v>
      </c>
    </row>
    <row r="88" spans="1:9" x14ac:dyDescent="0.2">
      <c r="A88" s="82" t="s">
        <v>73</v>
      </c>
      <c r="C88" s="16">
        <f>365/C87</f>
        <v>43.01211453744493</v>
      </c>
      <c r="D88" s="16">
        <f t="shared" ref="D88:I88" si="21">365/D87</f>
        <v>46.341181902123729</v>
      </c>
      <c r="E88" s="16">
        <f t="shared" si="21"/>
        <v>65.960034752389234</v>
      </c>
      <c r="F88" s="16">
        <f t="shared" si="21"/>
        <v>58.247478386167145</v>
      </c>
      <c r="G88" s="16">
        <f t="shared" si="21"/>
        <v>70.871266002844948</v>
      </c>
      <c r="H88" s="16">
        <f t="shared" si="21"/>
        <v>61.118266978922719</v>
      </c>
      <c r="I88" s="83">
        <f t="shared" si="21"/>
        <v>68.895582329317264</v>
      </c>
    </row>
    <row r="89" spans="1:9" x14ac:dyDescent="0.2">
      <c r="A89" s="82" t="s">
        <v>74</v>
      </c>
      <c r="C89" s="15">
        <f t="shared" ref="C89:I89" si="22">C5/((B57+C57)/2)</f>
        <v>4.4557522123893802</v>
      </c>
      <c r="D89" s="15">
        <f t="shared" si="22"/>
        <v>5.2352941176470589</v>
      </c>
      <c r="E89" s="15">
        <f t="shared" si="22"/>
        <v>5.5252100840336134</v>
      </c>
      <c r="F89" s="15">
        <f t="shared" si="22"/>
        <v>6.4294478527607364</v>
      </c>
      <c r="G89" s="15">
        <f t="shared" si="22"/>
        <v>7.6093023255813952</v>
      </c>
      <c r="H89" s="15">
        <f t="shared" si="22"/>
        <v>8.1095890410958908</v>
      </c>
      <c r="I89" s="79">
        <f t="shared" si="22"/>
        <v>6.9373368146214096</v>
      </c>
    </row>
    <row r="90" spans="1:9" x14ac:dyDescent="0.2">
      <c r="A90" s="82" t="s">
        <v>75</v>
      </c>
      <c r="C90" s="16">
        <f>365/C89</f>
        <v>81.916583912611728</v>
      </c>
      <c r="D90" s="16">
        <f t="shared" ref="D90:I90" si="23">365/D89</f>
        <v>69.719101123595507</v>
      </c>
      <c r="E90" s="16">
        <f t="shared" si="23"/>
        <v>66.060836501901136</v>
      </c>
      <c r="F90" s="16">
        <f t="shared" si="23"/>
        <v>56.770038167938928</v>
      </c>
      <c r="G90" s="16">
        <f t="shared" si="23"/>
        <v>47.96760391198044</v>
      </c>
      <c r="H90" s="16">
        <f t="shared" si="23"/>
        <v>45.008445945945944</v>
      </c>
      <c r="I90" s="83">
        <f t="shared" si="23"/>
        <v>52.613850207000375</v>
      </c>
    </row>
    <row r="91" spans="1:9" x14ac:dyDescent="0.2">
      <c r="A91" s="84"/>
      <c r="B91" s="85"/>
      <c r="C91" s="85"/>
      <c r="D91" s="85"/>
      <c r="E91" s="85"/>
      <c r="F91" s="85"/>
      <c r="G91" s="85"/>
      <c r="H91" s="85"/>
      <c r="I91" s="86"/>
    </row>
  </sheetData>
  <mergeCells count="14">
    <mergeCell ref="A1:S2"/>
    <mergeCell ref="K34:S34"/>
    <mergeCell ref="A68:I68"/>
    <mergeCell ref="K66:M66"/>
    <mergeCell ref="L67:M67"/>
    <mergeCell ref="L68:M68"/>
    <mergeCell ref="A83:I83"/>
    <mergeCell ref="A3:I3"/>
    <mergeCell ref="A26:I26"/>
    <mergeCell ref="A66:I67"/>
    <mergeCell ref="K3:S3"/>
    <mergeCell ref="L69:M69"/>
    <mergeCell ref="L70:M70"/>
    <mergeCell ref="A77:I77"/>
  </mergeCells>
  <phoneticPr fontId="15" type="noConversion"/>
  <pageMargins left="0.25" right="0.25" top="0.75" bottom="0.75" header="0.3" footer="0.3"/>
  <pageSetup paperSize="9" orientation="portrait" horizontalDpi="0" verticalDpi="0"/>
  <ignoredErrors>
    <ignoredError sqref="C89:I89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2022-10-25T12:04:02Z</dcterms:created>
  <dcterms:modified xsi:type="dcterms:W3CDTF">2022-11-13T04:52:45Z</dcterms:modified>
</cp:coreProperties>
</file>